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X:\Ofimatica\ICUB_MUHBA\4_ADMINISTRACIÓ\ADMINIST\2025\CONCURSOS\BORN\MANTENIMENT BORN\3-HARMONITZAT. Maig-Gener\"/>
    </mc:Choice>
  </mc:AlternateContent>
  <xr:revisionPtr revIDLastSave="0" documentId="13_ncr:1_{E4C3C3F8-54C9-4982-9EC6-2696AE971F6F}" xr6:coauthVersionLast="47" xr6:coauthVersionMax="47" xr10:uidLastSave="{00000000-0000-0000-0000-000000000000}"/>
  <bookViews>
    <workbookView xWindow="-120" yWindow="-120" windowWidth="29040" windowHeight="15840" activeTab="2" xr2:uid="{7BA55062-C51E-4663-9BCF-E427DDC4EEA7}"/>
  </bookViews>
  <sheets>
    <sheet name="Costos" sheetId="2" r:id="rId1"/>
    <sheet name="taula informe" sheetId="3" r:id="rId2"/>
    <sheet name="Imputació pressupostària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4" l="1"/>
  <c r="I6" i="4" s="1"/>
  <c r="K62" i="2"/>
  <c r="D43" i="2"/>
  <c r="J41" i="2"/>
  <c r="H5" i="4" l="1"/>
  <c r="I5" i="4" s="1"/>
  <c r="I8" i="4" s="1"/>
  <c r="H8" i="4"/>
  <c r="D44" i="2"/>
  <c r="E44" i="2" s="1"/>
  <c r="D47" i="2" s="1"/>
  <c r="J42" i="2"/>
  <c r="L69" i="2"/>
  <c r="E13" i="2"/>
  <c r="E30" i="2"/>
  <c r="E35" i="2"/>
  <c r="F8" i="4" l="1"/>
  <c r="O40" i="2"/>
  <c r="J35" i="2" s="1"/>
  <c r="K35" i="2" s="1"/>
  <c r="L35" i="2" s="1"/>
  <c r="M35" i="2" s="1"/>
  <c r="O39" i="2"/>
  <c r="J34" i="2" s="1"/>
  <c r="K34" i="2" s="1"/>
  <c r="L34" i="2" s="1"/>
  <c r="M34" i="2" s="1"/>
  <c r="O42" i="2"/>
  <c r="O41" i="2"/>
  <c r="O43" i="2"/>
  <c r="M66" i="2"/>
  <c r="M67" i="2"/>
  <c r="N66" i="2" s="1"/>
  <c r="L70" i="2"/>
  <c r="L71" i="2" s="1"/>
  <c r="M68" i="2"/>
  <c r="N67" i="2" s="1"/>
  <c r="E36" i="2"/>
  <c r="M37" i="2" l="1"/>
  <c r="D40" i="2" s="1"/>
  <c r="E40" i="2" s="1"/>
  <c r="C12" i="3" s="1"/>
  <c r="O44" i="2"/>
  <c r="O45" i="2" s="1"/>
  <c r="M70" i="2"/>
  <c r="N69" i="2" s="1"/>
  <c r="M69" i="2"/>
  <c r="N65" i="2"/>
  <c r="C13" i="3"/>
  <c r="C14" i="3"/>
  <c r="M71" i="2" l="1"/>
  <c r="N68" i="2"/>
  <c r="N70" i="2" s="1"/>
  <c r="C15" i="3"/>
  <c r="C17" i="3" s="1"/>
  <c r="C18" i="3" s="1"/>
  <c r="C19" i="3" s="1"/>
  <c r="C20" i="3" s="1"/>
  <c r="C7" i="3" l="1"/>
  <c r="C9" i="3" s="1"/>
  <c r="C8" i="3" l="1"/>
</calcChain>
</file>

<file path=xl/sharedStrings.xml><?xml version="1.0" encoding="utf-8"?>
<sst xmlns="http://schemas.openxmlformats.org/spreadsheetml/2006/main" count="136" uniqueCount="99">
  <si>
    <t>Capitol 1.-Manteniment Preventiu i Normatiu</t>
  </si>
  <si>
    <t>TOTAL</t>
  </si>
  <si>
    <t>INSTAL·LACIONS</t>
  </si>
  <si>
    <t>OBRA CIVIL</t>
  </si>
  <si>
    <t>TOTAL PARCIAL PREV + NORM</t>
  </si>
  <si>
    <t>Previsió de despesa</t>
  </si>
  <si>
    <t>TOTAL PARCIAL CONDUCTIU</t>
  </si>
  <si>
    <t>TOTAL PARCIAL CORRECTIU</t>
  </si>
  <si>
    <t>Dilluns</t>
  </si>
  <si>
    <t>Dimarts</t>
  </si>
  <si>
    <t>Dimecres</t>
  </si>
  <si>
    <t>Dijous</t>
  </si>
  <si>
    <t>Divendres</t>
  </si>
  <si>
    <t>Dissabte</t>
  </si>
  <si>
    <t>Dge/festiu</t>
  </si>
  <si>
    <t>Esdev.</t>
  </si>
  <si>
    <t>H setmana</t>
  </si>
  <si>
    <t>H Fes/Noc</t>
  </si>
  <si>
    <t>H T. M/T</t>
  </si>
  <si>
    <t>Hores Totals</t>
  </si>
  <si>
    <t>Lab. (matí-tarda)</t>
  </si>
  <si>
    <t>Festiu/nocturn</t>
  </si>
  <si>
    <t>M/T/N</t>
  </si>
  <si>
    <t>5/3/-</t>
  </si>
  <si>
    <t>operari 2 - tècnic 4</t>
  </si>
  <si>
    <t>operari 3 - tècnic 4</t>
  </si>
  <si>
    <t>operari 4 - tècnic 5</t>
  </si>
  <si>
    <t>-/6/2</t>
  </si>
  <si>
    <t>operari 5 - tècnic 5</t>
  </si>
  <si>
    <t>6/6/-</t>
  </si>
  <si>
    <t>TOTALS</t>
  </si>
  <si>
    <t>operari 1 encarregat</t>
  </si>
  <si>
    <r>
      <t xml:space="preserve">2026 </t>
    </r>
    <r>
      <rPr>
        <b/>
        <sz val="7.5"/>
        <color theme="1"/>
        <rFont val="Calibri"/>
        <family val="2"/>
      </rPr>
      <t>Manteniment Conductiu</t>
    </r>
  </si>
  <si>
    <t>Electricitat de BT, MT, parallamps</t>
  </si>
  <si>
    <t>Climatització</t>
  </si>
  <si>
    <t>Fontaneria</t>
  </si>
  <si>
    <t>Sanejament i accessoris per a banys</t>
  </si>
  <si>
    <t>Gas</t>
  </si>
  <si>
    <t>Protecció contra incendis</t>
  </si>
  <si>
    <t>Elements de seguretat</t>
  </si>
  <si>
    <t>Xarxa de veu i dades i informàtica</t>
  </si>
  <si>
    <t>Megafonía, CCTV, televisió</t>
  </si>
  <si>
    <t>Murs, pilars, jaceres de formigó</t>
  </si>
  <si>
    <t>Estructura metàl·lica i pilars de fosa</t>
  </si>
  <si>
    <t>Cobertes</t>
  </si>
  <si>
    <t>Façanes</t>
  </si>
  <si>
    <t>Escales</t>
  </si>
  <si>
    <t>Tancaments i divisories</t>
  </si>
  <si>
    <t>Revestiments</t>
  </si>
  <si>
    <t>Sostres</t>
  </si>
  <si>
    <t>Paviments</t>
  </si>
  <si>
    <t>Entramats metàl·lics</t>
  </si>
  <si>
    <t>Fusteria de fosa i elements de fosa</t>
  </si>
  <si>
    <t>Portes, finestres, lluernaris i tancaments practicables</t>
  </si>
  <si>
    <t>Baranes, linies de vida i sistemes antiocells</t>
  </si>
  <si>
    <t>Pintures d'interior i exterior i neteja de graffitis</t>
  </si>
  <si>
    <t>Pintures ignífugues i intumescents</t>
  </si>
  <si>
    <t>VARIS</t>
  </si>
  <si>
    <t>Gestió subcontractes manteniment.</t>
  </si>
  <si>
    <t>Neteja sales tècniques</t>
  </si>
  <si>
    <t>Entitats d'inspecció i control</t>
  </si>
  <si>
    <t>dies</t>
  </si>
  <si>
    <t>setmanes</t>
  </si>
  <si>
    <t>Preu conductiu</t>
  </si>
  <si>
    <t>n. operaris</t>
  </si>
  <si>
    <t>Taules conveni</t>
  </si>
  <si>
    <t>x1.33 Seg Social</t>
  </si>
  <si>
    <t>operari-5</t>
  </si>
  <si>
    <t>Encarregat -4</t>
  </si>
  <si>
    <t>% Dies any</t>
  </si>
  <si>
    <t>Total Mesos</t>
  </si>
  <si>
    <t>Costos directes</t>
  </si>
  <si>
    <t>Contractació serveis externs (Manteniment preventiu)</t>
  </si>
  <si>
    <t>Total</t>
  </si>
  <si>
    <t>Costos indirectes</t>
  </si>
  <si>
    <t>Despeses generals d’estructura (10% dels costos directes)</t>
  </si>
  <si>
    <t>Benefici industrial (6% CD+CI)</t>
  </si>
  <si>
    <t>TOTAL PRESSUPOST NET</t>
  </si>
  <si>
    <t>MANTENIMENT INTEGRAL</t>
  </si>
  <si>
    <t>Manteniment Preventiu</t>
  </si>
  <si>
    <t>Manteniment Conductiu+ Assistència personalitzada 24h</t>
  </si>
  <si>
    <t>SUMA</t>
  </si>
  <si>
    <t>IVA 21%</t>
  </si>
  <si>
    <t>Manteniment Correctiu</t>
  </si>
  <si>
    <t>Periode del 1 de maig de 2026 a l'19 de gener de 2027</t>
  </si>
  <si>
    <t>Assistència personalitzada 24h</t>
  </si>
  <si>
    <t>Capitol 2.-Manteniment Conductiu+ Assistència personalitzada 24 hores</t>
  </si>
  <si>
    <t>Capitol 3.-MANTENIMENT CORRECTIU</t>
  </si>
  <si>
    <t>Costos salarials (Manteniment Conductiu + assistència 24 hores)</t>
  </si>
  <si>
    <t>Contractació serveis externs (Manteniment Correctiu)</t>
  </si>
  <si>
    <t>SUMA TOTAL</t>
  </si>
  <si>
    <t>Any</t>
  </si>
  <si>
    <t>Econòmic</t>
  </si>
  <si>
    <t>Programa</t>
  </si>
  <si>
    <t>Orgànic</t>
  </si>
  <si>
    <t>Import net</t>
  </si>
  <si>
    <t>% IVA</t>
  </si>
  <si>
    <t>Import IVA</t>
  </si>
  <si>
    <t>Import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</si>
</sst>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€-2]\ #,##0.00;[Red]\-[$€-2]\ #,##0.00"/>
    <numFmt numFmtId="165" formatCode="_-[$€-2]\ * #,##0.00_-;\-[$€-2]\ * #,##0.00_-;_-[$€-2]\ * &quot;-&quot;??_-;_-@_-"/>
    <numFmt numFmtId="166" formatCode="#,##0.00\ &quot;€&quot;"/>
    <numFmt numFmtId="168" formatCode="0.0000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0"/>
      <color rgb="FFFFFFFF"/>
      <name val="Arial"/>
      <family val="2"/>
    </font>
    <font>
      <sz val="9"/>
      <color rgb="FF000000"/>
      <name val="Times New Roman"/>
      <family val="1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sz val="7.5"/>
      <color theme="1"/>
      <name val="Trebuchet MS"/>
      <family val="2"/>
    </font>
    <font>
      <b/>
      <sz val="7.5"/>
      <color theme="1"/>
      <name val="Trebuchet MS"/>
      <family val="2"/>
    </font>
    <font>
      <b/>
      <sz val="7.5"/>
      <color theme="1"/>
      <name val="Calibri"/>
      <family val="2"/>
    </font>
    <font>
      <sz val="7.5"/>
      <color theme="1"/>
      <name val="Calibri"/>
      <family val="2"/>
    </font>
    <font>
      <b/>
      <sz val="7"/>
      <color theme="1"/>
      <name val="Times New Roman"/>
      <family val="1"/>
    </font>
    <font>
      <b/>
      <sz val="5.5"/>
      <color theme="1"/>
      <name val="Calibri"/>
      <family val="2"/>
    </font>
    <font>
      <sz val="6"/>
      <color theme="1"/>
      <name val="Calibri"/>
      <family val="2"/>
    </font>
    <font>
      <sz val="6"/>
      <color theme="1"/>
      <name val="Times New Roman"/>
      <family val="1"/>
    </font>
    <font>
      <sz val="7.5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8EB4E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B5E6A2"/>
        <bgColor indexed="64"/>
      </patternFill>
    </fill>
    <fill>
      <patternFill patternType="solid">
        <fgColor rgb="FF94DCF8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ck">
        <color rgb="FF000000"/>
      </right>
      <top style="medium">
        <color indexed="64"/>
      </top>
      <bottom/>
      <diagonal/>
    </border>
    <border>
      <left/>
      <right style="thick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2">
    <xf numFmtId="0" fontId="0" fillId="0" borderId="0"/>
    <xf numFmtId="44" fontId="19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vertical="center" wrapText="1"/>
    </xf>
    <xf numFmtId="0" fontId="2" fillId="5" borderId="0" xfId="0" applyFont="1" applyFill="1" applyAlignment="1">
      <alignment vertical="center" wrapText="1"/>
    </xf>
    <xf numFmtId="0" fontId="3" fillId="5" borderId="0" xfId="0" applyFont="1" applyFill="1" applyAlignment="1">
      <alignment vertical="center" wrapText="1"/>
    </xf>
    <xf numFmtId="164" fontId="7" fillId="5" borderId="0" xfId="0" applyNumberFormat="1" applyFont="1" applyFill="1" applyAlignment="1">
      <alignment horizontal="right" vertical="center" wrapText="1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left" vertical="center" indent="7"/>
    </xf>
    <xf numFmtId="0" fontId="0" fillId="0" borderId="0" xfId="0" applyAlignment="1">
      <alignment horizontal="left" vertical="center" indent="15"/>
    </xf>
    <xf numFmtId="0" fontId="9" fillId="0" borderId="0" xfId="0" applyFont="1" applyAlignment="1">
      <alignment horizontal="left" vertical="center" indent="15"/>
    </xf>
    <xf numFmtId="0" fontId="11" fillId="0" borderId="0" xfId="0" applyFont="1" applyAlignment="1">
      <alignment horizontal="left" vertical="center" indent="15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3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right" vertical="center" wrapText="1"/>
    </xf>
    <xf numFmtId="0" fontId="16" fillId="6" borderId="1" xfId="0" applyFont="1" applyFill="1" applyBorder="1" applyAlignment="1">
      <alignment horizontal="right" vertical="center" wrapText="1"/>
    </xf>
    <xf numFmtId="0" fontId="9" fillId="0" borderId="4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2" fontId="18" fillId="0" borderId="13" xfId="0" applyNumberFormat="1" applyFont="1" applyBorder="1" applyAlignment="1">
      <alignment vertical="center" wrapText="1"/>
    </xf>
    <xf numFmtId="165" fontId="0" fillId="0" borderId="14" xfId="0" applyNumberFormat="1" applyBorder="1"/>
    <xf numFmtId="0" fontId="0" fillId="0" borderId="13" xfId="0" applyBorder="1"/>
    <xf numFmtId="0" fontId="0" fillId="0" borderId="0" xfId="0" applyAlignment="1">
      <alignment horizontal="center" vertical="center"/>
    </xf>
    <xf numFmtId="0" fontId="18" fillId="0" borderId="13" xfId="0" applyFont="1" applyBorder="1" applyAlignment="1">
      <alignment vertical="center" wrapText="1"/>
    </xf>
    <xf numFmtId="0" fontId="4" fillId="4" borderId="15" xfId="0" applyFont="1" applyFill="1" applyBorder="1" applyAlignment="1">
      <alignment vertical="center" wrapText="1"/>
    </xf>
    <xf numFmtId="0" fontId="3" fillId="4" borderId="16" xfId="0" applyFont="1" applyFill="1" applyBorder="1" applyAlignment="1">
      <alignment vertical="center" wrapText="1"/>
    </xf>
    <xf numFmtId="0" fontId="4" fillId="4" borderId="16" xfId="0" applyFont="1" applyFill="1" applyBorder="1" applyAlignment="1">
      <alignment horizontal="right" vertical="center" wrapText="1"/>
    </xf>
    <xf numFmtId="164" fontId="4" fillId="4" borderId="17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right" vertical="center" wrapText="1" indent="2"/>
    </xf>
    <xf numFmtId="2" fontId="0" fillId="0" borderId="0" xfId="0" applyNumberFormat="1"/>
    <xf numFmtId="0" fontId="5" fillId="2" borderId="20" xfId="0" applyFont="1" applyFill="1" applyBorder="1" applyAlignment="1">
      <alignment horizontal="right" vertical="center"/>
    </xf>
    <xf numFmtId="0" fontId="6" fillId="0" borderId="13" xfId="0" applyFont="1" applyBorder="1" applyAlignment="1">
      <alignment vertical="center" wrapText="1"/>
    </xf>
    <xf numFmtId="0" fontId="17" fillId="0" borderId="0" xfId="0" applyFont="1"/>
    <xf numFmtId="0" fontId="0" fillId="0" borderId="21" xfId="0" applyBorder="1"/>
    <xf numFmtId="0" fontId="17" fillId="0" borderId="21" xfId="0" applyFont="1" applyBorder="1"/>
    <xf numFmtId="0" fontId="20" fillId="7" borderId="22" xfId="0" applyFont="1" applyFill="1" applyBorder="1" applyAlignment="1">
      <alignment horizontal="justify" vertical="center" wrapText="1"/>
    </xf>
    <xf numFmtId="0" fontId="20" fillId="7" borderId="4" xfId="0" applyFont="1" applyFill="1" applyBorder="1" applyAlignment="1">
      <alignment horizontal="justify" vertical="center" wrapText="1"/>
    </xf>
    <xf numFmtId="0" fontId="22" fillId="7" borderId="1" xfId="0" applyFont="1" applyFill="1" applyBorder="1" applyAlignment="1">
      <alignment horizontal="right" vertical="center" wrapText="1"/>
    </xf>
    <xf numFmtId="0" fontId="20" fillId="8" borderId="4" xfId="0" applyFont="1" applyFill="1" applyBorder="1" applyAlignment="1">
      <alignment horizontal="justify" vertical="center" wrapText="1"/>
    </xf>
    <xf numFmtId="166" fontId="20" fillId="7" borderId="1" xfId="0" applyNumberFormat="1" applyFont="1" applyFill="1" applyBorder="1" applyAlignment="1">
      <alignment horizontal="right" vertical="center" wrapText="1"/>
    </xf>
    <xf numFmtId="166" fontId="20" fillId="8" borderId="1" xfId="1" applyNumberFormat="1" applyFont="1" applyFill="1" applyBorder="1" applyAlignment="1">
      <alignment horizontal="right" vertical="center" wrapText="1"/>
    </xf>
    <xf numFmtId="0" fontId="23" fillId="0" borderId="30" xfId="0" applyFont="1" applyBorder="1" applyAlignment="1">
      <alignment horizontal="justify" vertical="center" wrapText="1"/>
    </xf>
    <xf numFmtId="0" fontId="22" fillId="7" borderId="9" xfId="0" applyFont="1" applyFill="1" applyBorder="1" applyAlignment="1">
      <alignment horizontal="justify" vertical="center" wrapText="1"/>
    </xf>
    <xf numFmtId="166" fontId="23" fillId="0" borderId="26" xfId="1" applyNumberFormat="1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2" fillId="2" borderId="18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44" fontId="0" fillId="0" borderId="21" xfId="1" applyFont="1" applyBorder="1"/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33" xfId="0" applyNumberFormat="1" applyBorder="1"/>
    <xf numFmtId="0" fontId="0" fillId="0" borderId="34" xfId="0" applyBorder="1"/>
    <xf numFmtId="166" fontId="23" fillId="0" borderId="35" xfId="1" applyNumberFormat="1" applyFont="1" applyBorder="1" applyAlignment="1">
      <alignment horizontal="right" vertical="center" wrapText="1"/>
    </xf>
    <xf numFmtId="0" fontId="23" fillId="0" borderId="36" xfId="0" applyFont="1" applyBorder="1" applyAlignment="1">
      <alignment horizontal="justify" vertical="center" wrapText="1"/>
    </xf>
    <xf numFmtId="166" fontId="23" fillId="0" borderId="9" xfId="0" applyNumberFormat="1" applyFont="1" applyBorder="1" applyAlignment="1">
      <alignment horizontal="right" vertical="center" wrapText="1"/>
    </xf>
    <xf numFmtId="0" fontId="21" fillId="10" borderId="29" xfId="0" applyFont="1" applyFill="1" applyBorder="1" applyAlignment="1">
      <alignment horizontal="justify" vertical="center" wrapText="1"/>
    </xf>
    <xf numFmtId="166" fontId="21" fillId="10" borderId="28" xfId="1" applyNumberFormat="1" applyFont="1" applyFill="1" applyBorder="1" applyAlignment="1">
      <alignment horizontal="right" vertical="center" wrapText="1"/>
    </xf>
    <xf numFmtId="0" fontId="21" fillId="10" borderId="37" xfId="0" applyFont="1" applyFill="1" applyBorder="1" applyAlignment="1">
      <alignment horizontal="justify" vertical="center" wrapText="1"/>
    </xf>
    <xf numFmtId="166" fontId="21" fillId="10" borderId="2" xfId="0" applyNumberFormat="1" applyFont="1" applyFill="1" applyBorder="1" applyAlignment="1">
      <alignment horizontal="right" vertical="center" wrapText="1"/>
    </xf>
    <xf numFmtId="0" fontId="0" fillId="0" borderId="0" xfId="0" applyFont="1"/>
    <xf numFmtId="0" fontId="20" fillId="3" borderId="23" xfId="0" applyFont="1" applyFill="1" applyBorder="1" applyAlignment="1">
      <alignment horizontal="center" vertical="center" wrapText="1"/>
    </xf>
    <xf numFmtId="0" fontId="20" fillId="3" borderId="25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vertical="center" wrapText="1"/>
    </xf>
    <xf numFmtId="44" fontId="23" fillId="0" borderId="26" xfId="1" applyFont="1" applyBorder="1" applyAlignment="1">
      <alignment horizontal="right" vertical="center" wrapText="1"/>
    </xf>
    <xf numFmtId="0" fontId="0" fillId="0" borderId="13" xfId="0" applyFont="1" applyBorder="1"/>
    <xf numFmtId="0" fontId="20" fillId="3" borderId="13" xfId="0" applyFont="1" applyFill="1" applyBorder="1" applyAlignment="1">
      <alignment vertical="center" wrapText="1"/>
    </xf>
    <xf numFmtId="166" fontId="20" fillId="3" borderId="26" xfId="1" applyNumberFormat="1" applyFont="1" applyFill="1" applyBorder="1" applyAlignment="1">
      <alignment horizontal="right" vertical="center" wrapText="1"/>
    </xf>
    <xf numFmtId="166" fontId="0" fillId="0" borderId="0" xfId="0" applyNumberFormat="1" applyFont="1"/>
    <xf numFmtId="168" fontId="0" fillId="0" borderId="0" xfId="0" applyNumberFormat="1" applyFont="1"/>
    <xf numFmtId="0" fontId="23" fillId="0" borderId="24" xfId="0" applyFont="1" applyBorder="1" applyAlignment="1">
      <alignment vertical="center" wrapText="1"/>
    </xf>
    <xf numFmtId="166" fontId="23" fillId="0" borderId="27" xfId="1" applyNumberFormat="1" applyFont="1" applyBorder="1" applyAlignment="1">
      <alignment horizontal="right" vertical="center" wrapText="1"/>
    </xf>
    <xf numFmtId="0" fontId="20" fillId="9" borderId="15" xfId="0" applyFont="1" applyFill="1" applyBorder="1" applyAlignment="1">
      <alignment vertical="center" wrapText="1"/>
    </xf>
    <xf numFmtId="166" fontId="20" fillId="9" borderId="28" xfId="1" applyNumberFormat="1" applyFont="1" applyFill="1" applyBorder="1" applyAlignment="1">
      <alignment horizontal="right" vertical="center" wrapText="1"/>
    </xf>
    <xf numFmtId="0" fontId="0" fillId="0" borderId="0" xfId="0" applyNumberFormat="1" applyFont="1"/>
    <xf numFmtId="0" fontId="18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8" fontId="0" fillId="0" borderId="0" xfId="0" applyNumberFormat="1"/>
    <xf numFmtId="9" fontId="18" fillId="0" borderId="1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8" fontId="18" fillId="0" borderId="1" xfId="0" applyNumberFormat="1" applyFont="1" applyBorder="1" applyAlignment="1">
      <alignment horizontal="right" vertical="center" wrapText="1" indent="1"/>
    </xf>
    <xf numFmtId="8" fontId="18" fillId="0" borderId="1" xfId="0" applyNumberFormat="1" applyFont="1" applyBorder="1" applyAlignment="1">
      <alignment horizontal="right" vertical="center" wrapText="1"/>
    </xf>
    <xf numFmtId="0" fontId="18" fillId="0" borderId="22" xfId="0" applyFont="1" applyBorder="1" applyAlignment="1">
      <alignment horizontal="center" vertical="center" wrapText="1"/>
    </xf>
    <xf numFmtId="4" fontId="0" fillId="0" borderId="0" xfId="0" applyNumberFormat="1"/>
    <xf numFmtId="4" fontId="23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58</xdr:row>
      <xdr:rowOff>66675</xdr:rowOff>
    </xdr:from>
    <xdr:to>
      <xdr:col>3</xdr:col>
      <xdr:colOff>24765</xdr:colOff>
      <xdr:row>59</xdr:row>
      <xdr:rowOff>3175</xdr:rowOff>
    </xdr:to>
    <xdr:sp macro="" textlink="">
      <xdr:nvSpPr>
        <xdr:cNvPr id="2" name="Quadre de text 1">
          <a:extLst>
            <a:ext uri="{FF2B5EF4-FFF2-40B4-BE49-F238E27FC236}">
              <a16:creationId xmlns:a16="http://schemas.microsoft.com/office/drawing/2014/main" id="{0DC1CC3E-9321-4D81-B327-E74901718DB5}"/>
            </a:ext>
          </a:extLst>
        </xdr:cNvPr>
        <xdr:cNvSpPr txBox="1">
          <a:spLocks noChangeArrowheads="1"/>
        </xdr:cNvSpPr>
      </xdr:nvSpPr>
      <xdr:spPr bwMode="auto">
        <a:xfrm>
          <a:off x="647700" y="8477250"/>
          <a:ext cx="4558665" cy="127000"/>
        </a:xfrm>
        <a:prstGeom prst="rect">
          <a:avLst/>
        </a:prstGeom>
        <a:solidFill>
          <a:srgbClr val="00B0F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0" tIns="0" rIns="0" bIns="0" anchor="t" anchorCtr="0" upright="1">
          <a:noAutofit/>
        </a:bodyPr>
        <a:lstStyle/>
        <a:p>
          <a:pPr marL="12065">
            <a:lnSpc>
              <a:spcPts val="865"/>
            </a:lnSpc>
          </a:pPr>
          <a:r>
            <a:rPr lang="ca-ES" sz="75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rPr>
            <a:t>calendari</a:t>
          </a:r>
          <a:r>
            <a:rPr lang="ca-ES" sz="750" spc="2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rPr>
            <a:t> </a:t>
          </a:r>
          <a:r>
            <a:rPr lang="ca-ES" sz="75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rPr>
            <a:t>hores</a:t>
          </a:r>
          <a:r>
            <a:rPr lang="ca-ES" sz="750" spc="2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rPr>
            <a:t> </a:t>
          </a:r>
          <a:r>
            <a:rPr lang="ca-ES" sz="75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rPr>
            <a:t>totals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46A2D-0A1F-4472-85EF-6173266365C6}">
  <dimension ref="B1:S71"/>
  <sheetViews>
    <sheetView topLeftCell="A28" workbookViewId="0">
      <selection activeCell="J41" sqref="J41"/>
    </sheetView>
  </sheetViews>
  <sheetFormatPr defaultColWidth="11.42578125" defaultRowHeight="15" x14ac:dyDescent="0.25"/>
  <cols>
    <col min="2" max="2" width="44.7109375" bestFit="1" customWidth="1"/>
    <col min="4" max="4" width="12.42578125" customWidth="1"/>
    <col min="5" max="5" width="13.28515625" bestFit="1" customWidth="1"/>
    <col min="9" max="9" width="12.5703125" bestFit="1" customWidth="1"/>
    <col min="10" max="10" width="14.7109375" customWidth="1"/>
    <col min="11" max="11" width="13" bestFit="1" customWidth="1"/>
    <col min="12" max="12" width="14.85546875" bestFit="1" customWidth="1"/>
    <col min="13" max="13" width="13.140625" bestFit="1" customWidth="1"/>
    <col min="16" max="16" width="13.28515625" bestFit="1" customWidth="1"/>
  </cols>
  <sheetData>
    <row r="1" spans="2:5" ht="15.75" thickBot="1" x14ac:dyDescent="0.3"/>
    <row r="2" spans="2:5" x14ac:dyDescent="0.25">
      <c r="B2" s="31" t="s">
        <v>0</v>
      </c>
      <c r="C2" s="32"/>
      <c r="D2" s="33"/>
      <c r="E2" s="34" t="s">
        <v>1</v>
      </c>
    </row>
    <row r="3" spans="2:5" x14ac:dyDescent="0.25">
      <c r="B3" s="65" t="s">
        <v>2</v>
      </c>
      <c r="C3" s="66"/>
      <c r="D3" s="66"/>
      <c r="E3" s="67"/>
    </row>
    <row r="4" spans="2:5" x14ac:dyDescent="0.25">
      <c r="B4" s="36" t="s">
        <v>33</v>
      </c>
      <c r="E4" s="37">
        <v>8252.3362191780816</v>
      </c>
    </row>
    <row r="5" spans="2:5" x14ac:dyDescent="0.25">
      <c r="B5" s="36" t="s">
        <v>34</v>
      </c>
      <c r="E5" s="37">
        <v>30102.325150684937</v>
      </c>
    </row>
    <row r="6" spans="2:5" x14ac:dyDescent="0.25">
      <c r="B6" s="36" t="s">
        <v>35</v>
      </c>
      <c r="E6" s="37">
        <v>2937.5681424657541</v>
      </c>
    </row>
    <row r="7" spans="2:5" x14ac:dyDescent="0.25">
      <c r="B7" s="36" t="s">
        <v>36</v>
      </c>
      <c r="E7" s="37">
        <v>953.0363835616439</v>
      </c>
    </row>
    <row r="8" spans="2:5" x14ac:dyDescent="0.25">
      <c r="B8" s="36" t="s">
        <v>37</v>
      </c>
      <c r="E8" s="37">
        <v>322.82028493150688</v>
      </c>
    </row>
    <row r="9" spans="2:5" x14ac:dyDescent="0.25">
      <c r="B9" s="36" t="s">
        <v>38</v>
      </c>
      <c r="E9" s="37">
        <v>3196.6931835616442</v>
      </c>
    </row>
    <row r="10" spans="2:5" x14ac:dyDescent="0.25">
      <c r="B10" s="36" t="s">
        <v>39</v>
      </c>
      <c r="E10" s="37">
        <v>163.2290301369863</v>
      </c>
    </row>
    <row r="11" spans="2:5" x14ac:dyDescent="0.25">
      <c r="B11" s="36" t="s">
        <v>40</v>
      </c>
      <c r="E11" s="37">
        <v>241.50575342465754</v>
      </c>
    </row>
    <row r="12" spans="2:5" x14ac:dyDescent="0.25">
      <c r="B12" s="36" t="s">
        <v>41</v>
      </c>
      <c r="E12" s="37">
        <v>1323.9755506849315</v>
      </c>
    </row>
    <row r="13" spans="2:5" x14ac:dyDescent="0.25">
      <c r="B13" s="38"/>
      <c r="D13" s="39" t="s">
        <v>1</v>
      </c>
      <c r="E13" s="37">
        <f>SUM(E4:E12)</f>
        <v>47493.489698630139</v>
      </c>
    </row>
    <row r="14" spans="2:5" x14ac:dyDescent="0.25">
      <c r="B14" s="65" t="s">
        <v>3</v>
      </c>
      <c r="C14" s="66"/>
      <c r="D14" s="66"/>
      <c r="E14" s="67"/>
    </row>
    <row r="15" spans="2:5" x14ac:dyDescent="0.25">
      <c r="B15" s="40" t="s">
        <v>42</v>
      </c>
      <c r="E15" s="37">
        <v>350.26688219178084</v>
      </c>
    </row>
    <row r="16" spans="2:5" x14ac:dyDescent="0.25">
      <c r="B16" s="40" t="s">
        <v>43</v>
      </c>
      <c r="E16" s="37">
        <v>947.65946301369866</v>
      </c>
    </row>
    <row r="17" spans="2:16" x14ac:dyDescent="0.25">
      <c r="B17" s="40" t="s">
        <v>44</v>
      </c>
      <c r="E17" s="37">
        <v>5424.9179178082186</v>
      </c>
    </row>
    <row r="18" spans="2:16" x14ac:dyDescent="0.25">
      <c r="B18" s="40" t="s">
        <v>45</v>
      </c>
      <c r="E18" s="37">
        <v>1619.6074520547945</v>
      </c>
    </row>
    <row r="19" spans="2:16" x14ac:dyDescent="0.25">
      <c r="B19" s="40" t="s">
        <v>46</v>
      </c>
      <c r="E19" s="37">
        <v>94.118893150684954</v>
      </c>
    </row>
    <row r="20" spans="2:16" x14ac:dyDescent="0.25">
      <c r="B20" s="40" t="s">
        <v>47</v>
      </c>
      <c r="E20" s="37">
        <v>506.42541369863017</v>
      </c>
    </row>
    <row r="21" spans="2:16" x14ac:dyDescent="0.25">
      <c r="B21" s="40" t="s">
        <v>48</v>
      </c>
      <c r="E21" s="37">
        <v>1437.7718465753426</v>
      </c>
    </row>
    <row r="22" spans="2:16" x14ac:dyDescent="0.25">
      <c r="B22" s="40" t="s">
        <v>49</v>
      </c>
      <c r="E22" s="37">
        <v>800.09792876712345</v>
      </c>
    </row>
    <row r="23" spans="2:16" x14ac:dyDescent="0.25">
      <c r="B23" s="40" t="s">
        <v>50</v>
      </c>
      <c r="E23" s="37">
        <v>3483.7888438356167</v>
      </c>
    </row>
    <row r="24" spans="2:16" x14ac:dyDescent="0.25">
      <c r="B24" s="40" t="s">
        <v>51</v>
      </c>
      <c r="E24" s="37">
        <v>397.10988493150688</v>
      </c>
    </row>
    <row r="25" spans="2:16" x14ac:dyDescent="0.25">
      <c r="B25" s="40" t="s">
        <v>52</v>
      </c>
      <c r="E25" s="37">
        <v>326.70867945205481</v>
      </c>
    </row>
    <row r="26" spans="2:16" ht="25.5" x14ac:dyDescent="0.25">
      <c r="B26" s="40" t="s">
        <v>53</v>
      </c>
      <c r="E26" s="37">
        <v>6481.0347287671229</v>
      </c>
    </row>
    <row r="27" spans="2:16" x14ac:dyDescent="0.25">
      <c r="B27" s="40" t="s">
        <v>54</v>
      </c>
      <c r="E27" s="37">
        <v>1148.6180712328767</v>
      </c>
    </row>
    <row r="28" spans="2:16" x14ac:dyDescent="0.25">
      <c r="B28" s="40" t="s">
        <v>55</v>
      </c>
      <c r="E28" s="37">
        <v>2560.5305753424664</v>
      </c>
    </row>
    <row r="29" spans="2:16" x14ac:dyDescent="0.25">
      <c r="B29" s="40" t="s">
        <v>56</v>
      </c>
      <c r="E29" s="37">
        <v>3222.8335232876721</v>
      </c>
    </row>
    <row r="30" spans="2:16" x14ac:dyDescent="0.25">
      <c r="B30" s="38"/>
      <c r="D30" s="39" t="s">
        <v>1</v>
      </c>
      <c r="E30" s="37">
        <f>SUM(E15:E29)</f>
        <v>28801.490104109587</v>
      </c>
    </row>
    <row r="31" spans="2:16" x14ac:dyDescent="0.25">
      <c r="B31" s="65" t="s">
        <v>57</v>
      </c>
      <c r="C31" s="66"/>
      <c r="D31" s="66"/>
      <c r="E31" s="67"/>
    </row>
    <row r="32" spans="2:16" x14ac:dyDescent="0.25">
      <c r="B32" s="40" t="s">
        <v>58</v>
      </c>
      <c r="E32" s="37">
        <v>10382.794520547945</v>
      </c>
      <c r="H32" s="49" t="s">
        <v>63</v>
      </c>
      <c r="P32" s="45"/>
    </row>
    <row r="33" spans="2:15" x14ac:dyDescent="0.25">
      <c r="B33" s="40" t="s">
        <v>59</v>
      </c>
      <c r="E33" s="37">
        <v>872.92178630137005</v>
      </c>
      <c r="H33" s="50" t="s">
        <v>64</v>
      </c>
      <c r="I33" s="50"/>
      <c r="J33" s="50" t="s">
        <v>65</v>
      </c>
      <c r="K33" s="50" t="s">
        <v>1</v>
      </c>
      <c r="L33" s="50" t="s">
        <v>66</v>
      </c>
      <c r="M33" s="51" t="s">
        <v>1</v>
      </c>
    </row>
    <row r="34" spans="2:15" x14ac:dyDescent="0.25">
      <c r="B34" s="40" t="s">
        <v>60</v>
      </c>
      <c r="E34" s="37">
        <v>1349.7513534246577</v>
      </c>
      <c r="H34" s="50">
        <v>1</v>
      </c>
      <c r="I34" s="50" t="s">
        <v>68</v>
      </c>
      <c r="J34" s="71">
        <f>O39</f>
        <v>23003.554652054794</v>
      </c>
      <c r="K34" s="71">
        <f>J34*1</f>
        <v>23003.554652054794</v>
      </c>
      <c r="L34" s="71">
        <f>K34*1.33</f>
        <v>30594.727687232877</v>
      </c>
      <c r="M34" s="71">
        <f>L34*H34</f>
        <v>30594.727687232877</v>
      </c>
    </row>
    <row r="35" spans="2:15" x14ac:dyDescent="0.25">
      <c r="B35" s="38"/>
      <c r="D35" s="39" t="s">
        <v>1</v>
      </c>
      <c r="E35" s="37">
        <f>SUM(E32:E34)</f>
        <v>12605.467660273971</v>
      </c>
      <c r="H35" s="50">
        <v>4</v>
      </c>
      <c r="I35" s="50" t="s">
        <v>67</v>
      </c>
      <c r="J35" s="71">
        <f>O40</f>
        <v>21455.635134246579</v>
      </c>
      <c r="K35" s="71">
        <f>J35*1</f>
        <v>21455.635134246579</v>
      </c>
      <c r="L35" s="71">
        <f>K35*1.33</f>
        <v>28535.99472854795</v>
      </c>
      <c r="M35" s="71">
        <f>L35*H35</f>
        <v>114143.9789141918</v>
      </c>
    </row>
    <row r="36" spans="2:15" ht="15.75" thickBot="1" x14ac:dyDescent="0.3">
      <c r="B36" s="41" t="s">
        <v>4</v>
      </c>
      <c r="C36" s="42"/>
      <c r="D36" s="43"/>
      <c r="E36" s="44">
        <f>SUM(E13,E30,E35)</f>
        <v>88900.447463013697</v>
      </c>
      <c r="G36" s="75"/>
      <c r="H36" s="72" t="s">
        <v>85</v>
      </c>
      <c r="I36" s="72"/>
      <c r="J36" s="72"/>
      <c r="K36" s="73"/>
      <c r="L36" s="71"/>
      <c r="M36" s="71">
        <v>3000</v>
      </c>
    </row>
    <row r="37" spans="2:15" ht="15.75" thickBot="1" x14ac:dyDescent="0.3">
      <c r="B37" s="1"/>
      <c r="C37" s="1"/>
      <c r="D37" s="1"/>
      <c r="E37" s="1"/>
      <c r="G37" s="2"/>
      <c r="H37" s="50"/>
      <c r="I37" s="50"/>
      <c r="J37" s="71"/>
      <c r="K37" s="71"/>
      <c r="L37" s="71"/>
      <c r="M37" s="71">
        <f>SUM(M34:M36)</f>
        <v>147738.70660142467</v>
      </c>
    </row>
    <row r="38" spans="2:15" ht="15.75" thickBot="1" x14ac:dyDescent="0.3">
      <c r="B38" s="68" t="s">
        <v>86</v>
      </c>
      <c r="C38" s="69"/>
      <c r="D38" s="70"/>
      <c r="E38" s="47"/>
      <c r="G38" s="2"/>
      <c r="I38" s="2"/>
    </row>
    <row r="39" spans="2:15" x14ac:dyDescent="0.25">
      <c r="B39" s="48" t="s">
        <v>5</v>
      </c>
      <c r="C39" s="1"/>
      <c r="D39" s="3"/>
      <c r="E39" s="35"/>
      <c r="G39" s="2"/>
      <c r="I39" s="2"/>
      <c r="N39">
        <v>28912.87</v>
      </c>
      <c r="O39" s="46">
        <f>N39/12*$J$42*1.1</f>
        <v>23003.554652054794</v>
      </c>
    </row>
    <row r="40" spans="2:15" ht="15.75" thickBot="1" x14ac:dyDescent="0.3">
      <c r="B40" s="41" t="s">
        <v>6</v>
      </c>
      <c r="C40" s="42"/>
      <c r="D40" s="44">
        <f>M37</f>
        <v>147738.70660142467</v>
      </c>
      <c r="E40" s="44">
        <f>D40</f>
        <v>147738.70660142467</v>
      </c>
      <c r="I40" s="2"/>
      <c r="N40">
        <v>26967.31</v>
      </c>
      <c r="O40" s="46">
        <f>N40/12*$J$42*1.1</f>
        <v>21455.635134246579</v>
      </c>
    </row>
    <row r="41" spans="2:15" ht="15.75" thickBot="1" x14ac:dyDescent="0.3">
      <c r="B41" s="3"/>
      <c r="C41" s="3"/>
      <c r="D41" s="3"/>
      <c r="E41" s="3"/>
      <c r="H41" s="2"/>
      <c r="I41" t="s">
        <v>69</v>
      </c>
      <c r="J41" s="46">
        <f>264/365</f>
        <v>0.72328767123287674</v>
      </c>
      <c r="N41">
        <v>26967.31</v>
      </c>
      <c r="O41" s="46">
        <f>N41/12*$J$42</f>
        <v>19505.12284931507</v>
      </c>
    </row>
    <row r="42" spans="2:15" ht="15.75" thickBot="1" x14ac:dyDescent="0.3">
      <c r="B42" s="62" t="s">
        <v>87</v>
      </c>
      <c r="C42" s="63"/>
      <c r="D42" s="64"/>
      <c r="E42" s="47"/>
      <c r="H42" s="2"/>
      <c r="I42" t="s">
        <v>70</v>
      </c>
      <c r="J42" s="46">
        <f>J41*12</f>
        <v>8.6794520547945204</v>
      </c>
      <c r="N42">
        <v>26967.31</v>
      </c>
      <c r="O42" s="46">
        <f>N42/12*$J$42</f>
        <v>19505.12284931507</v>
      </c>
    </row>
    <row r="43" spans="2:15" x14ac:dyDescent="0.25">
      <c r="B43" s="48" t="s">
        <v>5</v>
      </c>
      <c r="C43" s="1"/>
      <c r="D43" s="37">
        <f>75000*264/365</f>
        <v>54246.575342465752</v>
      </c>
      <c r="E43" s="35"/>
      <c r="H43" s="2"/>
      <c r="N43">
        <v>26967.31</v>
      </c>
      <c r="O43" s="46">
        <f>N43/12*$J$42</f>
        <v>19505.12284931507</v>
      </c>
    </row>
    <row r="44" spans="2:15" ht="15.75" thickBot="1" x14ac:dyDescent="0.3">
      <c r="B44" s="41" t="s">
        <v>7</v>
      </c>
      <c r="C44" s="42"/>
      <c r="D44" s="44">
        <f>D43</f>
        <v>54246.575342465752</v>
      </c>
      <c r="E44" s="44">
        <f>D44</f>
        <v>54246.575342465752</v>
      </c>
      <c r="H44" s="2"/>
      <c r="O44" s="46">
        <f>SUM(O39:O39)</f>
        <v>23003.554652054794</v>
      </c>
    </row>
    <row r="45" spans="2:15" x14ac:dyDescent="0.25">
      <c r="H45" s="2"/>
      <c r="O45" s="46">
        <f>O44*1.32</f>
        <v>30364.69214071233</v>
      </c>
    </row>
    <row r="46" spans="2:15" x14ac:dyDescent="0.25">
      <c r="B46" s="61"/>
      <c r="C46" s="61"/>
      <c r="D46" s="61"/>
      <c r="E46" s="1"/>
      <c r="H46" s="2"/>
    </row>
    <row r="47" spans="2:15" x14ac:dyDescent="0.25">
      <c r="B47" s="4" t="s">
        <v>90</v>
      </c>
      <c r="C47" s="5"/>
      <c r="D47" s="6">
        <f>SUM(E44,E40,E36)</f>
        <v>290885.72940690408</v>
      </c>
      <c r="E47" s="1"/>
      <c r="H47" s="2"/>
    </row>
    <row r="48" spans="2:15" x14ac:dyDescent="0.25">
      <c r="E48" s="1"/>
      <c r="H48" s="2"/>
    </row>
    <row r="49" spans="2:19" x14ac:dyDescent="0.25">
      <c r="B49" s="61"/>
      <c r="C49" s="61"/>
      <c r="D49" s="61"/>
      <c r="E49" s="1"/>
      <c r="H49" s="2"/>
    </row>
    <row r="50" spans="2:19" x14ac:dyDescent="0.25">
      <c r="I50" s="2"/>
    </row>
    <row r="52" spans="2:19" x14ac:dyDescent="0.25">
      <c r="B52" s="1"/>
      <c r="C52" s="1"/>
      <c r="D52" s="1"/>
      <c r="E52" s="1"/>
      <c r="I52" s="2"/>
    </row>
    <row r="53" spans="2:19" x14ac:dyDescent="0.25">
      <c r="B53" s="7"/>
    </row>
    <row r="54" spans="2:19" x14ac:dyDescent="0.25">
      <c r="B54" s="7"/>
    </row>
    <row r="55" spans="2:19" x14ac:dyDescent="0.25">
      <c r="B55" s="7"/>
    </row>
    <row r="56" spans="2:19" x14ac:dyDescent="0.25">
      <c r="B56" s="7"/>
    </row>
    <row r="57" spans="2:19" x14ac:dyDescent="0.25">
      <c r="B57" s="7"/>
    </row>
    <row r="58" spans="2:19" x14ac:dyDescent="0.25">
      <c r="B58" s="7"/>
    </row>
    <row r="59" spans="2:19" x14ac:dyDescent="0.25">
      <c r="B59" s="8"/>
    </row>
    <row r="60" spans="2:19" x14ac:dyDescent="0.25">
      <c r="B60" s="9"/>
      <c r="S60" s="50"/>
    </row>
    <row r="61" spans="2:19" x14ac:dyDescent="0.25">
      <c r="B61" s="10" t="s">
        <v>32</v>
      </c>
      <c r="D61" t="s">
        <v>84</v>
      </c>
      <c r="S61" s="76"/>
    </row>
    <row r="62" spans="2:19" ht="15.75" thickBot="1" x14ac:dyDescent="0.3">
      <c r="B62" s="11"/>
      <c r="I62">
        <v>264</v>
      </c>
      <c r="J62" t="s">
        <v>61</v>
      </c>
      <c r="K62" s="46">
        <f>ROUNDUP(264/7,2)</f>
        <v>37.72</v>
      </c>
      <c r="L62" t="s">
        <v>62</v>
      </c>
    </row>
    <row r="63" spans="2:19" ht="17.25" thickBot="1" x14ac:dyDescent="0.3">
      <c r="B63" s="27"/>
      <c r="C63" s="12" t="s">
        <v>8</v>
      </c>
      <c r="D63" s="13" t="s">
        <v>9</v>
      </c>
      <c r="E63" s="13" t="s">
        <v>10</v>
      </c>
      <c r="F63" s="13" t="s">
        <v>11</v>
      </c>
      <c r="G63" s="12" t="s">
        <v>12</v>
      </c>
      <c r="N63" s="14" t="s">
        <v>19</v>
      </c>
      <c r="O63" s="13" t="s">
        <v>20</v>
      </c>
      <c r="P63" s="13" t="s">
        <v>21</v>
      </c>
    </row>
    <row r="64" spans="2:19" ht="15.75" thickBot="1" x14ac:dyDescent="0.3">
      <c r="B64" s="28"/>
      <c r="C64" s="15" t="s">
        <v>22</v>
      </c>
      <c r="D64" s="16" t="s">
        <v>22</v>
      </c>
      <c r="E64" s="16" t="s">
        <v>22</v>
      </c>
      <c r="F64" s="16" t="s">
        <v>22</v>
      </c>
      <c r="G64" s="15" t="s">
        <v>22</v>
      </c>
      <c r="H64" s="13" t="s">
        <v>13</v>
      </c>
      <c r="I64" s="13" t="s">
        <v>14</v>
      </c>
      <c r="J64" s="13" t="s">
        <v>15</v>
      </c>
      <c r="K64" s="14" t="s">
        <v>16</v>
      </c>
      <c r="L64" s="14" t="s">
        <v>17</v>
      </c>
      <c r="M64" s="14" t="s">
        <v>18</v>
      </c>
      <c r="N64" s="17"/>
      <c r="O64" s="29"/>
      <c r="P64" s="30"/>
    </row>
    <row r="65" spans="2:16" ht="15.75" thickBot="1" x14ac:dyDescent="0.3">
      <c r="B65" s="18" t="s">
        <v>31</v>
      </c>
      <c r="C65" s="19" t="s">
        <v>23</v>
      </c>
      <c r="D65" s="20" t="s">
        <v>23</v>
      </c>
      <c r="E65" s="20" t="s">
        <v>23</v>
      </c>
      <c r="F65" s="20" t="s">
        <v>23</v>
      </c>
      <c r="G65" s="19" t="s">
        <v>23</v>
      </c>
      <c r="H65" s="16" t="s">
        <v>22</v>
      </c>
      <c r="I65" s="16" t="s">
        <v>22</v>
      </c>
      <c r="J65" s="16" t="s">
        <v>22</v>
      </c>
      <c r="K65" s="17"/>
      <c r="L65" s="17"/>
      <c r="M65" s="17"/>
      <c r="N65" s="21">
        <f>M66</f>
        <v>1508.8</v>
      </c>
      <c r="O65" s="22">
        <v>20</v>
      </c>
      <c r="P65" s="22">
        <v>25</v>
      </c>
    </row>
    <row r="66" spans="2:16" ht="15.75" thickBot="1" x14ac:dyDescent="0.3">
      <c r="B66" s="18" t="s">
        <v>24</v>
      </c>
      <c r="C66" s="19" t="s">
        <v>23</v>
      </c>
      <c r="D66" s="20" t="s">
        <v>23</v>
      </c>
      <c r="E66" s="20" t="s">
        <v>23</v>
      </c>
      <c r="F66" s="20" t="s">
        <v>23</v>
      </c>
      <c r="G66" s="19" t="s">
        <v>23</v>
      </c>
      <c r="H66" s="17"/>
      <c r="I66" s="17"/>
      <c r="J66" s="17"/>
      <c r="K66" s="21">
        <v>40</v>
      </c>
      <c r="L66" s="17"/>
      <c r="M66" s="21">
        <f>40*K62</f>
        <v>1508.8</v>
      </c>
      <c r="N66" s="21">
        <f t="shared" ref="N66:N67" si="0">M67</f>
        <v>1508.8</v>
      </c>
      <c r="O66" s="22">
        <v>17</v>
      </c>
      <c r="P66" s="22">
        <v>21</v>
      </c>
    </row>
    <row r="67" spans="2:16" ht="15.75" thickBot="1" x14ac:dyDescent="0.3">
      <c r="B67" s="18" t="s">
        <v>25</v>
      </c>
      <c r="C67" s="19" t="s">
        <v>23</v>
      </c>
      <c r="D67" s="20" t="s">
        <v>23</v>
      </c>
      <c r="E67" s="20" t="s">
        <v>23</v>
      </c>
      <c r="F67" s="20" t="s">
        <v>23</v>
      </c>
      <c r="G67" s="19" t="s">
        <v>23</v>
      </c>
      <c r="H67" s="17"/>
      <c r="I67" s="17"/>
      <c r="J67" s="17"/>
      <c r="K67" s="21">
        <v>40</v>
      </c>
      <c r="L67" s="17"/>
      <c r="M67" s="21">
        <f>40*K62</f>
        <v>1508.8</v>
      </c>
      <c r="N67" s="21">
        <f t="shared" si="0"/>
        <v>1508.8</v>
      </c>
      <c r="O67" s="22">
        <v>17</v>
      </c>
      <c r="P67" s="22">
        <v>21</v>
      </c>
    </row>
    <row r="68" spans="2:16" ht="15.75" thickBot="1" x14ac:dyDescent="0.3">
      <c r="B68" s="18" t="s">
        <v>26</v>
      </c>
      <c r="C68" s="19" t="s">
        <v>27</v>
      </c>
      <c r="D68" s="20" t="s">
        <v>27</v>
      </c>
      <c r="E68" s="20" t="s">
        <v>27</v>
      </c>
      <c r="F68" s="20" t="s">
        <v>27</v>
      </c>
      <c r="G68" s="19" t="s">
        <v>27</v>
      </c>
      <c r="H68" s="17"/>
      <c r="I68" s="17"/>
      <c r="J68" s="17"/>
      <c r="K68" s="21">
        <v>40</v>
      </c>
      <c r="L68" s="17"/>
      <c r="M68" s="21">
        <f>40*K62</f>
        <v>1508.8</v>
      </c>
      <c r="N68" s="21">
        <f>M69+L69</f>
        <v>1508.8</v>
      </c>
      <c r="O68" s="22">
        <v>17</v>
      </c>
      <c r="P68" s="22">
        <v>21</v>
      </c>
    </row>
    <row r="69" spans="2:16" ht="15.75" thickBot="1" x14ac:dyDescent="0.3">
      <c r="B69" s="18" t="s">
        <v>28</v>
      </c>
      <c r="C69" s="19" t="s">
        <v>27</v>
      </c>
      <c r="D69" s="17"/>
      <c r="E69" s="17"/>
      <c r="F69" s="17"/>
      <c r="G69" s="19" t="s">
        <v>27</v>
      </c>
      <c r="H69" s="17"/>
      <c r="I69" s="17"/>
      <c r="J69" s="17"/>
      <c r="K69" s="21">
        <v>40</v>
      </c>
      <c r="L69" s="21">
        <f>10*K62</f>
        <v>377.2</v>
      </c>
      <c r="M69" s="21">
        <f>M66-L69</f>
        <v>1131.5999999999999</v>
      </c>
      <c r="N69" s="21">
        <f>M70+L70</f>
        <v>1508.8000000000002</v>
      </c>
      <c r="O69" s="22">
        <v>17</v>
      </c>
      <c r="P69" s="22">
        <v>21</v>
      </c>
    </row>
    <row r="70" spans="2:16" ht="15.75" thickBot="1" x14ac:dyDescent="0.3">
      <c r="B70" s="23" t="s">
        <v>30</v>
      </c>
      <c r="C70" s="24"/>
      <c r="D70" s="25"/>
      <c r="E70" s="25"/>
      <c r="F70" s="25"/>
      <c r="G70" s="25"/>
      <c r="H70" s="20" t="s">
        <v>29</v>
      </c>
      <c r="I70" s="20" t="s">
        <v>29</v>
      </c>
      <c r="J70" s="17"/>
      <c r="K70" s="21">
        <v>40</v>
      </c>
      <c r="L70" s="21">
        <f>4*K62</f>
        <v>150.88</v>
      </c>
      <c r="M70" s="21">
        <f>M66-L70</f>
        <v>1357.92</v>
      </c>
      <c r="N70" s="21">
        <f>SUM(N65:N69)</f>
        <v>7544</v>
      </c>
      <c r="O70" s="24"/>
      <c r="P70" s="25"/>
    </row>
    <row r="71" spans="2:16" ht="15.75" thickBot="1" x14ac:dyDescent="0.3">
      <c r="B71" s="7"/>
      <c r="H71" s="25"/>
      <c r="I71" s="25"/>
      <c r="J71" s="26"/>
      <c r="K71" s="21">
        <v>200</v>
      </c>
      <c r="L71" s="21">
        <f t="shared" ref="L71:M71" si="1">SUM(L66:L70)</f>
        <v>528.07999999999993</v>
      </c>
      <c r="M71" s="21">
        <f t="shared" si="1"/>
        <v>7015.92</v>
      </c>
    </row>
  </sheetData>
  <mergeCells count="5">
    <mergeCell ref="H36:K36"/>
    <mergeCell ref="B38:D38"/>
    <mergeCell ref="B14:E14"/>
    <mergeCell ref="B3:E3"/>
    <mergeCell ref="B31:E3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70030-3587-4168-9AF4-7E1418BF9A80}">
  <dimension ref="B2:H20"/>
  <sheetViews>
    <sheetView workbookViewId="0">
      <selection activeCell="E29" sqref="E29"/>
    </sheetView>
  </sheetViews>
  <sheetFormatPr defaultColWidth="11.42578125" defaultRowHeight="15" x14ac:dyDescent="0.25"/>
  <cols>
    <col min="1" max="1" width="11.42578125" style="84"/>
    <col min="2" max="2" width="62.140625" style="84" customWidth="1"/>
    <col min="3" max="3" width="16.7109375" style="84" bestFit="1" customWidth="1"/>
    <col min="4" max="16384" width="11.42578125" style="84"/>
  </cols>
  <sheetData>
    <row r="2" spans="2:8" s="84" customFormat="1" ht="15.75" thickBot="1" x14ac:dyDescent="0.3"/>
    <row r="3" spans="2:8" s="84" customFormat="1" ht="15.75" thickBot="1" x14ac:dyDescent="0.3">
      <c r="B3" s="85" t="s">
        <v>78</v>
      </c>
      <c r="C3" s="86" t="s">
        <v>73</v>
      </c>
    </row>
    <row r="4" spans="2:8" s="84" customFormat="1" ht="15.75" thickTop="1" x14ac:dyDescent="0.25">
      <c r="B4" s="87" t="s">
        <v>79</v>
      </c>
      <c r="C4" s="60">
        <v>103657.92174187397</v>
      </c>
    </row>
    <row r="5" spans="2:8" s="84" customFormat="1" x14ac:dyDescent="0.25">
      <c r="B5" s="87" t="s">
        <v>80</v>
      </c>
      <c r="C5" s="88">
        <v>172263.33189726115</v>
      </c>
    </row>
    <row r="6" spans="2:8" s="84" customFormat="1" x14ac:dyDescent="0.25">
      <c r="B6" s="89" t="s">
        <v>83</v>
      </c>
      <c r="C6" s="88">
        <v>63251.506849315061</v>
      </c>
    </row>
    <row r="7" spans="2:8" s="84" customFormat="1" x14ac:dyDescent="0.25">
      <c r="B7" s="90" t="s">
        <v>81</v>
      </c>
      <c r="C7" s="91">
        <f>SUM(C4:C6)</f>
        <v>339172.76048845018</v>
      </c>
      <c r="D7" s="92"/>
      <c r="G7" s="93"/>
    </row>
    <row r="8" spans="2:8" s="84" customFormat="1" ht="15.75" thickBot="1" x14ac:dyDescent="0.3">
      <c r="B8" s="94" t="s">
        <v>82</v>
      </c>
      <c r="C8" s="95">
        <f>C7*0.21</f>
        <v>71226.279702574539</v>
      </c>
    </row>
    <row r="9" spans="2:8" s="84" customFormat="1" ht="16.5" thickTop="1" thickBot="1" x14ac:dyDescent="0.3">
      <c r="B9" s="96" t="s">
        <v>1</v>
      </c>
      <c r="C9" s="97">
        <f>C7*1.21</f>
        <v>410399.04019102472</v>
      </c>
    </row>
    <row r="10" spans="2:8" s="84" customFormat="1" ht="15.75" thickBot="1" x14ac:dyDescent="0.3"/>
    <row r="11" spans="2:8" s="84" customFormat="1" ht="15.75" thickBot="1" x14ac:dyDescent="0.3">
      <c r="B11" s="52" t="s">
        <v>71</v>
      </c>
      <c r="C11" s="59"/>
    </row>
    <row r="12" spans="2:8" s="84" customFormat="1" ht="21" customHeight="1" x14ac:dyDescent="0.25">
      <c r="B12" s="58" t="s">
        <v>88</v>
      </c>
      <c r="C12" s="77">
        <f>Costos!E40</f>
        <v>147738.70660142467</v>
      </c>
    </row>
    <row r="13" spans="2:8" s="84" customFormat="1" x14ac:dyDescent="0.25">
      <c r="B13" s="58" t="s">
        <v>72</v>
      </c>
      <c r="C13" s="60">
        <f>Costos!E36</f>
        <v>88900.447463013697</v>
      </c>
      <c r="H13" s="98"/>
    </row>
    <row r="14" spans="2:8" s="84" customFormat="1" x14ac:dyDescent="0.25">
      <c r="B14" s="58" t="s">
        <v>89</v>
      </c>
      <c r="C14" s="60">
        <f>Costos!E44</f>
        <v>54246.575342465752</v>
      </c>
    </row>
    <row r="15" spans="2:8" s="84" customFormat="1" ht="15.75" thickBot="1" x14ac:dyDescent="0.3">
      <c r="B15" s="80" t="s">
        <v>73</v>
      </c>
      <c r="C15" s="81">
        <f>SUM(C12:C14)</f>
        <v>290885.72940690414</v>
      </c>
    </row>
    <row r="16" spans="2:8" s="84" customFormat="1" ht="15.75" thickBot="1" x14ac:dyDescent="0.3">
      <c r="B16" s="53" t="s">
        <v>74</v>
      </c>
      <c r="C16" s="54"/>
    </row>
    <row r="17" spans="2:3" s="84" customFormat="1" x14ac:dyDescent="0.25">
      <c r="B17" s="78" t="s">
        <v>75</v>
      </c>
      <c r="C17" s="79">
        <f>C15*0.1</f>
        <v>29088.572940690414</v>
      </c>
    </row>
    <row r="18" spans="2:3" s="84" customFormat="1" x14ac:dyDescent="0.25">
      <c r="B18" s="82" t="s">
        <v>73</v>
      </c>
      <c r="C18" s="83">
        <f>SUM(C17)</f>
        <v>29088.572940690414</v>
      </c>
    </row>
    <row r="19" spans="2:3" s="84" customFormat="1" ht="15.75" thickBot="1" x14ac:dyDescent="0.3">
      <c r="B19" s="53" t="s">
        <v>76</v>
      </c>
      <c r="C19" s="56">
        <f>(C15+C18)*0.06</f>
        <v>19198.45814085567</v>
      </c>
    </row>
    <row r="20" spans="2:3" s="84" customFormat="1" ht="15.75" thickBot="1" x14ac:dyDescent="0.3">
      <c r="B20" s="55" t="s">
        <v>77</v>
      </c>
      <c r="C20" s="57">
        <f>C19+C15+C18</f>
        <v>339172.76048845018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ACD3D-F88F-49DB-89F6-4D271C1C8EC3}">
  <dimension ref="B3:J15"/>
  <sheetViews>
    <sheetView tabSelected="1" topLeftCell="A4" workbookViewId="0">
      <selection activeCell="C13" sqref="C13"/>
    </sheetView>
  </sheetViews>
  <sheetFormatPr defaultRowHeight="15" x14ac:dyDescent="0.25"/>
  <cols>
    <col min="2" max="2" width="12.140625" customWidth="1"/>
    <col min="3" max="3" width="31.42578125" customWidth="1"/>
    <col min="4" max="4" width="9.5703125" bestFit="1" customWidth="1"/>
    <col min="6" max="6" width="13.42578125" customWidth="1"/>
    <col min="8" max="8" width="13.7109375" customWidth="1"/>
    <col min="9" max="9" width="15.140625" customWidth="1"/>
  </cols>
  <sheetData>
    <row r="3" spans="2:10" ht="15.75" thickBot="1" x14ac:dyDescent="0.3"/>
    <row r="4" spans="2:10" s="74" customFormat="1" ht="26.25" thickBot="1" x14ac:dyDescent="0.3">
      <c r="B4" s="106" t="s">
        <v>91</v>
      </c>
      <c r="C4" s="99" t="s">
        <v>92</v>
      </c>
      <c r="D4" s="99" t="s">
        <v>93</v>
      </c>
      <c r="E4" s="99" t="s">
        <v>94</v>
      </c>
      <c r="F4" s="99" t="s">
        <v>95</v>
      </c>
      <c r="G4" s="99" t="s">
        <v>96</v>
      </c>
      <c r="H4" s="99" t="s">
        <v>97</v>
      </c>
      <c r="I4" s="99" t="s">
        <v>98</v>
      </c>
    </row>
    <row r="5" spans="2:10" ht="15.75" thickBot="1" x14ac:dyDescent="0.3">
      <c r="B5" s="103">
        <v>2025</v>
      </c>
      <c r="C5" s="100">
        <v>69999</v>
      </c>
      <c r="D5" s="100">
        <v>33313</v>
      </c>
      <c r="E5" s="100">
        <v>1423</v>
      </c>
      <c r="F5" s="104">
        <v>314762.59924242424</v>
      </c>
      <c r="G5" s="102">
        <v>0.21</v>
      </c>
      <c r="H5" s="104">
        <f>F5*0.21</f>
        <v>66100.145840909085</v>
      </c>
      <c r="I5" s="105">
        <f>SUM(H5,F5)</f>
        <v>380862.74508333334</v>
      </c>
    </row>
    <row r="6" spans="2:10" ht="15.75" thickBot="1" x14ac:dyDescent="0.3">
      <c r="B6" s="103">
        <v>2026</v>
      </c>
      <c r="C6" s="100">
        <v>69999</v>
      </c>
      <c r="D6" s="100">
        <v>33313</v>
      </c>
      <c r="E6" s="100">
        <v>1423</v>
      </c>
      <c r="F6" s="104">
        <v>24410.160757575759</v>
      </c>
      <c r="G6" s="102">
        <v>0.21</v>
      </c>
      <c r="H6" s="104">
        <f>F6*0.21</f>
        <v>5126.1337590909088</v>
      </c>
      <c r="I6" s="105">
        <f>SUM(H6,F6)</f>
        <v>29536.294516666669</v>
      </c>
    </row>
    <row r="8" spans="2:10" x14ac:dyDescent="0.25">
      <c r="B8" s="107"/>
      <c r="F8" s="101">
        <f>SUM(F5:F7)</f>
        <v>339172.76</v>
      </c>
      <c r="G8" s="101"/>
      <c r="H8" s="101">
        <f t="shared" ref="H8" si="0">SUM(H5:H7)</f>
        <v>71226.279599999994</v>
      </c>
      <c r="I8" s="101">
        <f>SUM(I5:I7)</f>
        <v>410399.03960000002</v>
      </c>
    </row>
    <row r="10" spans="2:10" x14ac:dyDescent="0.25">
      <c r="I10" s="101"/>
    </row>
    <row r="15" spans="2:10" x14ac:dyDescent="0.25">
      <c r="J15" s="10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B427C3D605C64DBD2CFC655E8171D1" ma:contentTypeVersion="5" ma:contentTypeDescription="Crear nuevo documento." ma:contentTypeScope="" ma:versionID="05715563a79815d5ec1a3a556cd059d0">
  <xsd:schema xmlns:xsd="http://www.w3.org/2001/XMLSchema" xmlns:xs="http://www.w3.org/2001/XMLSchema" xmlns:p="http://schemas.microsoft.com/office/2006/metadata/properties" xmlns:ns3="841c963f-3587-4187-9cf1-c630647e51ed" targetNamespace="http://schemas.microsoft.com/office/2006/metadata/properties" ma:root="true" ma:fieldsID="23c7cd4994c7a530df88afc320c51bf6" ns3:_="">
    <xsd:import namespace="841c963f-3587-4187-9cf1-c630647e51e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c963f-3587-4187-9cf1-c630647e51e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41c963f-3587-4187-9cf1-c630647e51ed" xsi:nil="true"/>
  </documentManagement>
</p:properties>
</file>

<file path=customXml/itemProps1.xml><?xml version="1.0" encoding="utf-8"?>
<ds:datastoreItem xmlns:ds="http://schemas.openxmlformats.org/officeDocument/2006/customXml" ds:itemID="{E6192FF9-4692-4C1E-99EF-194547CA8F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2B93AF-5203-46AC-A93F-BE337A52D9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c963f-3587-4187-9cf1-c630647e51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E3ED5C-3E85-45DA-AD7C-C8A8DD3DFE3C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841c963f-3587-4187-9cf1-c630647e51e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Costos</vt:lpstr>
      <vt:lpstr>taula informe</vt:lpstr>
      <vt:lpstr>Imputació pressupostària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ALARCON, SERGIO</dc:creator>
  <cp:lastModifiedBy>BAYARRI VALCARCEL, PASCUAL</cp:lastModifiedBy>
  <dcterms:created xsi:type="dcterms:W3CDTF">2025-09-29T05:22:07Z</dcterms:created>
  <dcterms:modified xsi:type="dcterms:W3CDTF">2025-11-18T14:30:14Z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0x0101005AB427C3D605C64DBD2CFC655E8171D1</vt:lpwstr>
  </property>
</Properties>
</file>