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Full 1" sheetId="1" r:id="rId1"/>
  </sheets>
  <calcPr calcId="124519"/>
</workbook>
</file>

<file path=xl/sharedStrings.xml><?xml version="1.0" encoding="utf-8"?>
<sst xmlns="http://schemas.openxmlformats.org/spreadsheetml/2006/main" count="869" uniqueCount="869">
  <si>
    <t xml:space="preserve">Obra:</t>
  </si>
  <si>
    <t xml:space="preserve">Canvi bomba calor Biblioteca Caterina Albert</t>
  </si>
  <si>
    <t xml:space="preserve">Pressupost</t>
  </si>
  <si>
    <t xml:space="preserve">% C.I.</t>
  </si>
  <si>
    <t xml:space="preserve">Codi</t>
  </si>
  <si>
    <t xml:space="preserve">Tipus</t>
  </si>
  <si>
    <t xml:space="preserve">U</t>
  </si>
  <si>
    <t xml:space="preserve">Resum</t>
  </si>
  <si>
    <t xml:space="preserve">Quantitat</t>
  </si>
  <si>
    <t xml:space="preserve">Preu (€)</t>
  </si>
  <si>
    <t xml:space="preserve">Import (€)</t>
  </si>
  <si>
    <t xml:space="preserve">CANVI REFREDADORA CATALB. REV1</t>
  </si>
  <si>
    <t xml:space="preserve">Capítol</t>
  </si>
  <si>
    <t xml:space="preserve">Canvi bomba calor Biblioteca Caterina Albert</t>
  </si>
  <si>
    <t xml:space="preserve">0</t>
  </si>
  <si>
    <t xml:space="preserve">Capítol</t>
  </si>
  <si>
    <t xml:space="preserve">Actuacions prèvies</t>
  </si>
  <si>
    <t xml:space="preserve">0X</t>
  </si>
  <si>
    <t xml:space="preserve">Capítol</t>
  </si>
  <si>
    <t xml:space="preserve">Bastides i maquinària d'elevació</t>
  </si>
  <si>
    <t xml:space="preserve">0XG</t>
  </si>
  <si>
    <t xml:space="preserve">Capítol</t>
  </si>
  <si>
    <t xml:space="preserve">Grues autopropulsades</t>
  </si>
  <si>
    <t xml:space="preserve">0XG010</t>
  </si>
  <si>
    <t xml:space="preserve">Partida</t>
  </si>
  <si>
    <t xml:space="preserve">h</t>
  </si>
  <si>
    <t xml:space="preserve">Grua autopropulsada amb braç telescòpic.</t>
  </si>
  <si>
    <t xml:space="preserve">Grua autopropulsada de braç telescòpic amb una capacitat d'elevació de 30 t i 27 m d'altura màxima de treball.
S'inclou gestió de permisos i pagament de taxes
Criteri d'amidament de projecte: Temps estimat.
Criteri de mesura d'obra: Amortització en forma de lloguer per hores, segons condicions definides en el contracte subscrit amb l'empresa suministradora.</t>
  </si>
  <si>
    <t xml:space="preserve">mq07gte010c</t>
  </si>
  <si>
    <t xml:space="preserve">Maquinària</t>
  </si>
  <si>
    <t xml:space="preserve">h</t>
  </si>
  <si>
    <t xml:space="preserve">Grua autopropulsada de braç telescòpic amb una capacitat d'elevació de 30 t i 27 m d'altura màxima de treball.</t>
  </si>
  <si>
    <t xml:space="preserve">%</t>
  </si>
  <si>
    <t xml:space="preserve">%</t>
  </si>
  <si>
    <t xml:space="preserve">Costos directes complementaris</t>
  </si>
  <si>
    <t xml:space="preserve">0XG010</t>
  </si>
  <si>
    <t xml:space="preserve">0XG</t>
  </si>
  <si>
    <t xml:space="preserve">0X</t>
  </si>
  <si>
    <t xml:space="preserve">0</t>
  </si>
  <si>
    <t xml:space="preserve">D</t>
  </si>
  <si>
    <t xml:space="preserve">Capítol</t>
  </si>
  <si>
    <t xml:space="preserve">Demolicions</t>
  </si>
  <si>
    <t xml:space="preserve">DI</t>
  </si>
  <si>
    <t xml:space="preserve">Capítol</t>
  </si>
  <si>
    <t xml:space="preserve">Instal·lacions</t>
  </si>
  <si>
    <t xml:space="preserve">DIC</t>
  </si>
  <si>
    <t xml:space="preserve">Capítol</t>
  </si>
  <si>
    <t xml:space="preserve">Calefacció, climatització i A.C.S.</t>
  </si>
  <si>
    <t xml:space="preserve">DIC110</t>
  </si>
  <si>
    <t xml:space="preserve">Partida</t>
  </si>
  <si>
    <t xml:space="preserve">U</t>
  </si>
  <si>
    <t xml:space="preserve">Desmuntatge d'unitat centralitzada aire-aigua de refrigeració o bomba de calor reversible.</t>
  </si>
  <si>
    <t xml:space="preserve">Desmuntatge d'unitat centralitzada aire-aigua de refrigeració o bomba de calor reversible i els seus components, instal·lada en exterior (coberta), de 350 kW de potència frigorífica màxima, amb mitjans manuals i mecànics, i càrrega mecànica sobre camió o contenidor.
Criteri de valoració econòmica: El preu inclou el desmuntatge dels accessoris i de la bancada metàl·lica de recolzament.
Inclou: Desmuntatge de l'element. Retirada i apilament del material desmuntat. Neteja de les restes de l'obra. Càrrega mecànica del material desmuntat i restes de l'obra sobre camió o contenidor.
Criteri d'amidament de projecte: Nombre d'unitats previstes, segons documentació gràfica de Projecte.
Criteri de mesura d'obra: S'amidarà el nombre d'unitats realment desmuntades segons especificacions de Projecte.</t>
  </si>
  <si>
    <t xml:space="preserve">mo004</t>
  </si>
  <si>
    <t xml:space="preserve">Mà d'obra</t>
  </si>
  <si>
    <t xml:space="preserve">h</t>
  </si>
  <si>
    <t xml:space="preserve">Oficial 1ª calefactor.</t>
  </si>
  <si>
    <t xml:space="preserve">mo103</t>
  </si>
  <si>
    <t xml:space="preserve">Mà d'obra</t>
  </si>
  <si>
    <t xml:space="preserve">h</t>
  </si>
  <si>
    <t xml:space="preserve">Ajudant calefactor.</t>
  </si>
  <si>
    <t xml:space="preserve">%</t>
  </si>
  <si>
    <t xml:space="preserve">%</t>
  </si>
  <si>
    <t xml:space="preserve">Costos directes complementaris</t>
  </si>
  <si>
    <t xml:space="preserve">DIC110</t>
  </si>
  <si>
    <t xml:space="preserve">DIC</t>
  </si>
  <si>
    <t xml:space="preserve">DI</t>
  </si>
  <si>
    <t xml:space="preserve">D</t>
  </si>
  <si>
    <t xml:space="preserve">Q</t>
  </si>
  <si>
    <t xml:space="preserve">Capítol</t>
  </si>
  <si>
    <t xml:space="preserve">Cobertes</t>
  </si>
  <si>
    <t xml:space="preserve">DES_COB</t>
  </si>
  <si>
    <t xml:space="preserve">Partida</t>
  </si>
  <si>
    <t xml:space="preserve">U</t>
  </si>
  <si>
    <t xml:space="preserve">DESMUNTATGE DE COBERTA I INSTAL·LACIONS EXISTENTS</t>
  </si>
  <si>
    <t xml:space="preserve">Desmuntatge de la coberta existent per poder retirar la màquina climatitzadora existent i la posterior instal·lació de la nova màquina. Això inclou la retirada de l'estructura i les plaques de reixeta metàl·lica necessàries, i de totes les instal·lacions que es vegin afectades (enllumenat, electricitat i conductes d’aigua que alimenten als diferents climatitzadors que hi ha en la sala). La retirada d'aquestes instal·lacions es mantidran per poder-les tornar a muntar.
Inclou: Desmuntatge de l'element. Retirada i apilament del material desmuntat. Neteja de les restes de l'obra. Càrrega mecànica del material desmuntat i restes de l'obra sobre camió o contenidor.
Criteri d'amidament de projecte: Nombre d'unitats previstes, segons documentació gràfica de Projecte.
Criteri de mesura d'obra: S'amidarà el nombre d'unitats realment desmuntades segons especificacions de Projecte.</t>
  </si>
  <si>
    <t xml:space="preserve">mo004</t>
  </si>
  <si>
    <t xml:space="preserve">Mà d'obra</t>
  </si>
  <si>
    <t xml:space="preserve">h</t>
  </si>
  <si>
    <t xml:space="preserve">Oficial 1ª calefactor.</t>
  </si>
  <si>
    <t xml:space="preserve">mo103</t>
  </si>
  <si>
    <t xml:space="preserve">Mà d'obra</t>
  </si>
  <si>
    <t xml:space="preserve">h</t>
  </si>
  <si>
    <t xml:space="preserve">Ajudant calefactor.</t>
  </si>
  <si>
    <t xml:space="preserve">%</t>
  </si>
  <si>
    <t xml:space="preserve">%</t>
  </si>
  <si>
    <t xml:space="preserve">Costos directes complementaris</t>
  </si>
  <si>
    <t xml:space="preserve">DES_COB</t>
  </si>
  <si>
    <t xml:space="preserve">MUN_COB</t>
  </si>
  <si>
    <t xml:space="preserve">Partida</t>
  </si>
  <si>
    <t xml:space="preserve">U</t>
  </si>
  <si>
    <t xml:space="preserve">REPOSICIÓ DE COBERTA I INSTAL·LACIONS EXISTENTS</t>
  </si>
  <si>
    <t xml:space="preserve">Un cop s'ha connectat la nova màquina i se n'ha comprovat el funcionament correcte es durà a terme la reposició de la coberta prèviament desmuntada i de totes les instal·lacions que s'hagin vist afectades (sostre, enllumenat, instal·lació elèctrica, canonades d’aigua, ...)
Inclou: Muntatge dels elements anteriorment retirats. 
Criteri d'amidament de projecte: Nombre d'unitats previstes, segons documentació gràfica de Projecte.
Criteri de mesura d'obra: S'amidarà el nombre d'unitats realment desmuntades segons especificacions de Projecte.</t>
  </si>
  <si>
    <t xml:space="preserve">mat_rep</t>
  </si>
  <si>
    <t xml:space="preserve">Material</t>
  </si>
  <si>
    <t xml:space="preserve">U</t>
  </si>
  <si>
    <t xml:space="preserve">Material de reposició</t>
  </si>
  <si>
    <t xml:space="preserve">mo004</t>
  </si>
  <si>
    <t xml:space="preserve">Mà d'obra</t>
  </si>
  <si>
    <t xml:space="preserve">h</t>
  </si>
  <si>
    <t xml:space="preserve">Oficial 1ª calefactor.</t>
  </si>
  <si>
    <t xml:space="preserve">mo103</t>
  </si>
  <si>
    <t xml:space="preserve">Mà d'obra</t>
  </si>
  <si>
    <t xml:space="preserve">h</t>
  </si>
  <si>
    <t xml:space="preserve">Ajudant calefactor.</t>
  </si>
  <si>
    <t xml:space="preserve">%</t>
  </si>
  <si>
    <t xml:space="preserve">%</t>
  </si>
  <si>
    <t xml:space="preserve">Costos directes complementaris</t>
  </si>
  <si>
    <t xml:space="preserve">MUN_COB</t>
  </si>
  <si>
    <t xml:space="preserve">Q</t>
  </si>
  <si>
    <t xml:space="preserve">N</t>
  </si>
  <si>
    <t xml:space="preserve">Capítol</t>
  </si>
  <si>
    <t xml:space="preserve">Aïllaments i impermeabilitzacions</t>
  </si>
  <si>
    <t xml:space="preserve">QUM025b</t>
  </si>
  <si>
    <t xml:space="preserve">Partida</t>
  </si>
  <si>
    <t xml:space="preserve">U</t>
  </si>
  <si>
    <t xml:space="preserve">Modificació de panells sandvitx aïllants, incorporant zona ventilada</t>
  </si>
  <si>
    <t xml:space="preserve">Modificació de 3 metres de la part inferior del panell acústic per incorporar reixes de ventilació amb atenuació acústica.
S'inlcou tot el material necessari pel muntatge.
Inclou: Neteja de la superfície suport. Replanteig dels panells per faldó. Tall, preparació i col·locació dels panells. Fixació mecànica dels panells. Segellat de junts. Aplicació d'una mà de pintura antioxidant en els cavalcaments entre panells.
Criteri d'amidament de projecte: Superfície mesurada en veritable magnitud, segons documentació gràfica de Projecte.
Criteri de mesura d'obra: Es mesurarà, en veritable magnitud, la superfície realment executada segons especificacions de Projecte.</t>
  </si>
  <si>
    <t xml:space="preserve">mt13dcp031a</t>
  </si>
  <si>
    <t xml:space="preserve">Material</t>
  </si>
  <si>
    <t xml:space="preserve">U</t>
  </si>
  <si>
    <t xml:space="preserve">Reixa acústica tipus RSA amb possibilitat de pas d'aire de 600 mm d'altura i 1500 mm de llargada i 300 mm de fondària.</t>
  </si>
  <si>
    <t xml:space="preserve">mo051</t>
  </si>
  <si>
    <t xml:space="preserve">Mà d'obra</t>
  </si>
  <si>
    <t xml:space="preserve">h</t>
  </si>
  <si>
    <t xml:space="preserve">Oficial 1ª muntador de tancaments industrials.</t>
  </si>
  <si>
    <t xml:space="preserve">mo098</t>
  </si>
  <si>
    <t xml:space="preserve">Mà d'obra</t>
  </si>
  <si>
    <t xml:space="preserve">h</t>
  </si>
  <si>
    <t xml:space="preserve">Ajudant muntador de tancaments industrials.</t>
  </si>
  <si>
    <t xml:space="preserve">%</t>
  </si>
  <si>
    <t xml:space="preserve">%</t>
  </si>
  <si>
    <t xml:space="preserve">Costos directes complementaris</t>
  </si>
  <si>
    <t xml:space="preserve">QUM025b</t>
  </si>
  <si>
    <t xml:space="preserve">N</t>
  </si>
  <si>
    <t xml:space="preserve">H</t>
  </si>
  <si>
    <t xml:space="preserve">Capítol</t>
  </si>
  <si>
    <t xml:space="preserve">Acabaments i ajudes</t>
  </si>
  <si>
    <t xml:space="preserve">HY</t>
  </si>
  <si>
    <t xml:space="preserve">Capítol</t>
  </si>
  <si>
    <t xml:space="preserve">Ajudes de ram de paleta</t>
  </si>
  <si>
    <t xml:space="preserve">HYA</t>
  </si>
  <si>
    <t xml:space="preserve">Capítol</t>
  </si>
  <si>
    <t xml:space="preserve">Per instal·lacions</t>
  </si>
  <si>
    <t xml:space="preserve">HYA010</t>
  </si>
  <si>
    <t xml:space="preserve">Partida</t>
  </si>
  <si>
    <t xml:space="preserve">m²</t>
  </si>
  <si>
    <t xml:space="preserve">Ajudes de paleta per a execució de les instal·lacions.</t>
  </si>
  <si>
    <t xml:space="preserve">Repercussió per m² de superfície construïda d'obra, d'ajudes de qualsevol treball de ram de paleta, necessàries per a la correcta execució de l'instal·lació elèctrica formada per: posada a terra, xarxa d'equipotencialitat, caixa general de protecció, línia general d'alimentació, centralització de comptadors, derivacions individuals i xarxa de distribució interior, amb un grau de complexitat mig, en edifici d'altres utilitats, inclosa p/p d'elements comuns. Inclús material auxiliar per a la correcta execució dels treballs.
Inclou: Treballs d'obertura i tapat de regates. Obertura de forats en paraments, falsos sostres, murs, sostres i lloses, per al pas d'instal·lacions. Col·locació de passamurs. Col·locació i rebut de caixes per a elements encastats. Segellat de forats i buits de pas d'instal·lacions.
Criteri d'amidament de projecte: Superfície construïda, mesurada segons documentació gràfica de Projecte.
Criteri de mesura d'obra: Es mesurarà la superfície realment executada segons especificacions de Projecte.</t>
  </si>
  <si>
    <t xml:space="preserve">mt09pye010b</t>
  </si>
  <si>
    <t xml:space="preserve">Material</t>
  </si>
  <si>
    <t xml:space="preserve">m³</t>
  </si>
  <si>
    <t xml:space="preserve">Pasta de guix de construcció B1, segons UNE-EN 13279-1.</t>
  </si>
  <si>
    <t xml:space="preserve">mt08aaa010a</t>
  </si>
  <si>
    <t xml:space="preserve">Material</t>
  </si>
  <si>
    <t xml:space="preserve">m³</t>
  </si>
  <si>
    <t xml:space="preserve">Aigua.</t>
  </si>
  <si>
    <t xml:space="preserve">mt09mif010ia</t>
  </si>
  <si>
    <t xml:space="preserve">Material</t>
  </si>
  <si>
    <t xml:space="preserve">t</t>
  </si>
  <si>
    <t xml:space="preserve">Morter industrial per a obra de paleta, de ciment, color gris, amb additiu hidròfug, categoria M-5 (resistència a compressió 5 N/mm²), subministrat en sacs, segons UNE-EN 998-2.</t>
  </si>
  <si>
    <t xml:space="preserve">mq05per010</t>
  </si>
  <si>
    <t xml:space="preserve">Maquinària</t>
  </si>
  <si>
    <t xml:space="preserve">h</t>
  </si>
  <si>
    <t xml:space="preserve">Perforadora amb corona diamantada i suport, per via humida.</t>
  </si>
  <si>
    <t xml:space="preserve">mo020</t>
  </si>
  <si>
    <t xml:space="preserve">Mà d'obra</t>
  </si>
  <si>
    <t xml:space="preserve">h</t>
  </si>
  <si>
    <t xml:space="preserve">Oficial 1ª construcció.</t>
  </si>
  <si>
    <t xml:space="preserve">mo113</t>
  </si>
  <si>
    <t xml:space="preserve">Mà d'obra</t>
  </si>
  <si>
    <t xml:space="preserve">h</t>
  </si>
  <si>
    <t xml:space="preserve">Peó ordinari construcció.</t>
  </si>
  <si>
    <t xml:space="preserve">%</t>
  </si>
  <si>
    <t xml:space="preserve">%</t>
  </si>
  <si>
    <t xml:space="preserve">Costos directes complementaris</t>
  </si>
  <si>
    <t xml:space="preserve">HYA010</t>
  </si>
  <si>
    <t xml:space="preserve">HYA</t>
  </si>
  <si>
    <t xml:space="preserve">HYL</t>
  </si>
  <si>
    <t xml:space="preserve">Capítol</t>
  </si>
  <si>
    <t xml:space="preserve">Neteja d'obra</t>
  </si>
  <si>
    <t xml:space="preserve">HYL020</t>
  </si>
  <si>
    <t xml:space="preserve">Partida</t>
  </si>
  <si>
    <t xml:space="preserve">U</t>
  </si>
  <si>
    <t xml:space="preserve">Neteja final d'obra.</t>
  </si>
  <si>
    <t xml:space="preserve">Neteja final d'obra en edifici d'altres usos, amb una superfície construïda mitja de 2500 m², incloent els treballs d'eliminació de la sucietat i la pols acumulada en paraments i tancaments metàl·lics, neteja i desinfecció de banys i lavavos, neteja de vidres i tancaments exteriors, eliminació de taques i restes de guix i morter adherits en terres i altres elements, recollida i retirada de plàstics i cartrons, tot això junt amb les restes de fi d'obra dipositats en el contenidor de residus per al seu transport a abocador autoritzat.
Inclou: Treballs de neteja. Retirada i apilament de les restes generades. Càrrega manual de les restes generades sobre camió o contenidor.
Criteri d'amidament de projecte: Nombre d'unitats previstes, segons documentació gràfica de Projecte.
Criteri de mesura d'obra: Es mesurarà el nombre d'unitats realment executades segons especificacions de Projecte.</t>
  </si>
  <si>
    <t xml:space="preserve">mo113</t>
  </si>
  <si>
    <t xml:space="preserve">Mà d'obra</t>
  </si>
  <si>
    <t xml:space="preserve">h</t>
  </si>
  <si>
    <t xml:space="preserve">Peó ordinari construcció.</t>
  </si>
  <si>
    <t xml:space="preserve">%</t>
  </si>
  <si>
    <t xml:space="preserve">%</t>
  </si>
  <si>
    <t xml:space="preserve">Costos directes complementaris</t>
  </si>
  <si>
    <t xml:space="preserve">HYL020</t>
  </si>
  <si>
    <t xml:space="preserve">HYL</t>
  </si>
  <si>
    <t xml:space="preserve">HY</t>
  </si>
  <si>
    <t xml:space="preserve">H</t>
  </si>
  <si>
    <t xml:space="preserve">I</t>
  </si>
  <si>
    <t xml:space="preserve">Capítol</t>
  </si>
  <si>
    <t xml:space="preserve">Instal·lacions</t>
  </si>
  <si>
    <t xml:space="preserve">IC</t>
  </si>
  <si>
    <t xml:space="preserve">Capítol</t>
  </si>
  <si>
    <t xml:space="preserve">Calefacció, climatització i A.C.S.</t>
  </si>
  <si>
    <t xml:space="preserve">ICS</t>
  </si>
  <si>
    <t xml:space="preserve">Capítol</t>
  </si>
  <si>
    <t xml:space="preserve">Sistemes de conducció d'aigua</t>
  </si>
  <si>
    <t xml:space="preserve">ICV010bb</t>
  </si>
  <si>
    <t xml:space="preserve">Partida</t>
  </si>
  <si>
    <t xml:space="preserve">U</t>
  </si>
  <si>
    <t xml:space="preserve">Bomba de calor reversible, aire-aigua a 4 tubs, model NX-Q-G06 /LN /EC /1204 de "CLIMAVENETA", o similar en prestacions i qualitats, de potència frigorífica nominal de 280 kW i potència calorífica nominal de 303,5 kW amb R-454B</t>
  </si>
  <si>
    <t xml:space="preserve">Bomba de calor reversible, aire-aigua a 4 tubs, model NX-Q-G06 /LN /EC /1204 de "CLIMAVENETA", o similar en prestacions i qualitats, de potència frigorífica nominal de 280 kW (temperatura d'entrada de l'aire: 35°C; temperatura de sortida de l'aigua: 7°C, salt tèrmic: 5°C), potència calorífica nominal de 303,5 kW (temperatura humida d'entrada de l'aire: 6°C; temperatura de sortida de l'aigua: 45°C) i amb recuperació de calor (amb un TER de 6,9), d'alta eficiència i baix nivell sonor. Dimensions (longitud-amplada-alçada):4110 x 2200 x 2150 mm i un pes de 3210 kg en funcionament. Amb refrigerant R-454B, 2 circuits i 2 compressors per circuit. Amb mòdul hidrònic amb bomba doble d'alta presió (HP) de velocitat fixa. 
•    Opcionals que inclou: 
o    Protecció contra gelades de l'intercanviador
o    Tractament de protecció "Blygold PoluAl XT" per a aletes de la bateria
o    Amortidors de neoprè
o    Interruptor automàtic de potència
o    Interruptor del flux d’aigua de l’evaporador
o    Mesurador d'energia per a BMS
o    Relé seqüència de fase + Monitor sobretensió i caiguda de tensió
o    Targeta de comunicació Modbus
Així com tots els accessoris necessaris per grantir el seu correcte funcionament; inclús transport fins a peu d'obra sobre camió.
Posada en marxa Inclòs
Inclou: Replanteig de la unitat. Col·locació i fixació de la unitat i els seus accessoris. Connexionat amb les xarxes de conducció d'aigua i elèctrica i de recollida de condensats. Posada en marxa.
Criteri d'amidament de projecte: Nombre d'unitats previstes, segons documentació gràfica de Projecte.
Criteri de mesura d'obra: Es mesurarà el nombre d'unitats realment executades segons especificacions de Projecte.</t>
  </si>
  <si>
    <t xml:space="preserve">mt42bcc120lekbb</t>
  </si>
  <si>
    <t xml:space="preserve">Material</t>
  </si>
  <si>
    <t xml:space="preserve">U</t>
  </si>
  <si>
    <t xml:space="preserve">Bomba de calor reversible, aire-aigua a 4 tubs, model NX-Q-G06 /LN /EC /1204 de "CLIMAVENETA", o similar en prestacions i qualitats, de potència frigorífica nominal de 280 kW i potència calorífica nominal de 303,5 kW amb R-454B</t>
  </si>
  <si>
    <t xml:space="preserve">mo005</t>
  </si>
  <si>
    <t xml:space="preserve">Mà d'obra</t>
  </si>
  <si>
    <t xml:space="preserve">h</t>
  </si>
  <si>
    <t xml:space="preserve">Oficial 1ª instal·lador de climatització.</t>
  </si>
  <si>
    <t xml:space="preserve">mo104</t>
  </si>
  <si>
    <t xml:space="preserve">Mà d'obra</t>
  </si>
  <si>
    <t xml:space="preserve">h</t>
  </si>
  <si>
    <t xml:space="preserve">Ajudant instal·lador de climatització.</t>
  </si>
  <si>
    <t xml:space="preserve">ICV010bb</t>
  </si>
  <si>
    <t xml:space="preserve">ICS080</t>
  </si>
  <si>
    <t xml:space="preserve">Partida</t>
  </si>
  <si>
    <t xml:space="preserve">U</t>
  </si>
  <si>
    <t xml:space="preserve">Purgador d'aire.</t>
  </si>
  <si>
    <t xml:space="preserve">Purgador automàtic d'aire amb boia i rosca de 1/8" de diàmetre, cos i tapa de llautó, per a una pressió màxima de treball de 10 bar i una temperatura màxima de 115°C. Inclús elements de muntatge i accessoris necessaris per al seu correcte funcionament.
Inclou: Replanteig. Col·locació. Connexionat. Comprovació del seu correcte funcionament.
Criteri d'amidament de projecte: Nombre d'unitats previstes, segons documentació gràfica de Projecte.
Criteri de mesura d'obra: Es mesurarà el nombre d'unitats realment executades segons especificacions de Projecte.</t>
  </si>
  <si>
    <t xml:space="preserve">mt37sgl020a</t>
  </si>
  <si>
    <t xml:space="preserve">Material</t>
  </si>
  <si>
    <t xml:space="preserve">U</t>
  </si>
  <si>
    <t xml:space="preserve">Purgador automàtic d'aire amb boia i rosca de 1/8" de diàmetre, cos i tapa de llautó, per a una pressió màxima de treball de 10 bar i una temperatura màxima de 115°C.</t>
  </si>
  <si>
    <t xml:space="preserve">mt38www012</t>
  </si>
  <si>
    <t xml:space="preserve">Material</t>
  </si>
  <si>
    <t xml:space="preserve">U</t>
  </si>
  <si>
    <t xml:space="preserve">Material auxiliar per a instal·lacions de calefacció i A.C.S.</t>
  </si>
  <si>
    <t xml:space="preserve">mo004</t>
  </si>
  <si>
    <t xml:space="preserve">Mà d'obra</t>
  </si>
  <si>
    <t xml:space="preserve">h</t>
  </si>
  <si>
    <t xml:space="preserve">Oficial 1ª calefactor.</t>
  </si>
  <si>
    <t xml:space="preserve">mo103</t>
  </si>
  <si>
    <t xml:space="preserve">Mà d'obra</t>
  </si>
  <si>
    <t xml:space="preserve">h</t>
  </si>
  <si>
    <t xml:space="preserve">Ajudant calefactor.</t>
  </si>
  <si>
    <t xml:space="preserve">%</t>
  </si>
  <si>
    <t xml:space="preserve">%</t>
  </si>
  <si>
    <t xml:space="preserve">Costos directes complementaris</t>
  </si>
  <si>
    <t xml:space="preserve">ICS080</t>
  </si>
  <si>
    <t xml:space="preserve">IFO010</t>
  </si>
  <si>
    <t xml:space="preserve">Partida</t>
  </si>
  <si>
    <t xml:space="preserve">U</t>
  </si>
  <si>
    <t xml:space="preserve">Manòmetre amb bany de glicerina</t>
  </si>
  <si>
    <t xml:space="preserve">Manòmetre amb bany de glicerina, per a muntatge roscat, escala de pressió de 0 a 10 bar, per a control de xarxa de ruixadors. Inclús accessoris i peces especials per a connexió a la xarxa de distribució d'aigua. Totalment muntat, connexionat i provat.
Inclou: Connexió a la xarxa de distribució d'aigua.
Criteri d'amidament de projecte: Nombre d'unitats previstes, segons documentació gràfica de Projecte.
Criteri de mesura d'obra: Es mesurarà el nombre d'unitats realment executades segons especificacions de Projecte.</t>
  </si>
  <si>
    <t xml:space="preserve">mt41upo060a</t>
  </si>
  <si>
    <t xml:space="preserve">Material</t>
  </si>
  <si>
    <t xml:space="preserve">U</t>
  </si>
  <si>
    <t xml:space="preserve">Manòmetre amb bany de glicerina, per a muntatge roscat, escala de pressió de 0 a 10 bar.</t>
  </si>
  <si>
    <t xml:space="preserve">mo008</t>
  </si>
  <si>
    <t xml:space="preserve">Mà d'obra</t>
  </si>
  <si>
    <t xml:space="preserve">h</t>
  </si>
  <si>
    <t xml:space="preserve">Oficial 1ª lampista.</t>
  </si>
  <si>
    <t xml:space="preserve">mo107</t>
  </si>
  <si>
    <t xml:space="preserve">Mà d'obra</t>
  </si>
  <si>
    <t xml:space="preserve">h</t>
  </si>
  <si>
    <t xml:space="preserve">Ajudant lampista.</t>
  </si>
  <si>
    <t xml:space="preserve">%</t>
  </si>
  <si>
    <t xml:space="preserve">%</t>
  </si>
  <si>
    <t xml:space="preserve">Costos directes complementaris</t>
  </si>
  <si>
    <t xml:space="preserve">IFO010</t>
  </si>
  <si>
    <t xml:space="preserve">ICS075f</t>
  </si>
  <si>
    <t xml:space="preserve">Partida</t>
  </si>
  <si>
    <t xml:space="preserve">U</t>
  </si>
  <si>
    <t xml:space="preserve">Vàlvula 4".</t>
  </si>
  <si>
    <t xml:space="preserve">Vàlvula de papallona de ferro colat, DN 100 mm. Inclús elements de muntatge i accessoris necessaris per al seu correcte funcionament.
Inclou: Replanteig. Col·locació. Connexionat. Comprovació del seu correcte funcionament.
Criteri d'amidament de projecte: Nombre d'unitats previstes, segons documentació gràfica de Projecte.
Criteri de mesura d'obra: Es mesurarà el nombre d'unitats realment executades segons especificacions de Projecte.</t>
  </si>
  <si>
    <t xml:space="preserve">mt37svm010h</t>
  </si>
  <si>
    <t xml:space="preserve">Material</t>
  </si>
  <si>
    <t xml:space="preserve">U</t>
  </si>
  <si>
    <t xml:space="preserve">Vàlvula de papallona de ferro colat, DN 100 mm.</t>
  </si>
  <si>
    <t xml:space="preserve">mt38www012</t>
  </si>
  <si>
    <t xml:space="preserve">Material</t>
  </si>
  <si>
    <t xml:space="preserve">U</t>
  </si>
  <si>
    <t xml:space="preserve">Material auxiliar per a instal·lacions de calefacció i A.C.S.</t>
  </si>
  <si>
    <t xml:space="preserve">mo004</t>
  </si>
  <si>
    <t xml:space="preserve">Mà d'obra</t>
  </si>
  <si>
    <t xml:space="preserve">h</t>
  </si>
  <si>
    <t xml:space="preserve">Oficial 1ª calefactor.</t>
  </si>
  <si>
    <t xml:space="preserve">mo103</t>
  </si>
  <si>
    <t xml:space="preserve">Mà d'obra</t>
  </si>
  <si>
    <t xml:space="preserve">h</t>
  </si>
  <si>
    <t xml:space="preserve">Ajudant calefactor.</t>
  </si>
  <si>
    <t xml:space="preserve">%</t>
  </si>
  <si>
    <t xml:space="preserve">%</t>
  </si>
  <si>
    <t xml:space="preserve">Costos directes complementaris</t>
  </si>
  <si>
    <t xml:space="preserve">ICS075f</t>
  </si>
  <si>
    <t xml:space="preserve">ICS075g</t>
  </si>
  <si>
    <t xml:space="preserve">Partida</t>
  </si>
  <si>
    <t xml:space="preserve">U</t>
  </si>
  <si>
    <t xml:space="preserve">Vàlvula esfera 1-1/2".</t>
  </si>
  <si>
    <t xml:space="preserve">Vàlvula d'esfera de llautó niquelat per roscar de 1 1/2". Inclús elements de muntatge i accessoris necessaris per al seu correcte funcionament.
Inclou: Replanteig. Col·locació. Connexionat. Comprovació del seu correcte funcionament.
Criteri d'amidament de projecte: Nombre d'unitats previstes, segons documentació gràfica de Projecte.
Criteri de mesura d'obra: Es mesurarà el nombre d'unitats realment executades segons especificacions de Projecte.</t>
  </si>
  <si>
    <t xml:space="preserve">mt37sve010f</t>
  </si>
  <si>
    <t xml:space="preserve">Material</t>
  </si>
  <si>
    <t xml:space="preserve">U</t>
  </si>
  <si>
    <t xml:space="preserve">Vàlvula d'esfera de llautó niquelat per roscar de 1 1/2".</t>
  </si>
  <si>
    <t xml:space="preserve">mt38www012</t>
  </si>
  <si>
    <t xml:space="preserve">Material</t>
  </si>
  <si>
    <t xml:space="preserve">U</t>
  </si>
  <si>
    <t xml:space="preserve">Material auxiliar per a instal·lacions de calefacció i A.C.S.</t>
  </si>
  <si>
    <t xml:space="preserve">mo004</t>
  </si>
  <si>
    <t xml:space="preserve">Mà d'obra</t>
  </si>
  <si>
    <t xml:space="preserve">h</t>
  </si>
  <si>
    <t xml:space="preserve">Oficial 1ª calefactor.</t>
  </si>
  <si>
    <t xml:space="preserve">mo103</t>
  </si>
  <si>
    <t xml:space="preserve">Mà d'obra</t>
  </si>
  <si>
    <t xml:space="preserve">h</t>
  </si>
  <si>
    <t xml:space="preserve">Ajudant calefactor.</t>
  </si>
  <si>
    <t xml:space="preserve">%</t>
  </si>
  <si>
    <t xml:space="preserve">%</t>
  </si>
  <si>
    <t xml:space="preserve">Costos directes complementaris</t>
  </si>
  <si>
    <t xml:space="preserve">ICS075g</t>
  </si>
  <si>
    <t xml:space="preserve">IOT020</t>
  </si>
  <si>
    <t xml:space="preserve">Partida</t>
  </si>
  <si>
    <t xml:space="preserve">U</t>
  </si>
  <si>
    <t xml:space="preserve">Detector de flux.</t>
  </si>
  <si>
    <t xml:space="preserve">Detector de flux tipus paleta amb retard de fins a 90 segons dos contactes NA/NC, de 4" DN 100 mm de diàmetre, per a una pressió màxima de treball de 31 bar. Inclús tub protector i cables elèctrics.
Inclou: Replanteig del recorregut de la canonada i de la situació del detector. Col·locació i fixació de tubs. Col·locació de l'element. Estesa de cables. Muntatge, connexionat i comprovació del seu correcte funcionament.
Criteri d'amidament de projecte: Nombre d'unitats previstes, segons documentació gràfica de Projecte.
Criteri de mesura d'obra: Es mesurarà el nombre d'unitats realment executades segons especificacions de Projecte.</t>
  </si>
  <si>
    <t xml:space="preserve">mt41dfr010f</t>
  </si>
  <si>
    <t xml:space="preserve">Material</t>
  </si>
  <si>
    <t xml:space="preserve">U</t>
  </si>
  <si>
    <t xml:space="preserve">Detector de flux tipus paleta amb retard de fins a 90 segons dos contactes NA/NC, de 4" DN 100 mm de diàmetre, per a una pressió màxima de treball de 31 bar, segons UNE-EN 12259-5.</t>
  </si>
  <si>
    <t xml:space="preserve">mt35aia090aa</t>
  </si>
  <si>
    <t xml:space="preserve">Material</t>
  </si>
  <si>
    <t xml:space="preserve">m</t>
  </si>
  <si>
    <t xml:space="preserve">Tub rígid de PVC, endollable, corbable en calent, de color negre, de 16 mm de diàmetre nominal, per a canalització fixa en superfície. Resistència a la compressió 1250 N, resistència a l'impacte 2 joules, temperatura de treball -5°C fins 60°C, amb grau de protecció IP547 segons UNE 20324, propietats elèctriques: aïllant, no propagador de la flama. Segons UNE-EN 61386-1 i UNE-EN 61386-22. Inclús abraçadores, elements de subjecció i accessoris (corbes, maneguets, tes, colzes i corbes flexibles).</t>
  </si>
  <si>
    <t xml:space="preserve">mt35cun020a</t>
  </si>
  <si>
    <t xml:space="preserve">Material</t>
  </si>
  <si>
    <t xml:space="preserve">m</t>
  </si>
  <si>
    <t xml:space="preserve">Cable unipolar H07Z1-K (AS), sent la seva tensió assignada de 450/750 V, reacció al foc classe Cca-s1a,d1,a1 segons UNE-EN 50575, amb conductor multifilar de coure classe 5 (-K) de 1,5 mm² de secció, amb aïllament de compost termoplàstic a força de poliolefina lliure de halògens amb baixa emissió de fums i gasos corrosius (Z1). Segons UNE 211025.</t>
  </si>
  <si>
    <t xml:space="preserve">mo008</t>
  </si>
  <si>
    <t xml:space="preserve">Mà d'obra</t>
  </si>
  <si>
    <t xml:space="preserve">h</t>
  </si>
  <si>
    <t xml:space="preserve">Oficial 1ª lampista.</t>
  </si>
  <si>
    <t xml:space="preserve">mo107</t>
  </si>
  <si>
    <t xml:space="preserve">Mà d'obra</t>
  </si>
  <si>
    <t xml:space="preserve">h</t>
  </si>
  <si>
    <t xml:space="preserve">Ajudant lampista.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</si>
  <si>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</si>
  <si>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</si>
  <si>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</si>
  <si>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</si>
  <si>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mo102</t>
  </si>
  <si>
    <t xml:space="preserve">Mà d'obra</t>
  </si>
  <si>
    <t xml:space="preserve">h</t>
  </si>
  <si>
    <t xml:space="preserve">Ajudant electricista.</t>
  </si>
  <si>
    <t xml:space="preserve">%</t>
  </si>
  <si>
    <t xml:space="preserve">%</t>
  </si>
  <si>
    <t xml:space="preserve">Costos directes complementaris</t>
  </si>
  <si>
    <t xml:space="preserve">IOT020</t>
  </si>
  <si>
    <t xml:space="preserve">ICS085bb</t>
  </si>
  <si>
    <t xml:space="preserve">Partida</t>
  </si>
  <si>
    <t xml:space="preserve">U</t>
  </si>
  <si>
    <t xml:space="preserve">Comptador tèrmic climatització</t>
  </si>
  <si>
    <t xml:space="preserve">Comptador tèrmic KAMSTRUP MULTICAL 603 amb ULTRAFLOW PER A FRED I CALOR (2ºC-130ºC) format per integrador independent MULTICAL 603 i caudalimetre ultrasònic ULTRAFLOW MODEL 65-5-FBCL qp 60 m3/h, 360mm x DN100 amb cable de connexió a l'integrador de 2.5m. Alimentació, 2 sondes de temperatura PT500 m. Inclou comunicació via ModBUS.
Inclou part proporcional de connexionat elèctric i de control.
Inclou: Replanteig. Col·locació. Connexionat. Comprovació del seu correcte funcionament.
Criteri d'amidament de projecte: Nombre d'unitats previstes, segons documentació gràfica de Projecte.
Criteri de mesura d'obra: Es mesurarà el nombre d'unitats realment executades segons especificacions de Projecte.</t>
  </si>
  <si>
    <t xml:space="preserve">mt38sth107d</t>
  </si>
  <si>
    <t xml:space="preserve">Material</t>
  </si>
  <si>
    <t xml:space="preserve">U</t>
  </si>
  <si>
    <t xml:space="preserve">Comptador tèrmic, KAMSTRUP MULTICAL 603 o equivalent amb ULTRAFLOW PER A FRED I CALOR (2ºC-130ºC) format per integrador independent MULTICAL 603 i caudalimetre ultrasònic ULTRAFLOW MODEL 65-5-FBCL qp 60 m3/h, 360mm x DN100 amb cable de connexió a l'integrador de 2.5m. Alimentació, 2 sondes de temperatura PT500 m. Inclou comunicació via ModBUS.</t>
  </si>
  <si>
    <t xml:space="preserve">mt38www012</t>
  </si>
  <si>
    <t xml:space="preserve">Material</t>
  </si>
  <si>
    <t xml:space="preserve">U</t>
  </si>
  <si>
    <t xml:space="preserve">Material auxiliar per a instal·lacions de calefacció i A.C.S.</t>
  </si>
  <si>
    <t xml:space="preserve">mo004</t>
  </si>
  <si>
    <t xml:space="preserve">Mà d'obra</t>
  </si>
  <si>
    <t xml:space="preserve">h</t>
  </si>
  <si>
    <t xml:space="preserve">Oficial 1ª calefactor.</t>
  </si>
  <si>
    <t xml:space="preserve">%</t>
  </si>
  <si>
    <t xml:space="preserve">%</t>
  </si>
  <si>
    <t xml:space="preserve">Costos directes complementaris</t>
  </si>
  <si>
    <t xml:space="preserve">ICS085bb</t>
  </si>
  <si>
    <t xml:space="preserve">ICR020</t>
  </si>
  <si>
    <t xml:space="preserve">Partida</t>
  </si>
  <si>
    <t xml:space="preserve">m²</t>
  </si>
  <si>
    <t xml:space="preserve">Conducte de xapa galvanitzada amb aïllament termoacústic exterior.</t>
  </si>
  <si>
    <t xml:space="preserve">Xarxa de conductes de distribució d'aire per a climatització, constituïda per conductes de xapa galvanitzada de 0,6 mm d'espessor i junts transversals amb brida tipus Metu i segellada amb massilla resistent a altes temperatures. Inclús embocadures, derivacions, accessoris de muntatge, elements de fixació i peces especials. Inclou aïllament termoacústic exterior per a conducte metàl·lic rectangular de climatització, realitzat amb manta de llana de vidre, segons UNE-EN 14303, revestida per una de les seves cares amb paper kraft-alumini que actua com a barrera de vapor, de 50 mm d'espessor, resistència tèrmica 1,25 m²K/W, conductivitat tèrmica 0,04 W/(mK), fixat amb cinta autoadhesiva d'alumini. Inclús cinta autoadhesiva d'alumini per la closa de juntes.
Inclou: Replanteig del recorregut dels conductes. Marcat i posterior ancoratge dels suports dels conductes. Muntatge i fixació de conductes. Comprovació del seu correcte funcionament. Realització de proves de servei.
Criteri d'amidament de projecte: Superfície projectada, segons documentació gràfica de Projecte, calculada com a producte del perímetre per la longitud del tram, mesurada entre els eixos dels elements o dels punts a connectar, sense descomptar les peces especials.
Criteri de mesura d'obra: Es mesurarà la superfície realment executada segons especificacions de Projecte.</t>
  </si>
  <si>
    <t xml:space="preserve">mt42con115k</t>
  </si>
  <si>
    <t xml:space="preserve">Material</t>
  </si>
  <si>
    <t xml:space="preserve">U</t>
  </si>
  <si>
    <t xml:space="preserve">Repercussió, per m², de material auxiliar per a fixació a l'obra de conductes autoportants per la distribució d'aire en ventilació i climatització.</t>
  </si>
  <si>
    <t xml:space="preserve">mt42con110k</t>
  </si>
  <si>
    <t xml:space="preserve">Material</t>
  </si>
  <si>
    <t xml:space="preserve">m²</t>
  </si>
  <si>
    <t xml:space="preserve">Xapa galvanitzada de 0,6 mm d'espessor, i junts transversals amb brida tipus Metu i segellada amb massilla resistent a altes temperatures, per a la formació de conductes autoportants per la distribució d'aire en ventilació i climatització.</t>
  </si>
  <si>
    <t xml:space="preserve">mt42con140a</t>
  </si>
  <si>
    <t xml:space="preserve">Material</t>
  </si>
  <si>
    <t xml:space="preserve">m²</t>
  </si>
  <si>
    <t xml:space="preserve">Manta de llana de vidre, segons UNE-EN 14303, revestida per una de les seves cares amb paper kraft-alumini que actua com a barrera de vapor, de 50 mm d'espessor, resistència tèrmica 1,25 m²K/W, conductivitat tèrmica 0,04 W/(mK), Euroclasse B-s1, d0 de reacció al foc segons UNE-EN 13501-1, per a l'aïllament de conductes d'aire en climatització.</t>
  </si>
  <si>
    <t xml:space="preserve">mt42con020</t>
  </si>
  <si>
    <t xml:space="preserve">Material</t>
  </si>
  <si>
    <t xml:space="preserve">m</t>
  </si>
  <si>
    <t xml:space="preserve">Cinta autoadhesiva d'alumini, de 50 micres d'espessor i 65 mm d'amplada, a base de resines acríliques, pel segellat i fixació de l'aïllament.</t>
  </si>
  <si>
    <t xml:space="preserve">mo013</t>
  </si>
  <si>
    <t xml:space="preserve">Mà d'obra</t>
  </si>
  <si>
    <t xml:space="preserve">h</t>
  </si>
  <si>
    <t xml:space="preserve">Oficial 1ª muntador de conductes de xapa metàl·lica.</t>
  </si>
  <si>
    <t xml:space="preserve">mo084</t>
  </si>
  <si>
    <t xml:space="preserve">Mà d'obra</t>
  </si>
  <si>
    <t xml:space="preserve">h</t>
  </si>
  <si>
    <t xml:space="preserve">Ajudant muntador de conductes de xapa metàl·lica.</t>
  </si>
  <si>
    <t xml:space="preserve">%</t>
  </si>
  <si>
    <t xml:space="preserve">%</t>
  </si>
  <si>
    <t xml:space="preserve">Costos directes complementaris</t>
  </si>
  <si>
    <t xml:space="preserve">ICR020</t>
  </si>
  <si>
    <t xml:space="preserve">IBL695</t>
  </si>
  <si>
    <t xml:space="preserve">Partida</t>
  </si>
  <si>
    <t xml:space="preserve">m</t>
  </si>
  <si>
    <t xml:space="preserve">Cable bus de comunicacions.</t>
  </si>
  <si>
    <t xml:space="preserve">Cable bus de comunicacions, apantallat, de 2 fils, de 1,5 mm² de secció per fil.
Inclou: Estesa del cable. Connexionat.
Criteri d'amidament de projecte: Longitud mesurada segons documentació gràfica de Projecte.
Criteri de mesura d'obra: Es mesurarà la longitud realment executada segons especificacions de Projecte.</t>
  </si>
  <si>
    <t xml:space="preserve">mt42cnt120a</t>
  </si>
  <si>
    <t xml:space="preserve">Material</t>
  </si>
  <si>
    <t xml:space="preserve">m</t>
  </si>
  <si>
    <t xml:space="preserve">Cable bus de comunicacions, apantallat, de 2 fils, de 1,5 mm² de secció per fil.</t>
  </si>
  <si>
    <t xml:space="preserve">mo005</t>
  </si>
  <si>
    <t xml:space="preserve">Mà d'obra</t>
  </si>
  <si>
    <t xml:space="preserve">h</t>
  </si>
  <si>
    <t xml:space="preserve">Oficial 1ª instal·lador de climatització.</t>
  </si>
  <si>
    <t xml:space="preserve">mo104</t>
  </si>
  <si>
    <t xml:space="preserve">Mà d'obra</t>
  </si>
  <si>
    <t xml:space="preserve">h</t>
  </si>
  <si>
    <t xml:space="preserve">Ajudant instal·lador de climatització.</t>
  </si>
  <si>
    <t xml:space="preserve">%</t>
  </si>
  <si>
    <t xml:space="preserve">%</t>
  </si>
  <si>
    <t xml:space="preserve">Costos directes complementaris</t>
  </si>
  <si>
    <t xml:space="preserve">IBL695</t>
  </si>
  <si>
    <t xml:space="preserve">HRA200b</t>
  </si>
  <si>
    <t xml:space="preserve">Partida</t>
  </si>
  <si>
    <t xml:space="preserve">m²</t>
  </si>
  <si>
    <t xml:space="preserve">Canalització d'aire amb xapa d'acer galvanitzat.</t>
  </si>
  <si>
    <t xml:space="preserve">Canalització de l'aire exterior de l'equip de refrigeració fins a nivell de relliga format amb xapa d'acer galvanitzat, d'2 mm d'espessor; fixació cargolada a estructura metàl·lica de l'equip en tot el seu perímetre.
Inclou: Replanteig de les peces. Tall de les peces. Col·locació, aplomat, anivellació i alineació. Resolució de trobades i de punts singulars.
Criteri d'amidament de projecte: Superfície mesurada segons documentació gràfica de Projecte.
Criteri de mesura d'obra: Es mesurarà la superfície realment executada segons especificacions de Projecte.</t>
  </si>
  <si>
    <t xml:space="preserve">mt26aha020sab</t>
  </si>
  <si>
    <t xml:space="preserve">Material</t>
  </si>
  <si>
    <t xml:space="preserve">m²</t>
  </si>
  <si>
    <t xml:space="preserve">Xapa d'acer galvanitzat, d'2 mm d'espessor; fixació cargolada a estructura metàl·lica de l'equip en tot el seu perímetre.</t>
  </si>
  <si>
    <t xml:space="preserve">mo018</t>
  </si>
  <si>
    <t xml:space="preserve">Mà d'obra</t>
  </si>
  <si>
    <t xml:space="preserve">h</t>
  </si>
  <si>
    <t xml:space="preserve">Oficial 1ª serraller.</t>
  </si>
  <si>
    <t xml:space="preserve">mo059</t>
  </si>
  <si>
    <t xml:space="preserve">Mà d'obra</t>
  </si>
  <si>
    <t xml:space="preserve">h</t>
  </si>
  <si>
    <t xml:space="preserve">Ajudant serraller.</t>
  </si>
  <si>
    <t xml:space="preserve">%</t>
  </si>
  <si>
    <t xml:space="preserve">%</t>
  </si>
  <si>
    <t xml:space="preserve">Costos directes complementaris</t>
  </si>
  <si>
    <t xml:space="preserve">HRA200b</t>
  </si>
  <si>
    <t xml:space="preserve">ICX010b</t>
  </si>
  <si>
    <t xml:space="preserve">Partida</t>
  </si>
  <si>
    <t xml:space="preserve">U</t>
  </si>
  <si>
    <t xml:space="preserve">Control centralitzat d'instal·lació de climatització.</t>
  </si>
  <si>
    <t xml:space="preserve">Control centralitzat d'instal·lació de climatització, per a integració en BMS, amb PC i pantalla / Telegestió: comunicació bidireccional, OPC/Web server protocol TPC/IP via Ethernet. Totalment muntat, connexionat i provat.
Inclou: Replanteig. Col·locació i fixació dels elements. Connexionat amb la xarxa elèctrica.
Criteri d'amidament de projecte: Nombre d'unitats previstes, segons documentació gràfica de Projecte.
Criteri de mesura d'obra: Es mesurarà el nombre d'unitats realment executades segons especificacions de Projecte.</t>
  </si>
  <si>
    <t xml:space="preserve">mt42cnt010ab</t>
  </si>
  <si>
    <t xml:space="preserve">Material</t>
  </si>
  <si>
    <t xml:space="preserve">U</t>
  </si>
  <si>
    <t xml:space="preserve">SISTEMA DE GESTIÓ WEB FORMAT PER: Desig Optic Embegut X200 HW i 2 Llicències 100 CAPS per a sistema Embegut de Siemens</t>
  </si>
  <si>
    <t xml:space="preserve">mt42cnt020ab</t>
  </si>
  <si>
    <t xml:space="preserve">Material</t>
  </si>
  <si>
    <t xml:space="preserve">U</t>
  </si>
  <si>
    <t xml:space="preserve">PC per a la visualització, format per Ordinador per a lloc central Desig CC Client de SIEMENS, amb les següents característiques: Processador: Core i5-8500 Sistema operatiu: Windows 10 Pro RAM: 8 GB DDR4-2666 Disc dur: SSD SATA III 256 GB DVD SuperMulti SATA Equipat amb teclat i ratolí.</t>
  </si>
  <si>
    <t xml:space="preserve">mt42cnt020ac</t>
  </si>
  <si>
    <t xml:space="preserve">Material</t>
  </si>
  <si>
    <t xml:space="preserve">U</t>
  </si>
  <si>
    <t xml:space="preserve">Pantalla LCD de 24” Fujitsu model S26361-K1254-V140.Display P24W-E ECO IPS.Pantalla plana.</t>
  </si>
  <si>
    <t xml:space="preserve">mo123</t>
  </si>
  <si>
    <t xml:space="preserve">Mà d'obra</t>
  </si>
  <si>
    <t xml:space="preserve">h</t>
  </si>
  <si>
    <t xml:space="preserve">Especialista en la posada en marxa d'instal·lacions.</t>
  </si>
  <si>
    <t xml:space="preserve">mo005</t>
  </si>
  <si>
    <t xml:space="preserve">Mà d'obra</t>
  </si>
  <si>
    <t xml:space="preserve">h</t>
  </si>
  <si>
    <t xml:space="preserve">Oficial 1ª instal·lador de climatització.</t>
  </si>
  <si>
    <t xml:space="preserve">mo104</t>
  </si>
  <si>
    <t xml:space="preserve">Mà d'obra</t>
  </si>
  <si>
    <t xml:space="preserve">h</t>
  </si>
  <si>
    <t xml:space="preserve">Ajudant instal·lador de climatització.</t>
  </si>
  <si>
    <t xml:space="preserve">%</t>
  </si>
  <si>
    <t xml:space="preserve">%</t>
  </si>
  <si>
    <t xml:space="preserve">Costos directes complementaris</t>
  </si>
  <si>
    <t xml:space="preserve">ICX010b</t>
  </si>
  <si>
    <t xml:space="preserve">ICX010bb</t>
  </si>
  <si>
    <t xml:space="preserve">Partida</t>
  </si>
  <si>
    <t xml:space="preserve">U</t>
  </si>
  <si>
    <t xml:space="preserve">Controladors</t>
  </si>
  <si>
    <t xml:space="preserve">Controladors. Totalment muntats, connexionat i provat.
Inclou: Replanteig. Col·locació i fixació dels elements. Connexionat amb la xarxa elèctrica.
Criteri d'amidament de projecte: Nombre d'unitats previstes, segons documentació gràfica de Projecte.
Criteri de mesura d'obra: Es mesurarà el nombre d'unitats realment executades segons especificacions de Projecte.</t>
  </si>
  <si>
    <t xml:space="preserve">mt42cnt010abb</t>
  </si>
  <si>
    <t xml:space="preserve">Material</t>
  </si>
  <si>
    <t xml:space="preserve">U</t>
  </si>
  <si>
    <t xml:space="preserve">Sistema de control format per: 1xControlador compacte BACnet/IP lliurement programable, 24 E/S integrades (8 UIO, 8 XIO, 2 BI i 4 DO) ampliables fins a 80 mitjançant mòduls TXM, font d'alimentació de 300mA integrada, interfície modbus RTU i TCP fins a 80 punts, sense bateria i WLAN. Màxim 120 punts entre E/S físiques i Modbus. Disposa de 120 punts mitjançant BACnet/MSTP i fins a 64 dispositius a KNX PL-Link.</t>
  </si>
  <si>
    <t xml:space="preserve">mt35amc950aa</t>
  </si>
  <si>
    <t xml:space="preserve">Material</t>
  </si>
  <si>
    <t xml:space="preserve">U</t>
  </si>
  <si>
    <t xml:space="preserve">Armari elèctric metàl·lic per a equips de control, IP66, tipus ELDON, IDE o similar, amb capacitat per allotjar 2 controladors SIEMENS i fins a 8 mòduls TX d'E/S. Mides: 800x600x200, disposa de diferencial, magnetotèrmics, presa de corrent, pany metàl·lic, portadocuments i cablejats a bornes dels senyals d'alimentació i comunicació, amb tots els accessoris necessaris i marcatge CE.</t>
  </si>
  <si>
    <t xml:space="preserve">mo123</t>
  </si>
  <si>
    <t xml:space="preserve">Mà d'obra</t>
  </si>
  <si>
    <t xml:space="preserve">h</t>
  </si>
  <si>
    <t xml:space="preserve">Especialista en la posada en marxa d'instal·lacions.</t>
  </si>
  <si>
    <t xml:space="preserve">mo005</t>
  </si>
  <si>
    <t xml:space="preserve">Mà d'obra</t>
  </si>
  <si>
    <t xml:space="preserve">h</t>
  </si>
  <si>
    <t xml:space="preserve">Oficial 1ª instal·lador de climatització.</t>
  </si>
  <si>
    <t xml:space="preserve">mo104</t>
  </si>
  <si>
    <t xml:space="preserve">Mà d'obra</t>
  </si>
  <si>
    <t xml:space="preserve">h</t>
  </si>
  <si>
    <t xml:space="preserve">Ajudant instal·lador de climatització.</t>
  </si>
  <si>
    <t xml:space="preserve">%</t>
  </si>
  <si>
    <t xml:space="preserve">%</t>
  </si>
  <si>
    <t xml:space="preserve">Costos directes complementaris</t>
  </si>
  <si>
    <t xml:space="preserve">ICX010bb</t>
  </si>
  <si>
    <t xml:space="preserve">ICX010bbb</t>
  </si>
  <si>
    <t xml:space="preserve">Partida</t>
  </si>
  <si>
    <t xml:space="preserve">U</t>
  </si>
  <si>
    <t xml:space="preserve">Material de camp (temparatura exterior)</t>
  </si>
  <si>
    <t xml:space="preserve">Sondes. Totalment muntats, connexionat i provat.
Inclou: Replanteig. Col·locació i fixació dels elements. Connexionat amb la xarxa elèctrica.
Criteri d'amidament de projecte: Nombre d'unitats previstes, segons documentació gràfica de Projecte.
Criteri de mesura d'obra: Es mesurarà el nombre d'unitats realment executades segons especificacions de Projecte.</t>
  </si>
  <si>
    <t xml:space="preserve">mt42cnt010t</t>
  </si>
  <si>
    <t xml:space="preserve">Material</t>
  </si>
  <si>
    <t xml:space="preserve">U</t>
  </si>
  <si>
    <t xml:space="preserve">Sonda de temperatura exterior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</si>
  <si>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</si>
  <si>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</si>
  <si>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</si>
  <si>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</si>
  <si>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%</t>
  </si>
  <si>
    <t xml:space="preserve">%</t>
  </si>
  <si>
    <t xml:space="preserve">Costos directes complementaris</t>
  </si>
  <si>
    <t xml:space="preserve">ICX010bbb</t>
  </si>
  <si>
    <t xml:space="preserve">ICX010bbc</t>
  </si>
  <si>
    <t xml:space="preserve">Partida</t>
  </si>
  <si>
    <t xml:space="preserve">U</t>
  </si>
  <si>
    <t xml:space="preserve">Material de camp (temparatura conducte)</t>
  </si>
  <si>
    <t xml:space="preserve">Sonda passiva de temperatura de conducte amb sensor Ni1000, rang -50..80 ºC, longitud de capil·lar 400 mm. Totalment muntats, connexionat i provat.
Inclou: Replanteig. Col·locació i fixació dels elements. Connexionat amb la xarxa elèctrica.
Criteri d'amidament de projecte: Nombre d'unitats previstes, segons documentació gràfica de Projecte.
Criteri de mesura d'obra: Es mesurarà el nombre d'unitats realment executades segons especificacions de Projecte.</t>
  </si>
  <si>
    <t xml:space="preserve">mt42cnt010s</t>
  </si>
  <si>
    <t xml:space="preserve">Material</t>
  </si>
  <si>
    <t xml:space="preserve">U</t>
  </si>
  <si>
    <t xml:space="preserve">Sonda passiva de temperatura de conducte amb sensor Ni1000, rang -50..80 ºC, longitud de capil·lar 400 mm.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</si>
  <si>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</si>
  <si>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</si>
  <si>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</si>
  <si>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</si>
  <si>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%</t>
  </si>
  <si>
    <t xml:space="preserve">%</t>
  </si>
  <si>
    <t xml:space="preserve">Costos directes complementaris</t>
  </si>
  <si>
    <t xml:space="preserve">ICX010bbc</t>
  </si>
  <si>
    <t xml:space="preserve">ICX010bbd</t>
  </si>
  <si>
    <t xml:space="preserve">Partida</t>
  </si>
  <si>
    <t xml:space="preserve">U</t>
  </si>
  <si>
    <t xml:space="preserve">Material de camp (sonda combinada temparatura/HR)</t>
  </si>
  <si>
    <t xml:space="preserve">Sonda estàndard de conducte combinada per a humitat relativa i temperatura, ambdós senyals actius 0..10 V CC, rangs d'utilització: Humitat 0..95 % Hr, Temp. 0...50 °C, -35...35 °C, -40...70 °C, IP54. Totalment muntats, connexionat i provat.
Inclou: Replanteig. Col·locació i fixació dels elements. Connexionat amb la xarxa elèctrica.
Criteri d'amidament de projecte: Nombre d'unitats previstes, segons documentació gràfica de Projecte.
Criteri de mesura d'obra: Es mesurarà el nombre d'unitats realment executades segons especificacions de Projecte.</t>
  </si>
  <si>
    <t xml:space="preserve">mt42cnt010x</t>
  </si>
  <si>
    <t xml:space="preserve">Material</t>
  </si>
  <si>
    <t xml:space="preserve">U</t>
  </si>
  <si>
    <t xml:space="preserve">Sonda estàndard de conducte combinada per a humitat relativa i temperatura, ambdós senyals actius 0..10 V CC, rangs d'utilització: Humitat 0..95 % Hr, Temp. 0...50 °C, -35...35 °C, -40...70 °C, IP54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</si>
  <si>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</si>
  <si>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</si>
  <si>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</si>
  <si>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</si>
  <si>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%</t>
  </si>
  <si>
    <t xml:space="preserve">%</t>
  </si>
  <si>
    <t xml:space="preserve">Costos directes complementaris</t>
  </si>
  <si>
    <t xml:space="preserve">ICX010bbd</t>
  </si>
  <si>
    <t xml:space="preserve">ICX010bbe</t>
  </si>
  <si>
    <t xml:space="preserve">Partida</t>
  </si>
  <si>
    <t xml:space="preserve">U</t>
  </si>
  <si>
    <t xml:space="preserve">Material de camp (sonda combinada temparatura/HR/CO2)</t>
  </si>
  <si>
    <t xml:space="preserve">Sonda ambient combinada per a CO2, humitat relativa i temperatura, ambdós senyals actius 0..10 V CC, rangs d'utilització: Humitat 0..95 % Hr, Temp. 0...50 °C, -35...35 °C, -40...70 °C, IP54. Totalment muntats, connexionat i provat.
Inclou: Replanteig. Col·locació i fixació dels elements. Connexionat amb la xarxa elèctrica.
Criteri d'amidament de projecte: Nombre d'unitats previstes, segons documentació gràfica de Projecte.
Criteri de mesura d'obra: Es mesurarà el nombre d'unitats realment executades segons especificacions de Projecte.</t>
  </si>
  <si>
    <t xml:space="preserve">mt42cnt010y</t>
  </si>
  <si>
    <t xml:space="preserve">Material</t>
  </si>
  <si>
    <t xml:space="preserve">U</t>
  </si>
  <si>
    <t xml:space="preserve">Sonda ambient combinada per a CO2, humitat relativa i temperatura, ambdós senyals actius 0..10 V CC, rangs d'utilització: Humitat 0..95 % Hr, Temp. 0...50 °C, -35...35 °C, -40...70 °C, IP54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</si>
  <si>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</si>
  <si>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</si>
  <si>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</si>
  <si>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</si>
  <si>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%</t>
  </si>
  <si>
    <t xml:space="preserve">%</t>
  </si>
  <si>
    <t xml:space="preserve">Costos directes complementaris</t>
  </si>
  <si>
    <t xml:space="preserve">ICX010bbe</t>
  </si>
  <si>
    <t xml:space="preserve">MonAEB</t>
  </si>
  <si>
    <t xml:space="preserve">Partida</t>
  </si>
  <si>
    <t xml:space="preserve">PA</t>
  </si>
  <si>
    <t xml:space="preserve">Sistema de monitoratge per a l'AEB</t>
  </si>
  <si>
    <t xml:space="preserve">Sistema de control que permet el monitoratge de la instal·lació per part de l'AEB. El sistema estarà format per un autòmat que recollirà les dades de la instal·lació i les enviarà a la plataforma de l'AEB.
Les senyals que s'han de recollir son:
- Consum elèctric producció
- Potència tèrmica produïda
- Temperatura / HR i CO2 d'un espai representatiu.
Totalment instal·lat i programat segons indicacions de l'AEB</t>
  </si>
  <si>
    <t xml:space="preserve">canviVentPB</t>
  </si>
  <si>
    <t xml:space="preserve">Partida</t>
  </si>
  <si>
    <t xml:space="preserve">U</t>
  </si>
  <si>
    <t xml:space="preserve">Canvi ventilador climatitzador PB</t>
  </si>
  <si>
    <t xml:space="preserve">Canvi de l'actual ventilador del climatitzador de planta baixa (CL-3) per 2 unitats tipus PlugFan EC, model GR56-ZID.GG.CR (o similar), per moure un cabal nominal de 16600 m3/h, amb una pressió disponible de 250 Pa.
S'inclou: 
- Caixa elèctrica exterior per connexionar els 2 ventiladors
- Programació del ventilador, per arrencada suau i que treballi a cabal constant
- Connexionat elèctric
Totalment instal·lat i provat</t>
  </si>
  <si>
    <t xml:space="preserve">VentPB</t>
  </si>
  <si>
    <t xml:space="preserve">Material</t>
  </si>
  <si>
    <t xml:space="preserve">U</t>
  </si>
  <si>
    <t xml:space="preserve">Doble ventilador plug-fan EC i deflectors FlowGrid, amb motor per a alimentació trifàsica a 400 V i 50 Hz de freqüència, amb protecció tèrmica, aïllament classe F, grau de protecció IP55, classe IE5 i caixa de borns ignífuga, de 2x3,4 kW de potència, per a un cabal nominal de 16600 m3/h i una pressió disponible de 250 Pa. Nivell de potència sonora de 68,3 dBA. Inclou SENSOR CPG. Model GR56I-ZID.GG.CR de Ziehl-Abegg o similar.</t>
  </si>
  <si>
    <t xml:space="preserve">CaixaElec</t>
  </si>
  <si>
    <t xml:space="preserve">Material</t>
  </si>
  <si>
    <t xml:space="preserve">U</t>
  </si>
  <si>
    <t xml:space="preserve">Caixa de distribució de plàstic, de superfície, amb porta cega, amb graus de protecció IP40 i IK07, aïllament classe II, tensió nominal 400 V, de 215x236x112 mm, amb carril DIN, terminals de neutre i de terra, tirador d'obertura i tapes cobremòduls, inclús accessoris de muntatge segons UNE-EN 60670-1.</t>
  </si>
  <si>
    <t xml:space="preserve">mo123</t>
  </si>
  <si>
    <t xml:space="preserve">Mà d'obra</t>
  </si>
  <si>
    <t xml:space="preserve">h</t>
  </si>
  <si>
    <t xml:space="preserve">Especialista en la posada en marxa d'instal·lacions.</t>
  </si>
  <si>
    <t xml:space="preserve">mo005</t>
  </si>
  <si>
    <t xml:space="preserve">Mà d'obra</t>
  </si>
  <si>
    <t xml:space="preserve">h</t>
  </si>
  <si>
    <t xml:space="preserve">Oficial 1ª instal·lador de climatització.</t>
  </si>
  <si>
    <t xml:space="preserve">mo104</t>
  </si>
  <si>
    <t xml:space="preserve">Mà d'obra</t>
  </si>
  <si>
    <t xml:space="preserve">h</t>
  </si>
  <si>
    <t xml:space="preserve">Ajudant instal·lador de climatització.</t>
  </si>
  <si>
    <t xml:space="preserve">canviVentPB</t>
  </si>
  <si>
    <t xml:space="preserve">ADAP_INT</t>
  </si>
  <si>
    <t xml:space="preserve">Partida</t>
  </si>
  <si>
    <t xml:space="preserve">U</t>
  </si>
  <si>
    <t xml:space="preserve">Adaptació de la instal·lació hidràulica a la nova unitat</t>
  </si>
  <si>
    <t xml:space="preserve">Adaptació de l'actual instal·lació hidràulica a la nova unitat de producció, amb el seu corresponent aïllament i proteccions.
Inclou: Muntatge i proves.
Criteri d'amidament de projecte: Nombre d'unitats previstes, segons documentació gràfica de Projecte.
Criteri de mesura d'obra: S'amidarà el nombre d'unitats realment muntades segons especificacions de Projecte.</t>
  </si>
  <si>
    <t xml:space="preserve">mat_rep</t>
  </si>
  <si>
    <t xml:space="preserve">Material</t>
  </si>
  <si>
    <t xml:space="preserve">U</t>
  </si>
  <si>
    <t xml:space="preserve">Material de reposició</t>
  </si>
  <si>
    <t xml:space="preserve">mo004</t>
  </si>
  <si>
    <t xml:space="preserve">Mà d'obra</t>
  </si>
  <si>
    <t xml:space="preserve">h</t>
  </si>
  <si>
    <t xml:space="preserve">Oficial 1ª calefactor.</t>
  </si>
  <si>
    <t xml:space="preserve">mo103</t>
  </si>
  <si>
    <t xml:space="preserve">Mà d'obra</t>
  </si>
  <si>
    <t xml:space="preserve">h</t>
  </si>
  <si>
    <t xml:space="preserve">Ajudant calefactor.</t>
  </si>
  <si>
    <t xml:space="preserve">%</t>
  </si>
  <si>
    <t xml:space="preserve">%</t>
  </si>
  <si>
    <t xml:space="preserve">Costos directes complementaris</t>
  </si>
  <si>
    <t xml:space="preserve">ADAP_INT</t>
  </si>
  <si>
    <t xml:space="preserve">ICS</t>
  </si>
  <si>
    <t xml:space="preserve">IC</t>
  </si>
  <si>
    <t xml:space="preserve">IE</t>
  </si>
  <si>
    <t xml:space="preserve">Capítol</t>
  </si>
  <si>
    <t xml:space="preserve">Elèctriques</t>
  </si>
  <si>
    <t xml:space="preserve">IEPComp</t>
  </si>
  <si>
    <t xml:space="preserve">Partida</t>
  </si>
  <si>
    <t xml:space="preserve">U</t>
  </si>
  <si>
    <t xml:space="preserve">Comptador elèctric de mesura indirecta</t>
  </si>
  <si>
    <t xml:space="preserve">Subministre, instal·lació i programació de comptador trifàsic d'energia elèctrica amb mesura indirecta .../5 A i .../1 A (segons model) amb borns precintables i possibilitat de comunicar mitjançant protocol Modbus RS-485 i M-BUS (segons model), marca CIRCUTOR model CEM-D310 o equivalent
Altres característiques són:
1.    Certificació MID mòdul B+D (segons model).
2.    Classe 1 en energia activa (Classe B segons MID), Classe 2 en energia reactiva.
3.    D'acord amb les normes EN 50470 (normativa europea MID) o IEC 62052-11 (normativa internacional) segons tipus.
4.    Mida reduïda (4 mòduls de carril DIN).
5.    Comptador d' energia parcial resetejable.
6.    1 sortida d'impulsos programable (segons model).
7.    1 entrada digital per a control de tarifa i comptatge d'impulsos (segons model).
8.    Calendari per a tarificació horària.
9.    Comunicacions Modbus RS-485 i M-BUS (segons model).
10.    Visualització de paràmetres elèctrics bàsics (V, A, kW, kWh, PF, etc.).
Inclou: Replanteig de la unitat. Col·locació i fixació de la unitat i els seus accessoris. 
Criteri d'amidament de projecte: Nombre d'unitats previstes, segons documentació gràfica de Projecte.
Criteri de mesura d'obra: Es mesurarà el nombre d'unitats realment executades segons especificacions de Projecte.</t>
  </si>
  <si>
    <t xml:space="preserve">IEPCompa</t>
  </si>
  <si>
    <t xml:space="preserve">Material</t>
  </si>
  <si>
    <t xml:space="preserve">m</t>
  </si>
  <si>
    <t xml:space="preserve">Comptador trifàsic d'energia elèctrica amb mesura indirecta .../5 A i .../1 A (segons model) amb borns precintables i possibilitat de comunicar mitjançant protocol Modbus RS-485 i M-BUS (segons model), marca CIRCUTOR model CEM-D310 o equivalent</t>
  </si>
  <si>
    <t xml:space="preserve">mt35www020</t>
  </si>
  <si>
    <t xml:space="preserve">Material</t>
  </si>
  <si>
    <t xml:space="preserve">U</t>
  </si>
  <si>
    <t xml:space="preserve">Material auxiliar per a instal·lacions de connexió a terra.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</si>
  <si>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</si>
  <si>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</si>
  <si>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</si>
  <si>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</si>
  <si>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%</t>
  </si>
  <si>
    <t xml:space="preserve">%</t>
  </si>
  <si>
    <t xml:space="preserve">Costos directes complementaris</t>
  </si>
  <si>
    <t xml:space="preserve">IEPComp</t>
  </si>
  <si>
    <t xml:space="preserve">IEP</t>
  </si>
  <si>
    <t xml:space="preserve">Capítol</t>
  </si>
  <si>
    <t xml:space="preserve">Connexió a terra</t>
  </si>
  <si>
    <t xml:space="preserve">IEP025</t>
  </si>
  <si>
    <t xml:space="preserve">Partida</t>
  </si>
  <si>
    <t xml:space="preserve">m</t>
  </si>
  <si>
    <t xml:space="preserve">Conductor de terra.</t>
  </si>
  <si>
    <t xml:space="preserve">Conductor de terra format per cable rígid nu de cobre trenat, de 25 mm² de secció. També unions realitzades amb soldadura aluminotèrmica, grapes i borns d'unió. Completament muntat, amb connexions establertes i provat.
Inclou: Replanteig del recorregut. Estesa del conductor de terra. Connexionat del conductor de terra mitjançant borns d'unió.
Criteri d'amidament de projecte: Longitud mesurada segons documentació gràfica de Projecte.
Criteri de mesura d'obra: Es mesurarà la longitud realment executada segons especificacions de Projecte.</t>
  </si>
  <si>
    <t xml:space="preserve">Uts.</t>
  </si>
  <si>
    <t xml:space="preserve">Llargada</t>
  </si>
  <si>
    <t xml:space="preserve">Amplada</t>
  </si>
  <si>
    <t xml:space="preserve">Alçada</t>
  </si>
  <si>
    <t xml:space="preserve">Parcial</t>
  </si>
  <si>
    <t xml:space="preserve">Subtotal</t>
  </si>
  <si>
    <t xml:space="preserve">Conexionat safates elèctriques a quadre</t>
  </si>
  <si>
    <t xml:space="preserve">mt35ttc010a</t>
  </si>
  <si>
    <t xml:space="preserve">Material</t>
  </si>
  <si>
    <t xml:space="preserve">m</t>
  </si>
  <si>
    <t xml:space="preserve">Conductor de coure nu, de 25 mm².</t>
  </si>
  <si>
    <t xml:space="preserve">mt35www020</t>
  </si>
  <si>
    <t xml:space="preserve">Material</t>
  </si>
  <si>
    <t xml:space="preserve">U</t>
  </si>
  <si>
    <t xml:space="preserve">Material auxiliar per a instal·lacions de connexió a terra.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</si>
  <si>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</si>
  <si>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</si>
  <si>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</si>
  <si>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</si>
  <si>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%</t>
  </si>
  <si>
    <t xml:space="preserve">%</t>
  </si>
  <si>
    <t xml:space="preserve">Costos directes complementaris</t>
  </si>
  <si>
    <t xml:space="preserve">IEP025</t>
  </si>
  <si>
    <t xml:space="preserve">IEP</t>
  </si>
  <si>
    <t xml:space="preserve">IEO</t>
  </si>
  <si>
    <t xml:space="preserve">Capítol</t>
  </si>
  <si>
    <t xml:space="preserve">Canalitzacions</t>
  </si>
  <si>
    <t xml:space="preserve">IEO010</t>
  </si>
  <si>
    <t xml:space="preserve">Partida</t>
  </si>
  <si>
    <t xml:space="preserve">m</t>
  </si>
  <si>
    <t xml:space="preserve">Canalització.</t>
  </si>
  <si>
    <t xml:space="preserve">Canalització de safata perforada d'acer galvanitzat, de 35x150 mm. Instal·lació fix en superfície. Inclús accessoris.
Inclou: Replanteig. Col·locació i fixació de la safata.
Criteri d'amidament de projecte: Longitud mesurada segons documentació gràfica de Projecte.
Criteri de mesura d'obra: Es mesurarà la longitud realment executada segons especificacions de Projecte.</t>
  </si>
  <si>
    <t xml:space="preserve">Uts.</t>
  </si>
  <si>
    <t xml:space="preserve">Llargada</t>
  </si>
  <si>
    <t xml:space="preserve">Amplada</t>
  </si>
  <si>
    <t xml:space="preserve">Alçada</t>
  </si>
  <si>
    <t xml:space="preserve">Parcial</t>
  </si>
  <si>
    <t xml:space="preserve">Subtotal</t>
  </si>
  <si>
    <t xml:space="preserve">mt35ait030fp</t>
  </si>
  <si>
    <t xml:space="preserve">Material</t>
  </si>
  <si>
    <t xml:space="preserve">m</t>
  </si>
  <si>
    <t xml:space="preserve">Safata perforada d'acer galvanitzat, de 35x150 mm, per a suport i conducció de cables elèctrics, inclús accessoris. Segons UNE-EN 61537.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</si>
  <si>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</si>
  <si>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</si>
  <si>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</si>
  <si>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</si>
  <si>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mo102</t>
  </si>
  <si>
    <t xml:space="preserve">Mà d'obra</t>
  </si>
  <si>
    <t xml:space="preserve">h</t>
  </si>
  <si>
    <t xml:space="preserve">Ajudant electricista.</t>
  </si>
  <si>
    <t xml:space="preserve">%</t>
  </si>
  <si>
    <t xml:space="preserve">%</t>
  </si>
  <si>
    <t xml:space="preserve">Costos directes complementaris</t>
  </si>
  <si>
    <t xml:space="preserve">IEO010</t>
  </si>
  <si>
    <t xml:space="preserve">IEO</t>
  </si>
  <si>
    <t xml:space="preserve">IEH</t>
  </si>
  <si>
    <t xml:space="preserve">Capítol</t>
  </si>
  <si>
    <t xml:space="preserve">Cables</t>
  </si>
  <si>
    <t xml:space="preserve">IEH012</t>
  </si>
  <si>
    <t xml:space="preserve">Partida</t>
  </si>
  <si>
    <t xml:space="preserve">m</t>
  </si>
  <si>
    <t xml:space="preserve">Cable elèctric de 0,6/1 kV de tensió nominal.</t>
  </si>
  <si>
    <t xml:space="preserve">Cable unipolar RZ1-K (AS), sent la seva tensió assignada de 0,6/1 kV, reacció al foc classe Cca-s1b,d1,a1, amb conductor de coure classe 5 (-K) de 95 mm² de secció, amb aïllament de polietilè reticulat (R) i coberta de compost termoplàstic a força de poliolefina lliure de halògens amb baixa emissió de fums i gasos corrosius (Z1). Inclús accessoris i elements de subjecció.
Inclou: Estesa del cable. Connexionat. Comprovació del seu correcte funcionament.
Criteri d'amidament de projecte: Longitud mesurada segons documentació gràfica de Projecte.
Criteri de mesura d'obra: Es mesurarà la longitud realment executada segons especificacions de Projecte.</t>
  </si>
  <si>
    <t xml:space="preserve">Uts.</t>
  </si>
  <si>
    <t xml:space="preserve">Llargada</t>
  </si>
  <si>
    <t xml:space="preserve">Amplada</t>
  </si>
  <si>
    <t xml:space="preserve">Alçada</t>
  </si>
  <si>
    <t xml:space="preserve">Parcial</t>
  </si>
  <si>
    <t xml:space="preserve">Subtotal</t>
  </si>
  <si>
    <t xml:space="preserve">3 fases BC nova</t>
  </si>
  <si>
    <t xml:space="preserve">mt35cun010l1</t>
  </si>
  <si>
    <t xml:space="preserve">Material</t>
  </si>
  <si>
    <t xml:space="preserve">m</t>
  </si>
  <si>
    <t xml:space="preserve">Cable unipolar RZ1-K (AS), sent la seva tensió assignada de 0,6/1 kV, reacció al foc classe Cca-s1b,d1,a1 segons UNE-EN 50575, amb conductor de coure classe 5 (-K) de 95 mm² de secció, amb aïllament de polietilè reticulat (R) i coberta de compost termoplàstic a força de poliolefina lliure de halògens amb baixa emissió de fums i gasos corrosius (Z1). Segons UNE 21123-4.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</si>
  <si>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</si>
  <si>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</si>
  <si>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</si>
  <si>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</si>
  <si>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mo102</t>
  </si>
  <si>
    <t xml:space="preserve">Mà d'obra</t>
  </si>
  <si>
    <t xml:space="preserve">h</t>
  </si>
  <si>
    <t xml:space="preserve">Ajudant electricista.</t>
  </si>
  <si>
    <t xml:space="preserve">%</t>
  </si>
  <si>
    <t xml:space="preserve">%</t>
  </si>
  <si>
    <t xml:space="preserve">Costos directes complementaris</t>
  </si>
  <si>
    <t xml:space="preserve">IEH012</t>
  </si>
  <si>
    <t xml:space="preserve">IEH012b</t>
  </si>
  <si>
    <t xml:space="preserve">Partida</t>
  </si>
  <si>
    <t xml:space="preserve">m</t>
  </si>
  <si>
    <t xml:space="preserve">Cable elèctric de 0,6/1 kV de tensió nominal.</t>
  </si>
  <si>
    <t xml:space="preserve">Cable unipolar RZ1-K (AS), sent la seva tensió assignada de 0,6/1 kV, reacció al foc classe Cca-s1b,d1,a1, amb conductor de coure classe 5 (-K) de 70 mm² de secció, amb aïllament de polietilè reticulat (R) i coberta de compost termoplàstic a força de poliolefina lliure de halògens amb baixa emissió de fums i gasos corrosius (Z1). Inclús accessoris i elements de subjecció.
Inclou: Estesa del cable. Connexionat. Comprovació del seu correcte funcionament.
Criteri d'amidament de projecte: Longitud mesurada segons documentació gràfica de Projecte.
Criteri de mesura d'obra: Es mesurarà la longitud realment executada segons especificacions de Projecte.</t>
  </si>
  <si>
    <t xml:space="preserve">Uts.</t>
  </si>
  <si>
    <t xml:space="preserve">Llargada</t>
  </si>
  <si>
    <t xml:space="preserve">Amplada</t>
  </si>
  <si>
    <t xml:space="preserve">Alçada</t>
  </si>
  <si>
    <t xml:space="preserve">Parcial</t>
  </si>
  <si>
    <t xml:space="preserve">Subtotal</t>
  </si>
  <si>
    <t xml:space="preserve">Terra i neutre BC nova</t>
  </si>
  <si>
    <t xml:space="preserve">mt35cun010k1</t>
  </si>
  <si>
    <t xml:space="preserve">Material</t>
  </si>
  <si>
    <t xml:space="preserve">m</t>
  </si>
  <si>
    <t xml:space="preserve">Cable unipolar RZ1-K (AS), sent la seva tensió assignada de 0,6/1 kV, reacció al foc classe Cca-s1b,d1,a1 segons UNE-EN 50575, amb conductor de coure classe 5 (-K) de 70 mm² de secció, amb aïllament de polietilè reticulat (R) i coberta de compost termoplàstic a força de poliolefina lliure de halògens amb baixa emissió de fums i gasos corrosius (Z1). Segons UNE 21123-4.</t>
  </si>
  <si>
    <t xml:space="preserve">mo003</t>
  </si>
  <si>
    <t xml:space="preserve">Mà d'obra</t>
  </si>
  <si>
    <t xml:space="preserve">h</t>
  </si>
  <si>
    <t xml:space="preserve">Oficial 1ª electricista.</t>
  </si>
  <si>
    <t xml:space="preserve">mo102</t>
  </si>
  <si>
    <t xml:space="preserve">Mà d'obra</t>
  </si>
  <si>
    <t xml:space="preserve">h</t>
  </si>
  <si>
    <t xml:space="preserve">Ajudant electricista.</t>
  </si>
  <si>
    <t xml:space="preserve">%</t>
  </si>
  <si>
    <t xml:space="preserve">%</t>
  </si>
  <si>
    <t xml:space="preserve">Costos directes complementaris</t>
  </si>
  <si>
    <t xml:space="preserve">IEH012b</t>
  </si>
  <si>
    <t xml:space="preserve">IEH</t>
  </si>
  <si>
    <t xml:space="preserve">IE</t>
  </si>
  <si>
    <t xml:space="preserve">I</t>
  </si>
  <si>
    <t xml:space="preserve">G</t>
  </si>
  <si>
    <t xml:space="preserve">Capítol</t>
  </si>
  <si>
    <t xml:space="preserve">Gestió de residus</t>
  </si>
  <si>
    <t xml:space="preserve">GR</t>
  </si>
  <si>
    <t xml:space="preserve">Capítol</t>
  </si>
  <si>
    <t xml:space="preserve">Gestió de residus inertes</t>
  </si>
  <si>
    <t xml:space="preserve">GRA</t>
  </si>
  <si>
    <t xml:space="preserve">Capítol</t>
  </si>
  <si>
    <t xml:space="preserve">Transport de residus inertes</t>
  </si>
  <si>
    <t xml:space="preserve">GRA010</t>
  </si>
  <si>
    <t xml:space="preserve">Partida</t>
  </si>
  <si>
    <t xml:space="preserve">U</t>
  </si>
  <si>
    <t xml:space="preserve">Transport de residus inertes amb contenidor.</t>
  </si>
  <si>
    <t xml:space="preserve">Transport de mescla sense classificar de residus inerts produïts en obres de construcció i/o demolició, amb contenidor de 3,5 m³, a abocador específic, instal·lació de tractament de residus de construcció i demolició externa a l'obra o centre de valorització o eliminació de residus. També servei de lliurament, lloguer i recollida en obra del contenidor.
Inclou: Càrrega a camió del contenidor. Transport de residus de construcció a l'abocador específic, instal·lació de tractament de residus de construcció i demolició externa a l'obra o centre de valorització o eliminació de residus.
Criteri d'amidament de projecte: Nombre d'unitats previstes, segons documentació gràfica de Projecte.
Criteri de mesura d'obra: Es mesurarà el nombre d'unitats realment transportades segons especificacions de Projecte.</t>
  </si>
  <si>
    <t xml:space="preserve">Uts.</t>
  </si>
  <si>
    <t xml:space="preserve">Llargada</t>
  </si>
  <si>
    <t xml:space="preserve">Amplada</t>
  </si>
  <si>
    <t xml:space="preserve">Alçada</t>
  </si>
  <si>
    <t xml:space="preserve">Parcial</t>
  </si>
  <si>
    <t xml:space="preserve">Subtotal</t>
  </si>
  <si>
    <t xml:space="preserve">Previsió</t>
  </si>
  <si>
    <t xml:space="preserve">mq04res010jha</t>
  </si>
  <si>
    <t xml:space="preserve">Maquinària</t>
  </si>
  <si>
    <t xml:space="preserve">U</t>
  </si>
  <si>
    <t xml:space="preserve">Càrrega i canvi de contenidor de 3,5 m³, per la recollida de residus inerts de guix produïts a obres de construcció i/o demolició, col·locat a obra a peu de càrrega, inclús servei de lliurament i lloguer.</t>
  </si>
  <si>
    <t xml:space="preserve">%</t>
  </si>
  <si>
    <t xml:space="preserve">%</t>
  </si>
  <si>
    <t xml:space="preserve">Costos directes complementaris</t>
  </si>
  <si>
    <t xml:space="preserve">GRA010</t>
  </si>
  <si>
    <t xml:space="preserve">GRA</t>
  </si>
  <si>
    <t xml:space="preserve">GRB</t>
  </si>
  <si>
    <t xml:space="preserve">Capítol</t>
  </si>
  <si>
    <t xml:space="preserve">Lliurament de residus inerts a gestor autoritzat</t>
  </si>
  <si>
    <t xml:space="preserve">GRB010</t>
  </si>
  <si>
    <t xml:space="preserve">Partida</t>
  </si>
  <si>
    <t xml:space="preserve">U</t>
  </si>
  <si>
    <t xml:space="preserve">Cànon d'abocament per lliurament de contenidor amb residus inerts a gestor autoritzat.</t>
  </si>
  <si>
    <t xml:space="preserve">Cànon d'abocament per lliurament de contenidor de 3,5 m³ amb mescla sense classificar de residus inerts produïts a obres de construcció i/o demolició, en abocador específic, instal·lació de tractament de residus de construcció i demolició externa a l'obra o centre de valorització o eliminació de residus.
Criteri de valoració econòmica: El preu no inclou el servei d'entrega, el lloguer, la recollida en obra del contenidor ni el transport.
Inclou: Nada.
Criteri d'amidament de projecte: Nombre d'unitats previstes, segons documentació gràfica de Projecte.
Criteri de mesura d'obra: Es mesurarà el nombre d'unitats realment entregades segons especificacions de Projecte.</t>
  </si>
  <si>
    <t xml:space="preserve">mq04res020im</t>
  </si>
  <si>
    <t xml:space="preserve">Maquinària</t>
  </si>
  <si>
    <t xml:space="preserve">U</t>
  </si>
  <si>
    <t xml:space="preserve">Cànon d'abocament per lliurament de contenidor de 3,5 m³ amb residus inerts de guix produïts a obres de construcció i/o demolició, en abocador específic, instal·lació de tractament de residus de construcció i demolició externa a l'obra o centre de valorització o eliminació de residus.</t>
  </si>
  <si>
    <t xml:space="preserve">%</t>
  </si>
  <si>
    <t xml:space="preserve">%</t>
  </si>
  <si>
    <t xml:space="preserve">Costos directes complementaris</t>
  </si>
  <si>
    <t xml:space="preserve">GRB010</t>
  </si>
  <si>
    <t xml:space="preserve">GRB</t>
  </si>
  <si>
    <t xml:space="preserve">GR</t>
  </si>
  <si>
    <t xml:space="preserve">G</t>
  </si>
  <si>
    <t xml:space="preserve">X</t>
  </si>
  <si>
    <t xml:space="preserve">Capítol</t>
  </si>
  <si>
    <t xml:space="preserve">Control de qualitat i assaigs</t>
  </si>
  <si>
    <t xml:space="preserve">xd4</t>
  </si>
  <si>
    <t xml:space="preserve">Partida</t>
  </si>
  <si>
    <t xml:space="preserve">ut</t>
  </si>
  <si>
    <t xml:space="preserve">Preparació i realització de les proves completes de totes les instal·lacions</t>
  </si>
  <si>
    <t xml:space="preserve">Ud. Preparació i realització de les proves completes de totes les instal·lacions, segons Normativa d'aplicació, protocol de proves i indicacions donades propla DF, inclou l'emplenament de les fitxes justificatives i la realització de totes les proves requerides a plena satisfacció de la DO i Propietat. Fins i tot l'equilibratge de totes les xarxes d'aigua i aire.
Aquest treball es realitzarà amb instrumentació calibrada i per personal certificat d' experiència provada.
Tot això complet, instal·lat i posat en marxa segons s'indica en Memòria, Plànols i Plec de Condicions.</t>
  </si>
  <si>
    <t xml:space="preserve">xd5</t>
  </si>
  <si>
    <t xml:space="preserve">Partida</t>
  </si>
  <si>
    <t xml:space="preserve">ut</t>
  </si>
  <si>
    <t xml:space="preserve">Identificació d'equips i circuits mitjançant etiquetes</t>
  </si>
  <si>
    <t xml:space="preserve">Ud. Identificació d'equips i circuits mitjançant etiquetes adequades. Inclou almenys identificació de canonades mitjançant bandes de colors a les xarxes de tot l' edifici, etiquetatge d' equips, valvuleria, quadres electrics, caixes de registre i derivacion, canalitzacions... etc. Tot això complet i instal·lat segons normativa UNE d'aplicació.
Tot això complet, instal·lat i posat en marxa segons s'indica en Memòria, Plànols i Plec de Condicions</t>
  </si>
  <si>
    <t xml:space="preserve">xd6</t>
  </si>
  <si>
    <t xml:space="preserve">Partida</t>
  </si>
  <si>
    <t xml:space="preserve">ut</t>
  </si>
  <si>
    <t xml:space="preserve">Legalitzacio de la instal·lació tèrmica</t>
  </si>
  <si>
    <t xml:space="preserve">Legalització de la instal·lació tèrmica, incloent tràmits i inscripcions amb l'entitat competent</t>
  </si>
  <si>
    <t xml:space="preserve">xd7</t>
  </si>
  <si>
    <t xml:space="preserve">Partida</t>
  </si>
  <si>
    <t xml:space="preserve">ut</t>
  </si>
  <si>
    <t xml:space="preserve">Documentació AsBuilt</t>
  </si>
  <si>
    <t xml:space="preserve">Elaboració de tota la documentació AsBuilt, que inclou:
- Plànols (en format CAD i PDF)
- Certificats equips
- Proves de posta en marxa i butlletins
- Certificat d’abocament de residus i destrucció refrigerant.
- Manuals d'ús i manteniment</t>
  </si>
  <si>
    <t xml:space="preserve">X</t>
  </si>
  <si>
    <t xml:space="preserve">Y</t>
  </si>
  <si>
    <t xml:space="preserve">Capítol</t>
  </si>
  <si>
    <t xml:space="preserve">Seguretat i salut</t>
  </si>
  <si>
    <t xml:space="preserve">segsal</t>
  </si>
  <si>
    <t xml:space="preserve">Partida</t>
  </si>
  <si>
    <t xml:space="preserve">Ut</t>
  </si>
  <si>
    <t xml:space="preserve">Conjunt de sistemes de protecció col·lectiva, necessaris per al compliment de la normativa vigent</t>
  </si>
  <si>
    <t xml:space="preserve">Conjunt de sistemes de protecció col·lectiva, necessaris per al compliment de la normativa vigent en matèria de Seguretat i Salut en el Treball.</t>
  </si>
  <si>
    <t xml:space="preserve">Y</t>
  </si>
  <si>
    <t xml:space="preserve">CANVI REFREDADORA CATALB. REV1</t>
  </si>
</sst>
</file>

<file path=xl/styles.xml><?xml version="1.0" encoding="utf-8"?>
<styleSheet xmlns="http://schemas.openxmlformats.org/spreadsheetml/2006/main">
  <numFmts count="2">
    <numFmt numFmtId="200" formatCode="#,##0.00"/>
    <numFmt numFmtId="201" formatCode="#,##0.000"/>
  </numFmts>
  <fonts count="7">
    <font>
      <sz val="12.00"/>
      <color rgb="FF000000"/>
      <name val="Verdana"/>
      <family val="2"/>
    </font>
    <font>
      <b/>
      <sz val="10.02"/>
      <color rgb="FF000000"/>
      <name val="Arial"/>
      <family val="2"/>
    </font>
    <font>
      <sz val="7.98"/>
      <color rgb="FF000000"/>
      <name val="Arial"/>
      <family val="2"/>
    </font>
    <font>
      <b/>
      <sz val="9.00"/>
      <color rgb="FF000000"/>
      <name val="Arial"/>
      <family val="2"/>
    </font>
    <font>
      <b/>
      <sz val="7.98"/>
      <color rgb="FF000000"/>
      <name val="Arial"/>
      <family val="2"/>
    </font>
    <font>
      <sz val="7.98"/>
      <color rgb="FF808080"/>
      <name val="Arial"/>
      <family val="2"/>
    </font>
    <font>
      <sz val="7.98"/>
      <color rgb="FF1010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FFFBF"/>
      </patternFill>
    </fill>
    <fill>
      <patternFill patternType="solid">
        <fgColor rgb="FF269900"/>
      </patternFill>
    </fill>
    <fill>
      <patternFill patternType="solid">
        <fgColor rgb="FF3FB219"/>
      </patternFill>
    </fill>
    <fill>
      <patternFill patternType="solid">
        <fgColor rgb="FF58CB32"/>
      </patternFill>
    </fill>
    <fill>
      <patternFill patternType="solid">
        <fgColor rgb="FF71E44B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</borders>
  <cellStyleXfs count="1">
    <xf numFmtId="0" fontId="0" fillId="0" borderId="0"/>
  </cellStyleXfs>
  <cellXfs count="88">
    <xf numFmtId="0" fontId="0" fillId="0" borderId="0" xfId="0" applyFont="1" applyAlignment="1">
      <alignment horizontal="left" vertical="center" wrapText="0"/>
    </xf>
    <xf numFmtId="0" fontId="1" fillId="0" borderId="0" xfId="0" applyFont="1" applyAlignment="1">
      <alignment horizontal="right" vertical="top" wrapText="1"/>
    </xf>
    <xf numFmtId="0" fontId="1" fillId="2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1" fillId="2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Alignment="1">
      <alignment horizontal="left" vertical="top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1" xfId="0" applyFont="1" applyAlignment="1">
      <alignment horizontal="left" vertical="top" wrapText="1"/>
    </xf>
    <xf numFmtId="0" fontId="0" fillId="2" borderId="1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4" fillId="3" borderId="2" xfId="0" applyFont="1" applyAlignment="1">
      <alignment horizontal="left" vertical="top" wrapText="1"/>
    </xf>
    <xf numFmtId="0" fontId="0" fillId="3" borderId="2" xfId="0" applyFont="1" applyAlignment="1">
      <alignment horizontal="left" vertical="top" wrapText="1"/>
    </xf>
    <xf numFmtId="0" fontId="4" fillId="0" borderId="0" xfId="0" applyFont="1" applyAlignment="1">
      <alignment horizontal="justify" vertical="top" wrapText="1"/>
    </xf>
    <xf numFmtId="0" fontId="4" fillId="3" borderId="2" xfId="0" applyFont="1" applyAlignment="1">
      <alignment horizontal="justify" vertical="top" wrapText="1"/>
    </xf>
    <xf numFmtId="200" fontId="4" fillId="0" borderId="0" xfId="0" applyFont="1" applyAlignment="1">
      <alignment horizontal="right" vertical="top" wrapText="1"/>
    </xf>
    <xf numFmtId="200" fontId="4" fillId="3" borderId="2" xfId="0" applyFont="1" applyAlignment="1">
      <alignment horizontal="right" vertical="top" wrapText="1"/>
    </xf>
    <xf numFmtId="0" fontId="4" fillId="4" borderId="0" xfId="0" applyFont="1" applyAlignment="1">
      <alignment horizontal="left" vertical="top" wrapText="1"/>
    </xf>
    <xf numFmtId="0" fontId="0" fillId="4" borderId="0" xfId="0" applyFont="1" applyAlignment="1">
      <alignment horizontal="left" vertical="top" wrapText="1"/>
    </xf>
    <xf numFmtId="0" fontId="4" fillId="4" borderId="0" xfId="0" applyFont="1" applyAlignment="1">
      <alignment horizontal="justify" vertical="top" wrapText="1"/>
    </xf>
    <xf numFmtId="200" fontId="4" fillId="4" borderId="0" xfId="0" applyFont="1" applyAlignment="1">
      <alignment horizontal="right" vertical="top" wrapText="1"/>
    </xf>
    <xf numFmtId="0" fontId="4" fillId="5" borderId="0" xfId="0" applyFont="1" applyAlignment="1">
      <alignment horizontal="left" vertical="top" wrapText="1"/>
    </xf>
    <xf numFmtId="0" fontId="0" fillId="5" borderId="0" xfId="0" applyFont="1" applyAlignment="1">
      <alignment horizontal="left" vertical="top" wrapText="1"/>
    </xf>
    <xf numFmtId="0" fontId="4" fillId="5" borderId="0" xfId="0" applyFont="1" applyAlignment="1">
      <alignment horizontal="justify" vertical="top" wrapText="1"/>
    </xf>
    <xf numFmtId="200" fontId="4" fillId="5" borderId="0" xfId="0" applyFont="1" applyAlignment="1">
      <alignment horizontal="right" vertical="top" wrapText="1"/>
    </xf>
    <xf numFmtId="0" fontId="4" fillId="6" borderId="0" xfId="0" applyFont="1" applyAlignment="1">
      <alignment horizontal="left" vertical="top" wrapText="1"/>
    </xf>
    <xf numFmtId="0" fontId="0" fillId="6" borderId="0" xfId="0" applyFont="1" applyAlignment="1">
      <alignment horizontal="left" vertical="top" wrapText="1"/>
    </xf>
    <xf numFmtId="0" fontId="4" fillId="6" borderId="0" xfId="0" applyFont="1" applyAlignment="1">
      <alignment horizontal="justify" vertical="top" wrapText="1"/>
    </xf>
    <xf numFmtId="200" fontId="4" fillId="6" borderId="0" xfId="0" applyFont="1" applyAlignment="1">
      <alignment horizontal="right" vertical="top" wrapText="1"/>
    </xf>
    <xf numFmtId="0" fontId="2" fillId="0" borderId="0" xfId="0" applyFont="1" applyAlignment="1">
      <alignment horizontal="justify" vertical="top" wrapText="1"/>
    </xf>
    <xf numFmtId="201" fontId="2" fillId="0" borderId="0" xfId="0" applyFont="1" applyAlignment="1">
      <alignment horizontal="right" vertical="top" wrapText="1"/>
    </xf>
    <xf numFmtId="200" fontId="2" fillId="0" borderId="0" xfId="0" applyFont="1" applyAlignment="1">
      <alignment horizontal="right" vertical="top" wrapText="1"/>
    </xf>
    <xf numFmtId="0" fontId="0" fillId="0" borderId="1" xfId="0" applyFont="1" applyAlignment="1">
      <alignment horizontal="center" vertical="center" wrapText="1"/>
    </xf>
    <xf numFmtId="0" fontId="4" fillId="0" borderId="1" xfId="0" applyFont="1" applyAlignment="1">
      <alignment horizontal="left" vertical="top" wrapText="1"/>
    </xf>
    <xf numFmtId="201" fontId="4" fillId="0" borderId="0" xfId="0" applyFont="1" applyAlignment="1">
      <alignment horizontal="right" vertical="top" wrapText="1"/>
    </xf>
    <xf numFmtId="201" fontId="4" fillId="0" borderId="1" xfId="0" applyFont="1" applyAlignment="1">
      <alignment horizontal="right" vertical="top" wrapText="1"/>
    </xf>
    <xf numFmtId="200" fontId="4" fillId="0" borderId="1" xfId="0" applyFont="1" applyAlignment="1">
      <alignment horizontal="right" vertical="top" wrapText="1"/>
    </xf>
    <xf numFmtId="0" fontId="0" fillId="0" borderId="3" xfId="0" applyFont="1" applyAlignment="1">
      <alignment horizontal="center" vertical="center" wrapText="1"/>
    </xf>
    <xf numFmtId="0" fontId="4" fillId="6" borderId="3" xfId="0" applyFont="1" applyAlignment="1">
      <alignment horizontal="left" vertical="top" wrapText="1"/>
    </xf>
    <xf numFmtId="0" fontId="0" fillId="6" borderId="3" xfId="0" applyFont="1" applyAlignment="1">
      <alignment horizontal="left" vertical="top" wrapText="1"/>
    </xf>
    <xf numFmtId="200" fontId="4" fillId="6" borderId="3" xfId="0" applyFont="1" applyAlignment="1">
      <alignment horizontal="right" vertical="top" wrapText="1"/>
    </xf>
    <xf numFmtId="0" fontId="4" fillId="5" borderId="3" xfId="0" applyFont="1" applyAlignment="1">
      <alignment horizontal="left" vertical="top" wrapText="1"/>
    </xf>
    <xf numFmtId="0" fontId="0" fillId="5" borderId="3" xfId="0" applyFont="1" applyAlignment="1">
      <alignment horizontal="left" vertical="top" wrapText="1"/>
    </xf>
    <xf numFmtId="200" fontId="4" fillId="5" borderId="3" xfId="0" applyFont="1" applyAlignment="1">
      <alignment horizontal="right" vertical="top" wrapText="1"/>
    </xf>
    <xf numFmtId="0" fontId="4" fillId="4" borderId="3" xfId="0" applyFont="1" applyAlignment="1">
      <alignment horizontal="left" vertical="top" wrapText="1"/>
    </xf>
    <xf numFmtId="0" fontId="0" fillId="4" borderId="3" xfId="0" applyFont="1" applyAlignment="1">
      <alignment horizontal="left" vertical="top" wrapText="1"/>
    </xf>
    <xf numFmtId="200" fontId="4" fillId="4" borderId="3" xfId="0" applyFont="1" applyAlignment="1">
      <alignment horizontal="right" vertical="top" wrapText="1"/>
    </xf>
    <xf numFmtId="0" fontId="4" fillId="4" borderId="2" xfId="0" applyFont="1" applyAlignment="1">
      <alignment horizontal="left" vertical="top" wrapText="1"/>
    </xf>
    <xf numFmtId="0" fontId="0" fillId="4" borderId="2" xfId="0" applyFont="1" applyAlignment="1">
      <alignment horizontal="left" vertical="top" wrapText="1"/>
    </xf>
    <xf numFmtId="0" fontId="4" fillId="4" borderId="2" xfId="0" applyFont="1" applyAlignment="1">
      <alignment horizontal="justify" vertical="top" wrapText="1"/>
    </xf>
    <xf numFmtId="200" fontId="4" fillId="4" borderId="2" xfId="0" applyFont="1" applyAlignment="1">
      <alignment horizontal="right" vertical="top" wrapText="1"/>
    </xf>
    <xf numFmtId="0" fontId="4" fillId="0" borderId="2" xfId="0" applyFont="1" applyAlignment="1">
      <alignment horizontal="left" vertical="top" wrapText="1"/>
    </xf>
    <xf numFmtId="0" fontId="2" fillId="0" borderId="2" xfId="0" applyFont="1" applyAlignment="1">
      <alignment horizontal="left" vertical="top" wrapText="1"/>
    </xf>
    <xf numFmtId="0" fontId="2" fillId="0" borderId="2" xfId="0" applyFont="1" applyAlignment="1">
      <alignment horizontal="justify" vertical="top" wrapText="1"/>
    </xf>
    <xf numFmtId="201" fontId="2" fillId="0" borderId="2" xfId="0" applyFont="1" applyAlignment="1">
      <alignment horizontal="right" vertical="top" wrapText="1"/>
    </xf>
    <xf numFmtId="200" fontId="2" fillId="0" borderId="2" xfId="0" applyFont="1" applyAlignment="1">
      <alignment horizontal="right" vertical="top" wrapText="1"/>
    </xf>
    <xf numFmtId="0" fontId="4" fillId="6" borderId="2" xfId="0" applyFont="1" applyAlignment="1">
      <alignment horizontal="left" vertical="top" wrapText="1"/>
    </xf>
    <xf numFmtId="0" fontId="0" fillId="6" borderId="2" xfId="0" applyFont="1" applyAlignment="1">
      <alignment horizontal="left" vertical="top" wrapText="1"/>
    </xf>
    <xf numFmtId="0" fontId="4" fillId="6" borderId="2" xfId="0" applyFont="1" applyAlignment="1">
      <alignment horizontal="justify" vertical="top" wrapText="1"/>
    </xf>
    <xf numFmtId="200" fontId="4" fillId="6" borderId="2" xfId="0" applyFont="1" applyAlignment="1">
      <alignment horizontal="right" vertical="top" wrapText="1"/>
    </xf>
    <xf numFmtId="0" fontId="4" fillId="5" borderId="2" xfId="0" applyFont="1" applyAlignment="1">
      <alignment horizontal="left" vertical="top" wrapText="1"/>
    </xf>
    <xf numFmtId="0" fontId="0" fillId="5" borderId="2" xfId="0" applyFont="1" applyAlignment="1">
      <alignment horizontal="left" vertical="top" wrapText="1"/>
    </xf>
    <xf numFmtId="0" fontId="4" fillId="5" borderId="2" xfId="0" applyFont="1" applyAlignment="1">
      <alignment horizontal="justify" vertical="top" wrapText="1"/>
    </xf>
    <xf numFmtId="200" fontId="4" fillId="5" borderId="2" xfId="0" applyFont="1" applyAlignment="1">
      <alignment horizontal="right" vertical="top" wrapText="1"/>
    </xf>
    <xf numFmtId="0" fontId="5" fillId="0" borderId="4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4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2" fillId="0" borderId="5" xfId="0" applyFont="1" applyAlignment="1">
      <alignment horizontal="left" vertical="top" wrapText="1"/>
    </xf>
    <xf numFmtId="0" fontId="2" fillId="0" borderId="5" xfId="0" applyFont="1" applyAlignment="1">
      <alignment horizontal="right" vertical="top" wrapText="1"/>
    </xf>
    <xf numFmtId="201" fontId="2" fillId="0" borderId="5" xfId="0" applyFont="1" applyAlignment="1">
      <alignment horizontal="right" vertical="top" wrapText="1"/>
    </xf>
    <xf numFmtId="201" fontId="5" fillId="0" borderId="0" xfId="0" applyFont="1" applyAlignment="1">
      <alignment horizontal="right" vertical="top" wrapText="1"/>
    </xf>
    <xf numFmtId="201" fontId="5" fillId="0" borderId="5" xfId="0" applyFont="1" applyAlignment="1">
      <alignment horizontal="right" vertical="top" wrapText="1"/>
    </xf>
    <xf numFmtId="201" fontId="6" fillId="0" borderId="0" xfId="0" applyFont="1" applyAlignment="1">
      <alignment horizontal="right" vertical="top" wrapText="1"/>
    </xf>
    <xf numFmtId="201" fontId="6" fillId="0" borderId="5" xfId="0" applyFont="1" applyAlignment="1">
      <alignment horizontal="right" vertical="top" wrapText="1"/>
    </xf>
    <xf numFmtId="0" fontId="4" fillId="4" borderId="1" xfId="0" applyFont="1" applyAlignment="1">
      <alignment horizontal="left" vertical="top" wrapText="1"/>
    </xf>
    <xf numFmtId="0" fontId="0" fillId="4" borderId="1" xfId="0" applyFont="1" applyAlignment="1">
      <alignment horizontal="left" vertical="top" wrapText="1"/>
    </xf>
    <xf numFmtId="200" fontId="4" fillId="4" borderId="1" xfId="0" applyFont="1" applyAlignment="1">
      <alignment horizontal="right" vertical="top" wrapText="1"/>
    </xf>
    <xf numFmtId="0" fontId="4" fillId="3" borderId="3" xfId="0" applyFont="1" applyAlignment="1">
      <alignment horizontal="left" vertical="top" wrapText="1"/>
    </xf>
    <xf numFmtId="0" fontId="0" fillId="3" borderId="3" xfId="0" applyFont="1" applyAlignment="1">
      <alignment horizontal="left" vertical="top" wrapText="1"/>
    </xf>
    <xf numFmtId="200" fontId="4" fillId="3" borderId="3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6.63" customWidth="1"/>
    <col min="2" max="2" width="5.88" customWidth="1"/>
    <col min="3" max="3" width="2.82" customWidth="1"/>
    <col min="4" max="4" width="15.86" customWidth="1"/>
    <col min="5" max="5" width="9.23" customWidth="1"/>
    <col min="6" max="6" width="5.05" customWidth="1"/>
    <col min="7" max="7" width="5.04" customWidth="1"/>
    <col min="8" max="8" width="5.12" customWidth="1"/>
    <col min="9" max="9" width="4.43" customWidth="1"/>
    <col min="10" max="10" width="5.58" customWidth="1"/>
    <col min="11" max="11" width="7.32" customWidth="1"/>
    <col min="12" max="12" width="7.24" customWidth="1"/>
    <col min="13" max="13" width="7.24" customWidth="1"/>
    <col min="14" max="14" width="11.20" customWidth="1"/>
  </cols>
  <sheetData>
    <row r="1" spans="1:14" ht="17.58" thickBot="1" customHeight="1">
      <c r="A1" s="2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ht="17.58" thickBot="1" customHeight="1">
      <c r="A2" s="4" t="s">
        <v>2</v>
      </c>
      <c r="B2" s="4"/>
      <c r="C2" s="4"/>
      <c r="D2" s="6"/>
      <c r="E2" s="6"/>
      <c r="F2" s="6"/>
      <c r="G2" s="6"/>
      <c r="H2" s="6"/>
      <c r="I2" s="6"/>
      <c r="J2" s="6"/>
      <c r="K2" s="6"/>
      <c r="L2" s="8" t="s">
        <v>3</v>
      </c>
      <c r="M2" s="10">
        <v>3</v>
      </c>
      <c r="N2" s="11"/>
    </row>
    <row r="3" spans="1:14" ht="16.56" thickBot="1" customHeight="1">
      <c r="A3" s="13" t="s">
        <v>4</v>
      </c>
      <c r="B3" s="13" t="s">
        <v>5</v>
      </c>
      <c r="C3" s="13" t="s">
        <v>6</v>
      </c>
      <c r="D3" s="13" t="s">
        <v>7</v>
      </c>
      <c r="E3" s="14"/>
      <c r="F3" s="14"/>
      <c r="G3" s="14"/>
      <c r="H3" s="14"/>
      <c r="I3" s="14"/>
      <c r="J3" s="14"/>
      <c r="K3" s="16" t="s">
        <v>8</v>
      </c>
      <c r="L3" s="16" t="s">
        <v>9</v>
      </c>
      <c r="M3" s="16" t="s">
        <v>10</v>
      </c>
      <c r="N3" s="11"/>
    </row>
    <row r="4" spans="1:14" ht="52.98" thickBot="1" customHeight="1">
      <c r="A4" s="18" t="s">
        <v>11</v>
      </c>
      <c r="B4" s="18" t="s">
        <v>12</v>
      </c>
      <c r="C4" s="19"/>
      <c r="D4" s="21" t="s">
        <v>13</v>
      </c>
      <c r="E4" s="21"/>
      <c r="F4" s="21"/>
      <c r="G4" s="21"/>
      <c r="H4" s="21"/>
      <c r="I4" s="21"/>
      <c r="J4" s="21"/>
      <c r="K4" s="19"/>
      <c r="L4" s="23">
        <f ca="1">L305</f>
        <v>0</v>
      </c>
      <c r="M4" s="23">
        <f ca="1">ROUND(L4,2)</f>
        <v>0</v>
      </c>
      <c r="N4" s="11"/>
    </row>
    <row r="5" spans="1:14" ht="15.30" thickBot="1" customHeight="1">
      <c r="A5" s="24" t="s">
        <v>14</v>
      </c>
      <c r="B5" s="24" t="s">
        <v>15</v>
      </c>
      <c r="C5" s="25"/>
      <c r="D5" s="26" t="s">
        <v>16</v>
      </c>
      <c r="E5" s="26"/>
      <c r="F5" s="26"/>
      <c r="G5" s="26"/>
      <c r="H5" s="26"/>
      <c r="I5" s="26"/>
      <c r="J5" s="26"/>
      <c r="K5" s="25"/>
      <c r="L5" s="27">
        <f ca="1">L15</f>
        <v>0</v>
      </c>
      <c r="M5" s="27">
        <f ca="1">ROUND(L5,2)</f>
        <v>0</v>
      </c>
      <c r="N5" s="11"/>
    </row>
    <row r="6" spans="1:14" ht="15.30" thickBot="1" customHeight="1">
      <c r="A6" s="28" t="s">
        <v>17</v>
      </c>
      <c r="B6" s="28" t="s">
        <v>18</v>
      </c>
      <c r="C6" s="29"/>
      <c r="D6" s="30" t="s">
        <v>19</v>
      </c>
      <c r="E6" s="30"/>
      <c r="F6" s="30"/>
      <c r="G6" s="30"/>
      <c r="H6" s="30"/>
      <c r="I6" s="30"/>
      <c r="J6" s="30"/>
      <c r="K6" s="29"/>
      <c r="L6" s="31">
        <f ca="1">L14</f>
        <v>0</v>
      </c>
      <c r="M6" s="31">
        <f ca="1">ROUND(L6,2)</f>
        <v>0</v>
      </c>
      <c r="N6" s="11"/>
    </row>
    <row r="7" spans="1:14" ht="15.30" thickBot="1" customHeight="1">
      <c r="A7" s="32" t="s">
        <v>20</v>
      </c>
      <c r="B7" s="32" t="s">
        <v>21</v>
      </c>
      <c r="C7" s="33"/>
      <c r="D7" s="34" t="s">
        <v>22</v>
      </c>
      <c r="E7" s="34"/>
      <c r="F7" s="34"/>
      <c r="G7" s="34"/>
      <c r="H7" s="34"/>
      <c r="I7" s="34"/>
      <c r="J7" s="34"/>
      <c r="K7" s="33"/>
      <c r="L7" s="35">
        <f ca="1">L13</f>
        <v>0</v>
      </c>
      <c r="M7" s="35">
        <f ca="1">ROUND(L7,2)</f>
        <v>0</v>
      </c>
      <c r="N7" s="11"/>
    </row>
    <row r="8" spans="1:14" ht="15.30" thickBot="1" customHeight="1">
      <c r="A8" s="17" t="s">
        <v>23</v>
      </c>
      <c r="B8" s="9" t="s">
        <v>24</v>
      </c>
      <c r="C8" s="9" t="s">
        <v>25</v>
      </c>
      <c r="D8" s="36" t="s">
        <v>26</v>
      </c>
      <c r="E8" s="36"/>
      <c r="F8" s="36"/>
      <c r="G8" s="36"/>
      <c r="H8" s="36"/>
      <c r="I8" s="36"/>
      <c r="J8" s="36"/>
      <c r="K8" s="37">
        <f ca="1">ROUND(8.00,2)</f>
        <v>0</v>
      </c>
      <c r="L8" s="38">
        <f ca="1">L12</f>
        <v>0</v>
      </c>
      <c r="M8" s="38">
        <f ca="1">ROUND(K8*L8,2)</f>
        <v>0</v>
      </c>
      <c r="N8" s="11"/>
    </row>
    <row r="9" spans="1:14" ht="48.78" thickBot="1" customHeight="1">
      <c r="A9" s="11"/>
      <c r="B9" s="11"/>
      <c r="C9" s="11"/>
      <c r="D9" s="36" t="s">
        <v>27</v>
      </c>
      <c r="E9" s="36"/>
      <c r="F9" s="36"/>
      <c r="G9" s="36"/>
      <c r="H9" s="36"/>
      <c r="I9" s="36"/>
      <c r="J9" s="36"/>
      <c r="K9" s="36"/>
      <c r="L9" s="36"/>
      <c r="M9" s="36"/>
      <c r="N9" s="11"/>
    </row>
    <row r="10" spans="1:14" ht="24.24" thickBot="1" customHeight="1">
      <c r="A10" s="9" t="s">
        <v>28</v>
      </c>
      <c r="B10" s="9" t="s">
        <v>29</v>
      </c>
      <c r="C10" s="9" t="s">
        <v>30</v>
      </c>
      <c r="D10" s="36" t="s">
        <v>31</v>
      </c>
      <c r="E10" s="36"/>
      <c r="F10" s="36"/>
      <c r="G10" s="36"/>
      <c r="H10" s="36"/>
      <c r="I10" s="36"/>
      <c r="J10" s="36"/>
      <c r="K10" s="37">
        <v>1.000</v>
      </c>
      <c r="L10" s="37">
        <f ca="1">ROUND(74.860,3)</f>
        <v>0</v>
      </c>
      <c r="M10" s="38">
        <f ca="1">ROUND(K10*L10,2)</f>
        <v>0</v>
      </c>
      <c r="N10" s="11"/>
    </row>
    <row r="11" spans="1:14" ht="15.06" thickBot="1" customHeight="1">
      <c r="A11" s="9" t="s">
        <v>32</v>
      </c>
      <c r="B11" s="9"/>
      <c r="C11" s="9" t="s">
        <v>33</v>
      </c>
      <c r="D11" s="36" t="s">
        <v>34</v>
      </c>
      <c r="E11" s="36"/>
      <c r="F11" s="36"/>
      <c r="G11" s="36"/>
      <c r="H11" s="36"/>
      <c r="I11" s="36"/>
      <c r="J11" s="36"/>
      <c r="K11" s="37">
        <v>2.000</v>
      </c>
      <c r="L11" s="37">
        <f ca="1">ROUND(74.86,2)</f>
        <v>0</v>
      </c>
      <c r="M11" s="38">
        <f ca="1">ROUND((K11*L11)/100,2)</f>
        <v>0</v>
      </c>
      <c r="N11" s="11"/>
    </row>
    <row r="12" spans="1:14" ht="15.30" thickBot="1" customHeight="1">
      <c r="A12" s="39"/>
      <c r="B12" s="39"/>
      <c r="C12" s="39"/>
      <c r="D12" s="40" t="s">
        <v>35</v>
      </c>
      <c r="E12" s="39"/>
      <c r="F12" s="39"/>
      <c r="G12" s="39"/>
      <c r="H12" s="39"/>
      <c r="I12" s="39"/>
      <c r="J12" s="39"/>
      <c r="K12" s="42">
        <v>8.000</v>
      </c>
      <c r="L12" s="43">
        <f ca="1">ROUND((M10+M11)*(1+M2/100),2)</f>
        <v>0</v>
      </c>
      <c r="M12" s="43">
        <f ca="1">ROUND(K12*L12,2)</f>
        <v>0</v>
      </c>
      <c r="N12" s="11"/>
    </row>
    <row r="13" spans="1:14" ht="15.30" thickBot="1" customHeight="1">
      <c r="A13" s="44"/>
      <c r="B13" s="44"/>
      <c r="C13" s="44"/>
      <c r="D13" s="45" t="s">
        <v>36</v>
      </c>
      <c r="E13" s="46"/>
      <c r="F13" s="46"/>
      <c r="G13" s="46"/>
      <c r="H13" s="46"/>
      <c r="I13" s="46"/>
      <c r="J13" s="46"/>
      <c r="K13" s="46"/>
      <c r="L13" s="47">
        <f ca="1">M8</f>
        <v>0</v>
      </c>
      <c r="M13" s="47">
        <f ca="1">ROUND(L13,2)</f>
        <v>0</v>
      </c>
      <c r="N13" s="11"/>
    </row>
    <row r="14" spans="1:14" ht="15.30" thickBot="1" customHeight="1">
      <c r="A14" s="44"/>
      <c r="B14" s="44"/>
      <c r="C14" s="44"/>
      <c r="D14" s="48" t="s">
        <v>37</v>
      </c>
      <c r="E14" s="49"/>
      <c r="F14" s="49"/>
      <c r="G14" s="49"/>
      <c r="H14" s="49"/>
      <c r="I14" s="49"/>
      <c r="J14" s="49"/>
      <c r="K14" s="49"/>
      <c r="L14" s="50">
        <f ca="1">M13</f>
        <v>0</v>
      </c>
      <c r="M14" s="50">
        <f ca="1">ROUND(L14,2)</f>
        <v>0</v>
      </c>
      <c r="N14" s="11"/>
    </row>
    <row r="15" spans="1:14" ht="15.30" thickBot="1" customHeight="1">
      <c r="A15" s="44"/>
      <c r="B15" s="44"/>
      <c r="C15" s="44"/>
      <c r="D15" s="51" t="s">
        <v>38</v>
      </c>
      <c r="E15" s="52"/>
      <c r="F15" s="52"/>
      <c r="G15" s="52"/>
      <c r="H15" s="52"/>
      <c r="I15" s="52"/>
      <c r="J15" s="52"/>
      <c r="K15" s="52"/>
      <c r="L15" s="53">
        <f ca="1">M14</f>
        <v>0</v>
      </c>
      <c r="M15" s="53">
        <f ca="1">ROUND(L15,2)</f>
        <v>0</v>
      </c>
      <c r="N15" s="11"/>
    </row>
    <row r="16" spans="1:14" ht="15.30" thickBot="1" customHeight="1">
      <c r="A16" s="54" t="s">
        <v>39</v>
      </c>
      <c r="B16" s="54" t="s">
        <v>40</v>
      </c>
      <c r="C16" s="55"/>
      <c r="D16" s="56" t="s">
        <v>41</v>
      </c>
      <c r="E16" s="56"/>
      <c r="F16" s="56"/>
      <c r="G16" s="56"/>
      <c r="H16" s="56"/>
      <c r="I16" s="56"/>
      <c r="J16" s="56"/>
      <c r="K16" s="55"/>
      <c r="L16" s="57">
        <f ca="1">L27</f>
        <v>0</v>
      </c>
      <c r="M16" s="57">
        <f ca="1">ROUND(L16,2)</f>
        <v>0</v>
      </c>
      <c r="N16" s="11"/>
    </row>
    <row r="17" spans="1:14" ht="15.30" thickBot="1" customHeight="1">
      <c r="A17" s="28" t="s">
        <v>42</v>
      </c>
      <c r="B17" s="28" t="s">
        <v>43</v>
      </c>
      <c r="C17" s="29"/>
      <c r="D17" s="30" t="s">
        <v>44</v>
      </c>
      <c r="E17" s="30"/>
      <c r="F17" s="30"/>
      <c r="G17" s="30"/>
      <c r="H17" s="30"/>
      <c r="I17" s="30"/>
      <c r="J17" s="30"/>
      <c r="K17" s="29"/>
      <c r="L17" s="31">
        <f ca="1">L26</f>
        <v>0</v>
      </c>
      <c r="M17" s="31">
        <f ca="1">ROUND(L17,2)</f>
        <v>0</v>
      </c>
      <c r="N17" s="11"/>
    </row>
    <row r="18" spans="1:14" ht="15.30" thickBot="1" customHeight="1">
      <c r="A18" s="32" t="s">
        <v>45</v>
      </c>
      <c r="B18" s="32" t="s">
        <v>46</v>
      </c>
      <c r="C18" s="33"/>
      <c r="D18" s="34" t="s">
        <v>47</v>
      </c>
      <c r="E18" s="34"/>
      <c r="F18" s="34"/>
      <c r="G18" s="34"/>
      <c r="H18" s="34"/>
      <c r="I18" s="34"/>
      <c r="J18" s="34"/>
      <c r="K18" s="33"/>
      <c r="L18" s="35">
        <f ca="1">L25</f>
        <v>0</v>
      </c>
      <c r="M18" s="35">
        <f ca="1">ROUND(L18,2)</f>
        <v>0</v>
      </c>
      <c r="N18" s="11"/>
    </row>
    <row r="19" spans="1:14" ht="15.30" thickBot="1" customHeight="1">
      <c r="A19" s="17" t="s">
        <v>48</v>
      </c>
      <c r="B19" s="9" t="s">
        <v>49</v>
      </c>
      <c r="C19" s="9" t="s">
        <v>50</v>
      </c>
      <c r="D19" s="36" t="s">
        <v>51</v>
      </c>
      <c r="E19" s="36"/>
      <c r="F19" s="36"/>
      <c r="G19" s="36"/>
      <c r="H19" s="36"/>
      <c r="I19" s="36"/>
      <c r="J19" s="36"/>
      <c r="K19" s="37">
        <f ca="1">ROUND(1.00,2)</f>
        <v>0</v>
      </c>
      <c r="L19" s="38">
        <f ca="1">L24</f>
        <v>0</v>
      </c>
      <c r="M19" s="38">
        <f ca="1">ROUND(K19*L19,2)</f>
        <v>0</v>
      </c>
      <c r="N19" s="11"/>
    </row>
    <row r="20" spans="1:14" ht="67.14" thickBot="1" customHeight="1">
      <c r="A20" s="11"/>
      <c r="B20" s="11"/>
      <c r="C20" s="11"/>
      <c r="D20" s="36" t="s">
        <v>52</v>
      </c>
      <c r="E20" s="36"/>
      <c r="F20" s="36"/>
      <c r="G20" s="36"/>
      <c r="H20" s="36"/>
      <c r="I20" s="36"/>
      <c r="J20" s="36"/>
      <c r="K20" s="36"/>
      <c r="L20" s="36"/>
      <c r="M20" s="36"/>
      <c r="N20" s="11"/>
    </row>
    <row r="21" spans="1:14" ht="15.06" thickBot="1" customHeight="1">
      <c r="A21" s="9" t="s">
        <v>53</v>
      </c>
      <c r="B21" s="9" t="s">
        <v>54</v>
      </c>
      <c r="C21" s="9" t="s">
        <v>55</v>
      </c>
      <c r="D21" s="36" t="s">
        <v>56</v>
      </c>
      <c r="E21" s="36"/>
      <c r="F21" s="36"/>
      <c r="G21" s="36"/>
      <c r="H21" s="36"/>
      <c r="I21" s="36"/>
      <c r="J21" s="36"/>
      <c r="K21" s="37">
        <v>8.000</v>
      </c>
      <c r="L21" s="37">
        <f ca="1">ROUND(30.630,3)</f>
        <v>0</v>
      </c>
      <c r="M21" s="38">
        <f ca="1">ROUND(K21*L21,2)</f>
        <v>0</v>
      </c>
      <c r="N21" s="11"/>
    </row>
    <row r="22" spans="1:14" ht="15.06" thickBot="1" customHeight="1">
      <c r="A22" s="9" t="s">
        <v>57</v>
      </c>
      <c r="B22" s="9" t="s">
        <v>58</v>
      </c>
      <c r="C22" s="9" t="s">
        <v>59</v>
      </c>
      <c r="D22" s="36" t="s">
        <v>60</v>
      </c>
      <c r="E22" s="36"/>
      <c r="F22" s="36"/>
      <c r="G22" s="36"/>
      <c r="H22" s="36"/>
      <c r="I22" s="36"/>
      <c r="J22" s="36"/>
      <c r="K22" s="37">
        <v>8.000</v>
      </c>
      <c r="L22" s="37">
        <f ca="1">ROUND(26.360,3)</f>
        <v>0</v>
      </c>
      <c r="M22" s="38">
        <f ca="1">ROUND(K22*L22,2)</f>
        <v>0</v>
      </c>
      <c r="N22" s="11"/>
    </row>
    <row r="23" spans="1:14" ht="15.06" thickBot="1" customHeight="1">
      <c r="A23" s="9" t="s">
        <v>61</v>
      </c>
      <c r="B23" s="9"/>
      <c r="C23" s="9" t="s">
        <v>62</v>
      </c>
      <c r="D23" s="36" t="s">
        <v>63</v>
      </c>
      <c r="E23" s="36"/>
      <c r="F23" s="36"/>
      <c r="G23" s="36"/>
      <c r="H23" s="36"/>
      <c r="I23" s="36"/>
      <c r="J23" s="36"/>
      <c r="K23" s="37">
        <v>2.000</v>
      </c>
      <c r="L23" s="37">
        <f ca="1">ROUND(455.92,2)</f>
        <v>0</v>
      </c>
      <c r="M23" s="38">
        <f ca="1">ROUND((K23*L23)/100,2)</f>
        <v>0</v>
      </c>
      <c r="N23" s="11"/>
    </row>
    <row r="24" spans="1:14" ht="15.30" thickBot="1" customHeight="1">
      <c r="A24" s="39"/>
      <c r="B24" s="39"/>
      <c r="C24" s="39"/>
      <c r="D24" s="40" t="s">
        <v>64</v>
      </c>
      <c r="E24" s="39"/>
      <c r="F24" s="39"/>
      <c r="G24" s="39"/>
      <c r="H24" s="39"/>
      <c r="I24" s="39"/>
      <c r="J24" s="39"/>
      <c r="K24" s="42">
        <v>1.000</v>
      </c>
      <c r="L24" s="43">
        <f ca="1">ROUND((M21+M22+M23)*(1+M2/100),2)</f>
        <v>0</v>
      </c>
      <c r="M24" s="43">
        <f ca="1">ROUND(K24*L24,2)</f>
        <v>0</v>
      </c>
      <c r="N24" s="11"/>
    </row>
    <row r="25" spans="1:14" ht="15.30" thickBot="1" customHeight="1">
      <c r="A25" s="44"/>
      <c r="B25" s="44"/>
      <c r="C25" s="44"/>
      <c r="D25" s="45" t="s">
        <v>65</v>
      </c>
      <c r="E25" s="46"/>
      <c r="F25" s="46"/>
      <c r="G25" s="46"/>
      <c r="H25" s="46"/>
      <c r="I25" s="46"/>
      <c r="J25" s="46"/>
      <c r="K25" s="46"/>
      <c r="L25" s="47">
        <f ca="1">M19</f>
        <v>0</v>
      </c>
      <c r="M25" s="47">
        <f ca="1">ROUND(L25,2)</f>
        <v>0</v>
      </c>
      <c r="N25" s="11"/>
    </row>
    <row r="26" spans="1:14" ht="15.30" thickBot="1" customHeight="1">
      <c r="A26" s="44"/>
      <c r="B26" s="44"/>
      <c r="C26" s="44"/>
      <c r="D26" s="48" t="s">
        <v>66</v>
      </c>
      <c r="E26" s="49"/>
      <c r="F26" s="49"/>
      <c r="G26" s="49"/>
      <c r="H26" s="49"/>
      <c r="I26" s="49"/>
      <c r="J26" s="49"/>
      <c r="K26" s="49"/>
      <c r="L26" s="50">
        <f ca="1">M25</f>
        <v>0</v>
      </c>
      <c r="M26" s="50">
        <f ca="1">ROUND(L26,2)</f>
        <v>0</v>
      </c>
      <c r="N26" s="11"/>
    </row>
    <row r="27" spans="1:14" ht="15.30" thickBot="1" customHeight="1">
      <c r="A27" s="44"/>
      <c r="B27" s="44"/>
      <c r="C27" s="44"/>
      <c r="D27" s="51" t="s">
        <v>67</v>
      </c>
      <c r="E27" s="52"/>
      <c r="F27" s="52"/>
      <c r="G27" s="52"/>
      <c r="H27" s="52"/>
      <c r="I27" s="52"/>
      <c r="J27" s="52"/>
      <c r="K27" s="52"/>
      <c r="L27" s="53">
        <f ca="1">M26</f>
        <v>0</v>
      </c>
      <c r="M27" s="53">
        <f ca="1">ROUND(L27,2)</f>
        <v>0</v>
      </c>
      <c r="N27" s="11"/>
    </row>
    <row r="28" spans="1:14" ht="15.30" thickBot="1" customHeight="1">
      <c r="A28" s="54" t="s">
        <v>68</v>
      </c>
      <c r="B28" s="54" t="s">
        <v>69</v>
      </c>
      <c r="C28" s="55"/>
      <c r="D28" s="56" t="s">
        <v>70</v>
      </c>
      <c r="E28" s="56"/>
      <c r="F28" s="56"/>
      <c r="G28" s="56"/>
      <c r="H28" s="56"/>
      <c r="I28" s="56"/>
      <c r="J28" s="56"/>
      <c r="K28" s="55"/>
      <c r="L28" s="57">
        <f ca="1">L42</f>
        <v>0</v>
      </c>
      <c r="M28" s="57">
        <f ca="1">ROUND(L28,2)</f>
        <v>0</v>
      </c>
      <c r="N28" s="11"/>
    </row>
    <row r="29" spans="1:14" ht="15.30" thickBot="1" customHeight="1">
      <c r="A29" s="17" t="s">
        <v>71</v>
      </c>
      <c r="B29" s="9" t="s">
        <v>72</v>
      </c>
      <c r="C29" s="9" t="s">
        <v>73</v>
      </c>
      <c r="D29" s="36" t="s">
        <v>74</v>
      </c>
      <c r="E29" s="36"/>
      <c r="F29" s="36"/>
      <c r="G29" s="36"/>
      <c r="H29" s="36"/>
      <c r="I29" s="36"/>
      <c r="J29" s="36"/>
      <c r="K29" s="37">
        <f ca="1">ROUND(1.00,2)</f>
        <v>0</v>
      </c>
      <c r="L29" s="38">
        <f ca="1">L34</f>
        <v>0</v>
      </c>
      <c r="M29" s="38">
        <f ca="1">ROUND(K29*L29,2)</f>
        <v>0</v>
      </c>
      <c r="N29" s="11"/>
    </row>
    <row r="30" spans="1:14" ht="76.32" thickBot="1" customHeight="1">
      <c r="A30" s="11"/>
      <c r="B30" s="11"/>
      <c r="C30" s="11"/>
      <c r="D30" s="36" t="s">
        <v>75</v>
      </c>
      <c r="E30" s="36"/>
      <c r="F30" s="36"/>
      <c r="G30" s="36"/>
      <c r="H30" s="36"/>
      <c r="I30" s="36"/>
      <c r="J30" s="36"/>
      <c r="K30" s="36"/>
      <c r="L30" s="36"/>
      <c r="M30" s="36"/>
      <c r="N30" s="11"/>
    </row>
    <row r="31" spans="1:14" ht="15.06" thickBot="1" customHeight="1">
      <c r="A31" s="9" t="s">
        <v>76</v>
      </c>
      <c r="B31" s="9" t="s">
        <v>77</v>
      </c>
      <c r="C31" s="9" t="s">
        <v>78</v>
      </c>
      <c r="D31" s="36" t="s">
        <v>79</v>
      </c>
      <c r="E31" s="36"/>
      <c r="F31" s="36"/>
      <c r="G31" s="36"/>
      <c r="H31" s="36"/>
      <c r="I31" s="36"/>
      <c r="J31" s="36"/>
      <c r="K31" s="37">
        <v>26.723</v>
      </c>
      <c r="L31" s="37">
        <f ca="1">ROUND(30.630,3)</f>
        <v>0</v>
      </c>
      <c r="M31" s="38">
        <f ca="1">ROUND(K31*L31,2)</f>
        <v>0</v>
      </c>
      <c r="N31" s="11"/>
    </row>
    <row r="32" spans="1:14" ht="15.06" thickBot="1" customHeight="1">
      <c r="A32" s="9" t="s">
        <v>80</v>
      </c>
      <c r="B32" s="9" t="s">
        <v>81</v>
      </c>
      <c r="C32" s="9" t="s">
        <v>82</v>
      </c>
      <c r="D32" s="36" t="s">
        <v>83</v>
      </c>
      <c r="E32" s="36"/>
      <c r="F32" s="36"/>
      <c r="G32" s="36"/>
      <c r="H32" s="36"/>
      <c r="I32" s="36"/>
      <c r="J32" s="36"/>
      <c r="K32" s="37">
        <v>26.723</v>
      </c>
      <c r="L32" s="37">
        <f ca="1">ROUND(26.360,3)</f>
        <v>0</v>
      </c>
      <c r="M32" s="38">
        <f ca="1">ROUND(K32*L32,2)</f>
        <v>0</v>
      </c>
      <c r="N32" s="11"/>
    </row>
    <row r="33" spans="1:14" ht="15.06" thickBot="1" customHeight="1">
      <c r="A33" s="9" t="s">
        <v>84</v>
      </c>
      <c r="B33" s="9"/>
      <c r="C33" s="9" t="s">
        <v>85</v>
      </c>
      <c r="D33" s="36" t="s">
        <v>86</v>
      </c>
      <c r="E33" s="36"/>
      <c r="F33" s="36"/>
      <c r="G33" s="36"/>
      <c r="H33" s="36"/>
      <c r="I33" s="36"/>
      <c r="J33" s="36"/>
      <c r="K33" s="37">
        <v>2.000</v>
      </c>
      <c r="L33" s="37">
        <f ca="1">ROUND(1522.95,2)</f>
        <v>0</v>
      </c>
      <c r="M33" s="38">
        <f ca="1">ROUND((K33*L33)/100,2)</f>
        <v>0</v>
      </c>
      <c r="N33" s="11"/>
    </row>
    <row r="34" spans="1:14" ht="15.30" thickBot="1" customHeight="1">
      <c r="A34" s="39"/>
      <c r="B34" s="39"/>
      <c r="C34" s="39"/>
      <c r="D34" s="40" t="s">
        <v>87</v>
      </c>
      <c r="E34" s="39"/>
      <c r="F34" s="39"/>
      <c r="G34" s="39"/>
      <c r="H34" s="39"/>
      <c r="I34" s="39"/>
      <c r="J34" s="39"/>
      <c r="K34" s="42">
        <v>1.000</v>
      </c>
      <c r="L34" s="43">
        <f ca="1">ROUND((M31+M32+M33)*(1+M2/100),2)</f>
        <v>0</v>
      </c>
      <c r="M34" s="43">
        <f ca="1">ROUND(K34*L34,2)</f>
        <v>0</v>
      </c>
      <c r="N34" s="11"/>
    </row>
    <row r="35" spans="1:14" ht="15.30" thickBot="1" customHeight="1">
      <c r="A35" s="58" t="s">
        <v>88</v>
      </c>
      <c r="B35" s="59" t="s">
        <v>89</v>
      </c>
      <c r="C35" s="59" t="s">
        <v>90</v>
      </c>
      <c r="D35" s="60" t="s">
        <v>91</v>
      </c>
      <c r="E35" s="60"/>
      <c r="F35" s="60"/>
      <c r="G35" s="60"/>
      <c r="H35" s="60"/>
      <c r="I35" s="60"/>
      <c r="J35" s="60"/>
      <c r="K35" s="61">
        <f ca="1">ROUND(1.00,2)</f>
        <v>0</v>
      </c>
      <c r="L35" s="62">
        <f ca="1">L41</f>
        <v>0</v>
      </c>
      <c r="M35" s="62">
        <f ca="1">ROUND(K35*L35,2)</f>
        <v>0</v>
      </c>
      <c r="N35" s="11"/>
    </row>
    <row r="36" spans="1:14" ht="48.78" thickBot="1" customHeight="1">
      <c r="A36" s="11"/>
      <c r="B36" s="11"/>
      <c r="C36" s="11"/>
      <c r="D36" s="36" t="s">
        <v>92</v>
      </c>
      <c r="E36" s="36"/>
      <c r="F36" s="36"/>
      <c r="G36" s="36"/>
      <c r="H36" s="36"/>
      <c r="I36" s="36"/>
      <c r="J36" s="36"/>
      <c r="K36" s="36"/>
      <c r="L36" s="36"/>
      <c r="M36" s="36"/>
      <c r="N36" s="11"/>
    </row>
    <row r="37" spans="1:14" ht="15.06" thickBot="1" customHeight="1">
      <c r="A37" s="9" t="s">
        <v>93</v>
      </c>
      <c r="B37" s="9" t="s">
        <v>94</v>
      </c>
      <c r="C37" s="9" t="s">
        <v>95</v>
      </c>
      <c r="D37" s="36" t="s">
        <v>96</v>
      </c>
      <c r="E37" s="36"/>
      <c r="F37" s="36"/>
      <c r="G37" s="36"/>
      <c r="H37" s="36"/>
      <c r="I37" s="36"/>
      <c r="J37" s="36"/>
      <c r="K37" s="37">
        <v>1.000</v>
      </c>
      <c r="L37" s="37">
        <f ca="1">ROUND(525.000,3)</f>
        <v>0</v>
      </c>
      <c r="M37" s="38">
        <f ca="1">ROUND(K37*L37,2)</f>
        <v>0</v>
      </c>
      <c r="N37" s="11"/>
    </row>
    <row r="38" spans="1:14" ht="15.06" thickBot="1" customHeight="1">
      <c r="A38" s="9" t="s">
        <v>97</v>
      </c>
      <c r="B38" s="9" t="s">
        <v>98</v>
      </c>
      <c r="C38" s="9" t="s">
        <v>99</v>
      </c>
      <c r="D38" s="36" t="s">
        <v>100</v>
      </c>
      <c r="E38" s="36"/>
      <c r="F38" s="36"/>
      <c r="G38" s="36"/>
      <c r="H38" s="36"/>
      <c r="I38" s="36"/>
      <c r="J38" s="36"/>
      <c r="K38" s="37">
        <v>26.723</v>
      </c>
      <c r="L38" s="37">
        <f ca="1">ROUND(30.630,3)</f>
        <v>0</v>
      </c>
      <c r="M38" s="38">
        <f ca="1">ROUND(K38*L38,2)</f>
        <v>0</v>
      </c>
      <c r="N38" s="11"/>
    </row>
    <row r="39" spans="1:14" ht="15.06" thickBot="1" customHeight="1">
      <c r="A39" s="9" t="s">
        <v>101</v>
      </c>
      <c r="B39" s="9" t="s">
        <v>102</v>
      </c>
      <c r="C39" s="9" t="s">
        <v>103</v>
      </c>
      <c r="D39" s="36" t="s">
        <v>104</v>
      </c>
      <c r="E39" s="36"/>
      <c r="F39" s="36"/>
      <c r="G39" s="36"/>
      <c r="H39" s="36"/>
      <c r="I39" s="36"/>
      <c r="J39" s="36"/>
      <c r="K39" s="37">
        <v>26.723</v>
      </c>
      <c r="L39" s="37">
        <f ca="1">ROUND(26.360,3)</f>
        <v>0</v>
      </c>
      <c r="M39" s="38">
        <f ca="1">ROUND(K39*L39,2)</f>
        <v>0</v>
      </c>
      <c r="N39" s="11"/>
    </row>
    <row r="40" spans="1:14" ht="15.06" thickBot="1" customHeight="1">
      <c r="A40" s="9" t="s">
        <v>105</v>
      </c>
      <c r="B40" s="9"/>
      <c r="C40" s="9" t="s">
        <v>106</v>
      </c>
      <c r="D40" s="36" t="s">
        <v>107</v>
      </c>
      <c r="E40" s="36"/>
      <c r="F40" s="36"/>
      <c r="G40" s="36"/>
      <c r="H40" s="36"/>
      <c r="I40" s="36"/>
      <c r="J40" s="36"/>
      <c r="K40" s="37">
        <v>2.000</v>
      </c>
      <c r="L40" s="37">
        <f ca="1">ROUND(2047.95,2)</f>
        <v>0</v>
      </c>
      <c r="M40" s="38">
        <f ca="1">ROUND((K40*L40)/100,2)</f>
        <v>0</v>
      </c>
      <c r="N40" s="11"/>
    </row>
    <row r="41" spans="1:14" ht="15.30" thickBot="1" customHeight="1">
      <c r="A41" s="39"/>
      <c r="B41" s="39"/>
      <c r="C41" s="39"/>
      <c r="D41" s="40" t="s">
        <v>108</v>
      </c>
      <c r="E41" s="39"/>
      <c r="F41" s="39"/>
      <c r="G41" s="39"/>
      <c r="H41" s="39"/>
      <c r="I41" s="39"/>
      <c r="J41" s="39"/>
      <c r="K41" s="42">
        <v>1.000</v>
      </c>
      <c r="L41" s="43">
        <f ca="1">ROUND((M37+M38+M39+M40)*(1+M2/100),2)</f>
        <v>0</v>
      </c>
      <c r="M41" s="43">
        <f ca="1">ROUND(K41*L41,2)</f>
        <v>0</v>
      </c>
      <c r="N41" s="11"/>
    </row>
    <row r="42" spans="1:14" ht="15.30" thickBot="1" customHeight="1">
      <c r="A42" s="44"/>
      <c r="B42" s="44"/>
      <c r="C42" s="44"/>
      <c r="D42" s="51" t="s">
        <v>109</v>
      </c>
      <c r="E42" s="52"/>
      <c r="F42" s="52"/>
      <c r="G42" s="52"/>
      <c r="H42" s="52"/>
      <c r="I42" s="52"/>
      <c r="J42" s="52"/>
      <c r="K42" s="52"/>
      <c r="L42" s="53">
        <f ca="1">M29+M35</f>
        <v>0</v>
      </c>
      <c r="M42" s="53">
        <f ca="1">ROUND(L42,2)</f>
        <v>0</v>
      </c>
      <c r="N42" s="11"/>
    </row>
    <row r="43" spans="1:14" ht="15.30" thickBot="1" customHeight="1">
      <c r="A43" s="54" t="s">
        <v>110</v>
      </c>
      <c r="B43" s="54" t="s">
        <v>111</v>
      </c>
      <c r="C43" s="55"/>
      <c r="D43" s="56" t="s">
        <v>112</v>
      </c>
      <c r="E43" s="56"/>
      <c r="F43" s="56"/>
      <c r="G43" s="56"/>
      <c r="H43" s="56"/>
      <c r="I43" s="56"/>
      <c r="J43" s="56"/>
      <c r="K43" s="55"/>
      <c r="L43" s="57">
        <f ca="1">L51</f>
        <v>0</v>
      </c>
      <c r="M43" s="57">
        <f ca="1">ROUND(L43,2)</f>
        <v>0</v>
      </c>
      <c r="N43" s="11"/>
    </row>
    <row r="44" spans="1:14" ht="15.30" thickBot="1" customHeight="1">
      <c r="A44" s="17" t="s">
        <v>113</v>
      </c>
      <c r="B44" s="9" t="s">
        <v>114</v>
      </c>
      <c r="C44" s="9" t="s">
        <v>115</v>
      </c>
      <c r="D44" s="36" t="s">
        <v>116</v>
      </c>
      <c r="E44" s="36"/>
      <c r="F44" s="36"/>
      <c r="G44" s="36"/>
      <c r="H44" s="36"/>
      <c r="I44" s="36"/>
      <c r="J44" s="36"/>
      <c r="K44" s="37">
        <f ca="1">ROUND(2.00,2)</f>
        <v>0</v>
      </c>
      <c r="L44" s="38">
        <f ca="1">L50</f>
        <v>0</v>
      </c>
      <c r="M44" s="38">
        <f ca="1">ROUND(K44*L44,2)</f>
        <v>0</v>
      </c>
      <c r="N44" s="11"/>
    </row>
    <row r="45" spans="1:14" ht="57.96" thickBot="1" customHeight="1">
      <c r="A45" s="11"/>
      <c r="B45" s="11"/>
      <c r="C45" s="11"/>
      <c r="D45" s="36" t="s">
        <v>117</v>
      </c>
      <c r="E45" s="36"/>
      <c r="F45" s="36"/>
      <c r="G45" s="36"/>
      <c r="H45" s="36"/>
      <c r="I45" s="36"/>
      <c r="J45" s="36"/>
      <c r="K45" s="36"/>
      <c r="L45" s="36"/>
      <c r="M45" s="36"/>
      <c r="N45" s="11"/>
    </row>
    <row r="46" spans="1:14" ht="24.24" thickBot="1" customHeight="1">
      <c r="A46" s="9" t="s">
        <v>118</v>
      </c>
      <c r="B46" s="9" t="s">
        <v>119</v>
      </c>
      <c r="C46" s="9" t="s">
        <v>120</v>
      </c>
      <c r="D46" s="36" t="s">
        <v>121</v>
      </c>
      <c r="E46" s="36"/>
      <c r="F46" s="36"/>
      <c r="G46" s="36"/>
      <c r="H46" s="36"/>
      <c r="I46" s="36"/>
      <c r="J46" s="36"/>
      <c r="K46" s="37">
        <v>2.000</v>
      </c>
      <c r="L46" s="37">
        <f ca="1">ROUND(1500.000,3)</f>
        <v>0</v>
      </c>
      <c r="M46" s="38">
        <f ca="1">ROUND(K46*L46,2)</f>
        <v>0</v>
      </c>
      <c r="N46" s="11"/>
    </row>
    <row r="47" spans="1:14" ht="15.06" thickBot="1" customHeight="1">
      <c r="A47" s="9" t="s">
        <v>122</v>
      </c>
      <c r="B47" s="9" t="s">
        <v>123</v>
      </c>
      <c r="C47" s="9" t="s">
        <v>124</v>
      </c>
      <c r="D47" s="36" t="s">
        <v>125</v>
      </c>
      <c r="E47" s="36"/>
      <c r="F47" s="36"/>
      <c r="G47" s="36"/>
      <c r="H47" s="36"/>
      <c r="I47" s="36"/>
      <c r="J47" s="36"/>
      <c r="K47" s="37">
        <v>8.000</v>
      </c>
      <c r="L47" s="37">
        <f ca="1">ROUND(30.630,3)</f>
        <v>0</v>
      </c>
      <c r="M47" s="38">
        <f ca="1">ROUND(K47*L47,2)</f>
        <v>0</v>
      </c>
      <c r="N47" s="11"/>
    </row>
    <row r="48" spans="1:14" ht="15.06" thickBot="1" customHeight="1">
      <c r="A48" s="9" t="s">
        <v>126</v>
      </c>
      <c r="B48" s="9" t="s">
        <v>127</v>
      </c>
      <c r="C48" s="9" t="s">
        <v>128</v>
      </c>
      <c r="D48" s="36" t="s">
        <v>129</v>
      </c>
      <c r="E48" s="36"/>
      <c r="F48" s="36"/>
      <c r="G48" s="36"/>
      <c r="H48" s="36"/>
      <c r="I48" s="36"/>
      <c r="J48" s="36"/>
      <c r="K48" s="37">
        <v>8.000</v>
      </c>
      <c r="L48" s="37">
        <f ca="1">ROUND(26.390,3)</f>
        <v>0</v>
      </c>
      <c r="M48" s="38">
        <f ca="1">ROUND(K48*L48,2)</f>
        <v>0</v>
      </c>
      <c r="N48" s="11"/>
    </row>
    <row r="49" spans="1:14" ht="15.06" thickBot="1" customHeight="1">
      <c r="A49" s="9" t="s">
        <v>130</v>
      </c>
      <c r="B49" s="9"/>
      <c r="C49" s="9" t="s">
        <v>131</v>
      </c>
      <c r="D49" s="36" t="s">
        <v>132</v>
      </c>
      <c r="E49" s="36"/>
      <c r="F49" s="36"/>
      <c r="G49" s="36"/>
      <c r="H49" s="36"/>
      <c r="I49" s="36"/>
      <c r="J49" s="36"/>
      <c r="K49" s="37">
        <v>2.000</v>
      </c>
      <c r="L49" s="37">
        <f ca="1">ROUND(3456.16,2)</f>
        <v>0</v>
      </c>
      <c r="M49" s="38">
        <f ca="1">ROUND((K49*L49)/100,2)</f>
        <v>0</v>
      </c>
      <c r="N49" s="11"/>
    </row>
    <row r="50" spans="1:14" ht="15.30" thickBot="1" customHeight="1">
      <c r="A50" s="39"/>
      <c r="B50" s="39"/>
      <c r="C50" s="39"/>
      <c r="D50" s="40" t="s">
        <v>133</v>
      </c>
      <c r="E50" s="39"/>
      <c r="F50" s="39"/>
      <c r="G50" s="39"/>
      <c r="H50" s="39"/>
      <c r="I50" s="39"/>
      <c r="J50" s="39"/>
      <c r="K50" s="42">
        <v>2.000</v>
      </c>
      <c r="L50" s="43">
        <f ca="1">ROUND((M46+M47+M48+M49)*(1+M2/100),2)</f>
        <v>0</v>
      </c>
      <c r="M50" s="43">
        <f ca="1">ROUND(K50*L50,2)</f>
        <v>0</v>
      </c>
      <c r="N50" s="11"/>
    </row>
    <row r="51" spans="1:14" ht="15.30" thickBot="1" customHeight="1">
      <c r="A51" s="44"/>
      <c r="B51" s="44"/>
      <c r="C51" s="44"/>
      <c r="D51" s="51" t="s">
        <v>134</v>
      </c>
      <c r="E51" s="52"/>
      <c r="F51" s="52"/>
      <c r="G51" s="52"/>
      <c r="H51" s="52"/>
      <c r="I51" s="52"/>
      <c r="J51" s="52"/>
      <c r="K51" s="52"/>
      <c r="L51" s="53">
        <f ca="1">M44</f>
        <v>0</v>
      </c>
      <c r="M51" s="53">
        <f ca="1">ROUND(L51,2)</f>
        <v>0</v>
      </c>
      <c r="N51" s="11"/>
    </row>
    <row r="52" spans="1:14" ht="15.30" thickBot="1" customHeight="1">
      <c r="A52" s="54" t="s">
        <v>135</v>
      </c>
      <c r="B52" s="54" t="s">
        <v>136</v>
      </c>
      <c r="C52" s="55"/>
      <c r="D52" s="56" t="s">
        <v>137</v>
      </c>
      <c r="E52" s="56"/>
      <c r="F52" s="56"/>
      <c r="G52" s="56"/>
      <c r="H52" s="56"/>
      <c r="I52" s="56"/>
      <c r="J52" s="56"/>
      <c r="K52" s="55"/>
      <c r="L52" s="57">
        <f ca="1">L74</f>
        <v>0</v>
      </c>
      <c r="M52" s="57">
        <f ca="1">ROUND(L52,2)</f>
        <v>0</v>
      </c>
      <c r="N52" s="11"/>
    </row>
    <row r="53" spans="1:14" ht="15.30" thickBot="1" customHeight="1">
      <c r="A53" s="28" t="s">
        <v>138</v>
      </c>
      <c r="B53" s="28" t="s">
        <v>139</v>
      </c>
      <c r="C53" s="29"/>
      <c r="D53" s="30" t="s">
        <v>140</v>
      </c>
      <c r="E53" s="30"/>
      <c r="F53" s="30"/>
      <c r="G53" s="30"/>
      <c r="H53" s="30"/>
      <c r="I53" s="30"/>
      <c r="J53" s="30"/>
      <c r="K53" s="29"/>
      <c r="L53" s="31">
        <f ca="1">L73</f>
        <v>0</v>
      </c>
      <c r="M53" s="31">
        <f ca="1">ROUND(L53,2)</f>
        <v>0</v>
      </c>
      <c r="N53" s="11"/>
    </row>
    <row r="54" spans="1:14" ht="15.30" thickBot="1" customHeight="1">
      <c r="A54" s="32" t="s">
        <v>141</v>
      </c>
      <c r="B54" s="32" t="s">
        <v>142</v>
      </c>
      <c r="C54" s="33"/>
      <c r="D54" s="34" t="s">
        <v>143</v>
      </c>
      <c r="E54" s="34"/>
      <c r="F54" s="34"/>
      <c r="G54" s="34"/>
      <c r="H54" s="34"/>
      <c r="I54" s="34"/>
      <c r="J54" s="34"/>
      <c r="K54" s="33"/>
      <c r="L54" s="35">
        <f ca="1">L65</f>
        <v>0</v>
      </c>
      <c r="M54" s="35">
        <f ca="1">ROUND(L54,2)</f>
        <v>0</v>
      </c>
      <c r="N54" s="11"/>
    </row>
    <row r="55" spans="1:14" ht="15.30" thickBot="1" customHeight="1">
      <c r="A55" s="17" t="s">
        <v>144</v>
      </c>
      <c r="B55" s="9" t="s">
        <v>145</v>
      </c>
      <c r="C55" s="9" t="s">
        <v>146</v>
      </c>
      <c r="D55" s="36" t="s">
        <v>147</v>
      </c>
      <c r="E55" s="36"/>
      <c r="F55" s="36"/>
      <c r="G55" s="36"/>
      <c r="H55" s="36"/>
      <c r="I55" s="36"/>
      <c r="J55" s="36"/>
      <c r="K55" s="37">
        <f ca="1">ROUND(50.00,2)</f>
        <v>0</v>
      </c>
      <c r="L55" s="38">
        <f ca="1">L64</f>
        <v>0</v>
      </c>
      <c r="M55" s="38">
        <f ca="1">ROUND(K55*L55,2)</f>
        <v>0</v>
      </c>
      <c r="N55" s="11"/>
    </row>
    <row r="56" spans="1:14" ht="76.32" thickBot="1" customHeight="1">
      <c r="A56" s="11"/>
      <c r="B56" s="11"/>
      <c r="C56" s="11"/>
      <c r="D56" s="36" t="s">
        <v>148</v>
      </c>
      <c r="E56" s="36"/>
      <c r="F56" s="36"/>
      <c r="G56" s="36"/>
      <c r="H56" s="36"/>
      <c r="I56" s="36"/>
      <c r="J56" s="36"/>
      <c r="K56" s="36"/>
      <c r="L56" s="36"/>
      <c r="M56" s="36"/>
      <c r="N56" s="11"/>
    </row>
    <row r="57" spans="1:14" ht="15.06" thickBot="1" customHeight="1">
      <c r="A57" s="9" t="s">
        <v>149</v>
      </c>
      <c r="B57" s="9" t="s">
        <v>150</v>
      </c>
      <c r="C57" s="9" t="s">
        <v>151</v>
      </c>
      <c r="D57" s="36" t="s">
        <v>152</v>
      </c>
      <c r="E57" s="36"/>
      <c r="F57" s="36"/>
      <c r="G57" s="36"/>
      <c r="H57" s="36"/>
      <c r="I57" s="36"/>
      <c r="J57" s="36"/>
      <c r="K57" s="37">
        <v>0.015</v>
      </c>
      <c r="L57" s="37">
        <f ca="1">ROUND(148.020,3)</f>
        <v>0</v>
      </c>
      <c r="M57" s="38">
        <f ca="1">ROUND(K57*L57,2)</f>
        <v>0</v>
      </c>
      <c r="N57" s="11"/>
    </row>
    <row r="58" spans="1:14" ht="24.24" thickBot="1" customHeight="1">
      <c r="A58" s="9" t="s">
        <v>153</v>
      </c>
      <c r="B58" s="9" t="s">
        <v>154</v>
      </c>
      <c r="C58" s="9" t="s">
        <v>155</v>
      </c>
      <c r="D58" s="36" t="s">
        <v>156</v>
      </c>
      <c r="E58" s="36"/>
      <c r="F58" s="36"/>
      <c r="G58" s="36"/>
      <c r="H58" s="36"/>
      <c r="I58" s="36"/>
      <c r="J58" s="36"/>
      <c r="K58" s="37">
        <v>0.006</v>
      </c>
      <c r="L58" s="37">
        <f ca="1">ROUND(1.500,3)</f>
        <v>0</v>
      </c>
      <c r="M58" s="38">
        <f ca="1">ROUND(K58*L58,2)</f>
        <v>0</v>
      </c>
      <c r="N58" s="11"/>
    </row>
    <row r="59" spans="1:14" ht="21.24" thickBot="1" customHeight="1">
      <c r="A59" s="9" t="s">
        <v>157</v>
      </c>
      <c r="B59" s="9" t="s">
        <v>158</v>
      </c>
      <c r="C59" s="9" t="s">
        <v>159</v>
      </c>
      <c r="D59" s="36" t="s">
        <v>160</v>
      </c>
      <c r="E59" s="36"/>
      <c r="F59" s="36"/>
      <c r="G59" s="36"/>
      <c r="H59" s="36"/>
      <c r="I59" s="36"/>
      <c r="J59" s="36"/>
      <c r="K59" s="37">
        <v>0.019</v>
      </c>
      <c r="L59" s="37">
        <f ca="1">ROUND(57.300,3)</f>
        <v>0</v>
      </c>
      <c r="M59" s="38">
        <f ca="1">ROUND(K59*L59,2)</f>
        <v>0</v>
      </c>
      <c r="N59" s="11"/>
    </row>
    <row r="60" spans="1:14" ht="15.06" thickBot="1" customHeight="1">
      <c r="A60" s="9" t="s">
        <v>161</v>
      </c>
      <c r="B60" s="9" t="s">
        <v>162</v>
      </c>
      <c r="C60" s="9" t="s">
        <v>163</v>
      </c>
      <c r="D60" s="36" t="s">
        <v>164</v>
      </c>
      <c r="E60" s="36"/>
      <c r="F60" s="36"/>
      <c r="G60" s="36"/>
      <c r="H60" s="36"/>
      <c r="I60" s="36"/>
      <c r="J60" s="36"/>
      <c r="K60" s="37">
        <v>0.006</v>
      </c>
      <c r="L60" s="37">
        <f ca="1">ROUND(27.930,3)</f>
        <v>0</v>
      </c>
      <c r="M60" s="38">
        <f ca="1">ROUND(K60*L60,2)</f>
        <v>0</v>
      </c>
      <c r="N60" s="11"/>
    </row>
    <row r="61" spans="1:14" ht="15.06" thickBot="1" customHeight="1">
      <c r="A61" s="9" t="s">
        <v>165</v>
      </c>
      <c r="B61" s="9" t="s">
        <v>166</v>
      </c>
      <c r="C61" s="9" t="s">
        <v>167</v>
      </c>
      <c r="D61" s="36" t="s">
        <v>168</v>
      </c>
      <c r="E61" s="36"/>
      <c r="F61" s="36"/>
      <c r="G61" s="36"/>
      <c r="H61" s="36"/>
      <c r="I61" s="36"/>
      <c r="J61" s="36"/>
      <c r="K61" s="37">
        <v>0.102</v>
      </c>
      <c r="L61" s="37">
        <f ca="1">ROUND(29.670,3)</f>
        <v>0</v>
      </c>
      <c r="M61" s="38">
        <f ca="1">ROUND(K61*L61,2)</f>
        <v>0</v>
      </c>
      <c r="N61" s="11"/>
    </row>
    <row r="62" spans="1:14" ht="15.06" thickBot="1" customHeight="1">
      <c r="A62" s="9" t="s">
        <v>169</v>
      </c>
      <c r="B62" s="9" t="s">
        <v>170</v>
      </c>
      <c r="C62" s="9" t="s">
        <v>171</v>
      </c>
      <c r="D62" s="36" t="s">
        <v>172</v>
      </c>
      <c r="E62" s="36"/>
      <c r="F62" s="36"/>
      <c r="G62" s="36"/>
      <c r="H62" s="36"/>
      <c r="I62" s="36"/>
      <c r="J62" s="36"/>
      <c r="K62" s="37">
        <v>0.255</v>
      </c>
      <c r="L62" s="37">
        <f ca="1">ROUND(24.860,3)</f>
        <v>0</v>
      </c>
      <c r="M62" s="38">
        <f ca="1">ROUND(K62*L62,2)</f>
        <v>0</v>
      </c>
      <c r="N62" s="11"/>
    </row>
    <row r="63" spans="1:14" ht="15.06" thickBot="1" customHeight="1">
      <c r="A63" s="9" t="s">
        <v>173</v>
      </c>
      <c r="B63" s="9"/>
      <c r="C63" s="9" t="s">
        <v>174</v>
      </c>
      <c r="D63" s="36" t="s">
        <v>175</v>
      </c>
      <c r="E63" s="36"/>
      <c r="F63" s="36"/>
      <c r="G63" s="36"/>
      <c r="H63" s="36"/>
      <c r="I63" s="36"/>
      <c r="J63" s="36"/>
      <c r="K63" s="37">
        <v>4.000</v>
      </c>
      <c r="L63" s="37">
        <f ca="1">ROUND(12.86,2)</f>
        <v>0</v>
      </c>
      <c r="M63" s="38">
        <f ca="1">ROUND((K63*L63)/100,2)</f>
        <v>0</v>
      </c>
      <c r="N63" s="11"/>
    </row>
    <row r="64" spans="1:14" ht="15.30" thickBot="1" customHeight="1">
      <c r="A64" s="39"/>
      <c r="B64" s="39"/>
      <c r="C64" s="39"/>
      <c r="D64" s="40" t="s">
        <v>176</v>
      </c>
      <c r="E64" s="39"/>
      <c r="F64" s="39"/>
      <c r="G64" s="39"/>
      <c r="H64" s="39"/>
      <c r="I64" s="39"/>
      <c r="J64" s="39"/>
      <c r="K64" s="42">
        <v>50.000</v>
      </c>
      <c r="L64" s="43">
        <f ca="1">ROUND((M57+M58+M59+M60+M61+M62+M63)*(1+M2/100),2)</f>
        <v>0</v>
      </c>
      <c r="M64" s="43">
        <f ca="1">ROUND(K64*L64,2)</f>
        <v>0</v>
      </c>
      <c r="N64" s="11"/>
    </row>
    <row r="65" spans="1:14" ht="15.30" thickBot="1" customHeight="1">
      <c r="A65" s="44"/>
      <c r="B65" s="44"/>
      <c r="C65" s="44"/>
      <c r="D65" s="45" t="s">
        <v>177</v>
      </c>
      <c r="E65" s="46"/>
      <c r="F65" s="46"/>
      <c r="G65" s="46"/>
      <c r="H65" s="46"/>
      <c r="I65" s="46"/>
      <c r="J65" s="46"/>
      <c r="K65" s="46"/>
      <c r="L65" s="47">
        <f ca="1">M55</f>
        <v>0</v>
      </c>
      <c r="M65" s="47">
        <f ca="1">ROUND(L65,2)</f>
        <v>0</v>
      </c>
      <c r="N65" s="11"/>
    </row>
    <row r="66" spans="1:14" ht="15.30" thickBot="1" customHeight="1">
      <c r="A66" s="63" t="s">
        <v>178</v>
      </c>
      <c r="B66" s="63" t="s">
        <v>179</v>
      </c>
      <c r="C66" s="64"/>
      <c r="D66" s="65" t="s">
        <v>180</v>
      </c>
      <c r="E66" s="65"/>
      <c r="F66" s="65"/>
      <c r="G66" s="65"/>
      <c r="H66" s="65"/>
      <c r="I66" s="65"/>
      <c r="J66" s="65"/>
      <c r="K66" s="64"/>
      <c r="L66" s="66">
        <f ca="1">L72</f>
        <v>0</v>
      </c>
      <c r="M66" s="66">
        <f ca="1">ROUND(L66,2)</f>
        <v>0</v>
      </c>
      <c r="N66" s="11"/>
    </row>
    <row r="67" spans="1:14" ht="15.30" thickBot="1" customHeight="1">
      <c r="A67" s="17" t="s">
        <v>181</v>
      </c>
      <c r="B67" s="9" t="s">
        <v>182</v>
      </c>
      <c r="C67" s="9" t="s">
        <v>183</v>
      </c>
      <c r="D67" s="36" t="s">
        <v>184</v>
      </c>
      <c r="E67" s="36"/>
      <c r="F67" s="36"/>
      <c r="G67" s="36"/>
      <c r="H67" s="36"/>
      <c r="I67" s="36"/>
      <c r="J67" s="36"/>
      <c r="K67" s="37">
        <f ca="1">ROUND(1.00,2)</f>
        <v>0</v>
      </c>
      <c r="L67" s="38">
        <f ca="1">L71</f>
        <v>0</v>
      </c>
      <c r="M67" s="38">
        <f ca="1">ROUND(K67*L67,2)</f>
        <v>0</v>
      </c>
      <c r="N67" s="11"/>
    </row>
    <row r="68" spans="1:14" ht="67.14" thickBot="1" customHeight="1">
      <c r="A68" s="11"/>
      <c r="B68" s="11"/>
      <c r="C68" s="11"/>
      <c r="D68" s="36" t="s">
        <v>185</v>
      </c>
      <c r="E68" s="36"/>
      <c r="F68" s="36"/>
      <c r="G68" s="36"/>
      <c r="H68" s="36"/>
      <c r="I68" s="36"/>
      <c r="J68" s="36"/>
      <c r="K68" s="36"/>
      <c r="L68" s="36"/>
      <c r="M68" s="36"/>
      <c r="N68" s="11"/>
    </row>
    <row r="69" spans="1:14" ht="15.06" thickBot="1" customHeight="1">
      <c r="A69" s="9" t="s">
        <v>186</v>
      </c>
      <c r="B69" s="9" t="s">
        <v>187</v>
      </c>
      <c r="C69" s="9" t="s">
        <v>188</v>
      </c>
      <c r="D69" s="36" t="s">
        <v>189</v>
      </c>
      <c r="E69" s="36"/>
      <c r="F69" s="36"/>
      <c r="G69" s="36"/>
      <c r="H69" s="36"/>
      <c r="I69" s="36"/>
      <c r="J69" s="36"/>
      <c r="K69" s="37">
        <v>8.000</v>
      </c>
      <c r="L69" s="37">
        <f ca="1">ROUND(24.860,3)</f>
        <v>0</v>
      </c>
      <c r="M69" s="38">
        <f ca="1">ROUND(K69*L69,2)</f>
        <v>0</v>
      </c>
      <c r="N69" s="11"/>
    </row>
    <row r="70" spans="1:14" ht="15.06" thickBot="1" customHeight="1">
      <c r="A70" s="9" t="s">
        <v>190</v>
      </c>
      <c r="B70" s="9"/>
      <c r="C70" s="9" t="s">
        <v>191</v>
      </c>
      <c r="D70" s="36" t="s">
        <v>192</v>
      </c>
      <c r="E70" s="36"/>
      <c r="F70" s="36"/>
      <c r="G70" s="36"/>
      <c r="H70" s="36"/>
      <c r="I70" s="36"/>
      <c r="J70" s="36"/>
      <c r="K70" s="37">
        <v>2.000</v>
      </c>
      <c r="L70" s="37">
        <f ca="1">ROUND(198.88,2)</f>
        <v>0</v>
      </c>
      <c r="M70" s="38">
        <f ca="1">ROUND((K70*L70)/100,2)</f>
        <v>0</v>
      </c>
      <c r="N70" s="11"/>
    </row>
    <row r="71" spans="1:14" ht="15.30" thickBot="1" customHeight="1">
      <c r="A71" s="39"/>
      <c r="B71" s="39"/>
      <c r="C71" s="39"/>
      <c r="D71" s="40" t="s">
        <v>193</v>
      </c>
      <c r="E71" s="39"/>
      <c r="F71" s="39"/>
      <c r="G71" s="39"/>
      <c r="H71" s="39"/>
      <c r="I71" s="39"/>
      <c r="J71" s="39"/>
      <c r="K71" s="42">
        <v>1.000</v>
      </c>
      <c r="L71" s="43">
        <f ca="1">ROUND((M69+M70)*(1+M2/100),2)</f>
        <v>0</v>
      </c>
      <c r="M71" s="43">
        <f ca="1">ROUND(K71*L71,2)</f>
        <v>0</v>
      </c>
      <c r="N71" s="11"/>
    </row>
    <row r="72" spans="1:14" ht="15.30" thickBot="1" customHeight="1">
      <c r="A72" s="44"/>
      <c r="B72" s="44"/>
      <c r="C72" s="44"/>
      <c r="D72" s="45" t="s">
        <v>194</v>
      </c>
      <c r="E72" s="46"/>
      <c r="F72" s="46"/>
      <c r="G72" s="46"/>
      <c r="H72" s="46"/>
      <c r="I72" s="46"/>
      <c r="J72" s="46"/>
      <c r="K72" s="46"/>
      <c r="L72" s="47">
        <f ca="1">M67</f>
        <v>0</v>
      </c>
      <c r="M72" s="47">
        <f ca="1">ROUND(L72,2)</f>
        <v>0</v>
      </c>
      <c r="N72" s="11"/>
    </row>
    <row r="73" spans="1:14" ht="15.30" thickBot="1" customHeight="1">
      <c r="A73" s="44"/>
      <c r="B73" s="44"/>
      <c r="C73" s="44"/>
      <c r="D73" s="48" t="s">
        <v>195</v>
      </c>
      <c r="E73" s="49"/>
      <c r="F73" s="49"/>
      <c r="G73" s="49"/>
      <c r="H73" s="49"/>
      <c r="I73" s="49"/>
      <c r="J73" s="49"/>
      <c r="K73" s="49"/>
      <c r="L73" s="50">
        <f ca="1">M65+M72</f>
        <v>0</v>
      </c>
      <c r="M73" s="50">
        <f ca="1">ROUND(L73,2)</f>
        <v>0</v>
      </c>
      <c r="N73" s="11"/>
    </row>
    <row r="74" spans="1:14" ht="15.30" thickBot="1" customHeight="1">
      <c r="A74" s="44"/>
      <c r="B74" s="44"/>
      <c r="C74" s="44"/>
      <c r="D74" s="51" t="s">
        <v>196</v>
      </c>
      <c r="E74" s="52"/>
      <c r="F74" s="52"/>
      <c r="G74" s="52"/>
      <c r="H74" s="52"/>
      <c r="I74" s="52"/>
      <c r="J74" s="52"/>
      <c r="K74" s="52"/>
      <c r="L74" s="53">
        <f ca="1">M73</f>
        <v>0</v>
      </c>
      <c r="M74" s="53">
        <f ca="1">ROUND(L74,2)</f>
        <v>0</v>
      </c>
      <c r="N74" s="11"/>
    </row>
    <row r="75" spans="1:14" ht="15.30" thickBot="1" customHeight="1">
      <c r="A75" s="54" t="s">
        <v>197</v>
      </c>
      <c r="B75" s="54" t="s">
        <v>198</v>
      </c>
      <c r="C75" s="55"/>
      <c r="D75" s="56" t="s">
        <v>199</v>
      </c>
      <c r="E75" s="56"/>
      <c r="F75" s="56"/>
      <c r="G75" s="56"/>
      <c r="H75" s="56"/>
      <c r="I75" s="56"/>
      <c r="J75" s="56"/>
      <c r="K75" s="55"/>
      <c r="L75" s="57">
        <f ca="1">L270</f>
        <v>0</v>
      </c>
      <c r="M75" s="57">
        <f ca="1">ROUND(L75,2)</f>
        <v>0</v>
      </c>
      <c r="N75" s="11"/>
    </row>
    <row r="76" spans="1:14" ht="15.30" thickBot="1" customHeight="1">
      <c r="A76" s="28" t="s">
        <v>200</v>
      </c>
      <c r="B76" s="28" t="s">
        <v>201</v>
      </c>
      <c r="C76" s="29"/>
      <c r="D76" s="30" t="s">
        <v>202</v>
      </c>
      <c r="E76" s="30"/>
      <c r="F76" s="30"/>
      <c r="G76" s="30"/>
      <c r="H76" s="30"/>
      <c r="I76" s="30"/>
      <c r="J76" s="30"/>
      <c r="K76" s="29"/>
      <c r="L76" s="31">
        <f ca="1">L218</f>
        <v>0</v>
      </c>
      <c r="M76" s="31">
        <f ca="1">ROUND(L76,2)</f>
        <v>0</v>
      </c>
      <c r="N76" s="11"/>
    </row>
    <row r="77" spans="1:14" ht="15.30" thickBot="1" customHeight="1">
      <c r="A77" s="32" t="s">
        <v>203</v>
      </c>
      <c r="B77" s="32" t="s">
        <v>204</v>
      </c>
      <c r="C77" s="33"/>
      <c r="D77" s="34" t="s">
        <v>205</v>
      </c>
      <c r="E77" s="34"/>
      <c r="F77" s="34"/>
      <c r="G77" s="34"/>
      <c r="H77" s="34"/>
      <c r="I77" s="34"/>
      <c r="J77" s="34"/>
      <c r="K77" s="33"/>
      <c r="L77" s="35">
        <f ca="1">L217</f>
        <v>0</v>
      </c>
      <c r="M77" s="35">
        <f ca="1">ROUND(L77,2)</f>
        <v>0</v>
      </c>
      <c r="N77" s="11"/>
    </row>
    <row r="78" spans="1:14" ht="30.42" thickBot="1" customHeight="1">
      <c r="A78" s="17" t="s">
        <v>206</v>
      </c>
      <c r="B78" s="9" t="s">
        <v>207</v>
      </c>
      <c r="C78" s="9" t="s">
        <v>208</v>
      </c>
      <c r="D78" s="36" t="s">
        <v>209</v>
      </c>
      <c r="E78" s="36"/>
      <c r="F78" s="36"/>
      <c r="G78" s="36"/>
      <c r="H78" s="36"/>
      <c r="I78" s="36"/>
      <c r="J78" s="36"/>
      <c r="K78" s="37">
        <f ca="1">ROUND(1.00,2)</f>
        <v>0</v>
      </c>
      <c r="L78" s="38">
        <f ca="1">L83</f>
        <v>0</v>
      </c>
      <c r="M78" s="38">
        <f ca="1">ROUND(K78*L78,2)</f>
        <v>0</v>
      </c>
      <c r="N78" s="11"/>
    </row>
    <row r="79" spans="1:14" ht="195.66" thickBot="1" customHeight="1">
      <c r="A79" s="11"/>
      <c r="B79" s="11"/>
      <c r="C79" s="11"/>
      <c r="D79" s="36" t="s">
        <v>210</v>
      </c>
      <c r="E79" s="36"/>
      <c r="F79" s="36"/>
      <c r="G79" s="36"/>
      <c r="H79" s="36"/>
      <c r="I79" s="36"/>
      <c r="J79" s="36"/>
      <c r="K79" s="36"/>
      <c r="L79" s="36"/>
      <c r="M79" s="36"/>
      <c r="N79" s="11"/>
    </row>
    <row r="80" spans="1:14" ht="30.42" thickBot="1" customHeight="1">
      <c r="A80" s="9" t="s">
        <v>211</v>
      </c>
      <c r="B80" s="9" t="s">
        <v>212</v>
      </c>
      <c r="C80" s="9" t="s">
        <v>213</v>
      </c>
      <c r="D80" s="36" t="s">
        <v>214</v>
      </c>
      <c r="E80" s="36"/>
      <c r="F80" s="36"/>
      <c r="G80" s="36"/>
      <c r="H80" s="36"/>
      <c r="I80" s="36"/>
      <c r="J80" s="36"/>
      <c r="K80" s="37">
        <v>1.000</v>
      </c>
      <c r="L80" s="37">
        <f ca="1">ROUND(101250.000,3)</f>
        <v>0</v>
      </c>
      <c r="M80" s="38">
        <f ca="1">ROUND(K80*L80,2)</f>
        <v>0</v>
      </c>
      <c r="N80" s="11"/>
    </row>
    <row r="81" spans="1:14" ht="15.06" thickBot="1" customHeight="1">
      <c r="A81" s="9" t="s">
        <v>215</v>
      </c>
      <c r="B81" s="9" t="s">
        <v>216</v>
      </c>
      <c r="C81" s="9" t="s">
        <v>217</v>
      </c>
      <c r="D81" s="36" t="s">
        <v>218</v>
      </c>
      <c r="E81" s="36"/>
      <c r="F81" s="36"/>
      <c r="G81" s="36"/>
      <c r="H81" s="36"/>
      <c r="I81" s="36"/>
      <c r="J81" s="36"/>
      <c r="K81" s="37">
        <v>15.000</v>
      </c>
      <c r="L81" s="37">
        <f ca="1">ROUND(30.630,3)</f>
        <v>0</v>
      </c>
      <c r="M81" s="38">
        <f ca="1">ROUND(K81*L81,2)</f>
        <v>0</v>
      </c>
      <c r="N81" s="11"/>
    </row>
    <row r="82" spans="1:14" ht="15.06" thickBot="1" customHeight="1">
      <c r="A82" s="9" t="s">
        <v>219</v>
      </c>
      <c r="B82" s="9" t="s">
        <v>220</v>
      </c>
      <c r="C82" s="9" t="s">
        <v>221</v>
      </c>
      <c r="D82" s="36" t="s">
        <v>222</v>
      </c>
      <c r="E82" s="36"/>
      <c r="F82" s="36"/>
      <c r="G82" s="36"/>
      <c r="H82" s="36"/>
      <c r="I82" s="36"/>
      <c r="J82" s="36"/>
      <c r="K82" s="37">
        <v>15.000</v>
      </c>
      <c r="L82" s="37">
        <f ca="1">ROUND(26.360,3)</f>
        <v>0</v>
      </c>
      <c r="M82" s="38">
        <f ca="1">ROUND(K82*L82,2)</f>
        <v>0</v>
      </c>
      <c r="N82" s="11"/>
    </row>
    <row r="83" spans="1:14" ht="15.30" thickBot="1" customHeight="1">
      <c r="A83" s="39"/>
      <c r="B83" s="39"/>
      <c r="C83" s="39"/>
      <c r="D83" s="40" t="s">
        <v>223</v>
      </c>
      <c r="E83" s="39"/>
      <c r="F83" s="39"/>
      <c r="G83" s="39"/>
      <c r="H83" s="39"/>
      <c r="I83" s="39"/>
      <c r="J83" s="39"/>
      <c r="K83" s="42">
        <v>1.000</v>
      </c>
      <c r="L83" s="43">
        <f ca="1">ROUND((M80+M81+M82)*(1+M2/100),2)</f>
        <v>0</v>
      </c>
      <c r="M83" s="43">
        <f ca="1">ROUND(K83*L83,2)</f>
        <v>0</v>
      </c>
      <c r="N83" s="11"/>
    </row>
    <row r="84" spans="1:14" ht="15.30" thickBot="1" customHeight="1">
      <c r="A84" s="58" t="s">
        <v>224</v>
      </c>
      <c r="B84" s="59" t="s">
        <v>225</v>
      </c>
      <c r="C84" s="59" t="s">
        <v>226</v>
      </c>
      <c r="D84" s="60" t="s">
        <v>227</v>
      </c>
      <c r="E84" s="60"/>
      <c r="F84" s="60"/>
      <c r="G84" s="60"/>
      <c r="H84" s="60"/>
      <c r="I84" s="60"/>
      <c r="J84" s="60"/>
      <c r="K84" s="61">
        <f ca="1">ROUND(4.00,2)</f>
        <v>0</v>
      </c>
      <c r="L84" s="62">
        <f ca="1">L91</f>
        <v>0</v>
      </c>
      <c r="M84" s="62">
        <f ca="1">ROUND(K84*L84,2)</f>
        <v>0</v>
      </c>
      <c r="N84" s="11"/>
    </row>
    <row r="85" spans="1:14" ht="48.78" thickBot="1" customHeight="1">
      <c r="A85" s="11"/>
      <c r="B85" s="11"/>
      <c r="C85" s="11"/>
      <c r="D85" s="36" t="s">
        <v>228</v>
      </c>
      <c r="E85" s="36"/>
      <c r="F85" s="36"/>
      <c r="G85" s="36"/>
      <c r="H85" s="36"/>
      <c r="I85" s="36"/>
      <c r="J85" s="36"/>
      <c r="K85" s="36"/>
      <c r="L85" s="36"/>
      <c r="M85" s="36"/>
      <c r="N85" s="11"/>
    </row>
    <row r="86" spans="1:14" ht="21.24" thickBot="1" customHeight="1">
      <c r="A86" s="9" t="s">
        <v>229</v>
      </c>
      <c r="B86" s="9" t="s">
        <v>230</v>
      </c>
      <c r="C86" s="9" t="s">
        <v>231</v>
      </c>
      <c r="D86" s="36" t="s">
        <v>232</v>
      </c>
      <c r="E86" s="36"/>
      <c r="F86" s="36"/>
      <c r="G86" s="36"/>
      <c r="H86" s="36"/>
      <c r="I86" s="36"/>
      <c r="J86" s="36"/>
      <c r="K86" s="37">
        <v>1.000</v>
      </c>
      <c r="L86" s="37">
        <f ca="1">ROUND(18.310,3)</f>
        <v>0</v>
      </c>
      <c r="M86" s="38">
        <f ca="1">ROUND(K86*L86,2)</f>
        <v>0</v>
      </c>
      <c r="N86" s="11"/>
    </row>
    <row r="87" spans="1:14" ht="15.06" thickBot="1" customHeight="1">
      <c r="A87" s="9" t="s">
        <v>233</v>
      </c>
      <c r="B87" s="9" t="s">
        <v>234</v>
      </c>
      <c r="C87" s="9" t="s">
        <v>235</v>
      </c>
      <c r="D87" s="36" t="s">
        <v>236</v>
      </c>
      <c r="E87" s="36"/>
      <c r="F87" s="36"/>
      <c r="G87" s="36"/>
      <c r="H87" s="36"/>
      <c r="I87" s="36"/>
      <c r="J87" s="36"/>
      <c r="K87" s="37">
        <v>0.050</v>
      </c>
      <c r="L87" s="37">
        <f ca="1">ROUND(2.090,3)</f>
        <v>0</v>
      </c>
      <c r="M87" s="38">
        <f ca="1">ROUND(K87*L87,2)</f>
        <v>0</v>
      </c>
      <c r="N87" s="11"/>
    </row>
    <row r="88" spans="1:14" ht="15.06" thickBot="1" customHeight="1">
      <c r="A88" s="9" t="s">
        <v>237</v>
      </c>
      <c r="B88" s="9" t="s">
        <v>238</v>
      </c>
      <c r="C88" s="9" t="s">
        <v>239</v>
      </c>
      <c r="D88" s="36" t="s">
        <v>240</v>
      </c>
      <c r="E88" s="36"/>
      <c r="F88" s="36"/>
      <c r="G88" s="36"/>
      <c r="H88" s="36"/>
      <c r="I88" s="36"/>
      <c r="J88" s="36"/>
      <c r="K88" s="37">
        <v>0.132</v>
      </c>
      <c r="L88" s="37">
        <f ca="1">ROUND(30.630,3)</f>
        <v>0</v>
      </c>
      <c r="M88" s="38">
        <f ca="1">ROUND(K88*L88,2)</f>
        <v>0</v>
      </c>
      <c r="N88" s="11"/>
    </row>
    <row r="89" spans="1:14" ht="15.06" thickBot="1" customHeight="1">
      <c r="A89" s="9" t="s">
        <v>241</v>
      </c>
      <c r="B89" s="9" t="s">
        <v>242</v>
      </c>
      <c r="C89" s="9" t="s">
        <v>243</v>
      </c>
      <c r="D89" s="36" t="s">
        <v>244</v>
      </c>
      <c r="E89" s="36"/>
      <c r="F89" s="36"/>
      <c r="G89" s="36"/>
      <c r="H89" s="36"/>
      <c r="I89" s="36"/>
      <c r="J89" s="36"/>
      <c r="K89" s="37">
        <v>0.132</v>
      </c>
      <c r="L89" s="37">
        <f ca="1">ROUND(26.360,3)</f>
        <v>0</v>
      </c>
      <c r="M89" s="38">
        <f ca="1">ROUND(K89*L89,2)</f>
        <v>0</v>
      </c>
      <c r="N89" s="11"/>
    </row>
    <row r="90" spans="1:14" ht="15.06" thickBot="1" customHeight="1">
      <c r="A90" s="9" t="s">
        <v>245</v>
      </c>
      <c r="B90" s="9"/>
      <c r="C90" s="9" t="s">
        <v>246</v>
      </c>
      <c r="D90" s="36" t="s">
        <v>247</v>
      </c>
      <c r="E90" s="36"/>
      <c r="F90" s="36"/>
      <c r="G90" s="36"/>
      <c r="H90" s="36"/>
      <c r="I90" s="36"/>
      <c r="J90" s="36"/>
      <c r="K90" s="37">
        <v>2.000</v>
      </c>
      <c r="L90" s="37">
        <f ca="1">ROUND(25.93,2)</f>
        <v>0</v>
      </c>
      <c r="M90" s="38">
        <f ca="1">ROUND((K90*L90)/100,2)</f>
        <v>0</v>
      </c>
      <c r="N90" s="11"/>
    </row>
    <row r="91" spans="1:14" ht="15.30" thickBot="1" customHeight="1">
      <c r="A91" s="39"/>
      <c r="B91" s="39"/>
      <c r="C91" s="39"/>
      <c r="D91" s="40" t="s">
        <v>248</v>
      </c>
      <c r="E91" s="39"/>
      <c r="F91" s="39"/>
      <c r="G91" s="39"/>
      <c r="H91" s="39"/>
      <c r="I91" s="39"/>
      <c r="J91" s="39"/>
      <c r="K91" s="42">
        <v>4.000</v>
      </c>
      <c r="L91" s="43">
        <f ca="1">ROUND((M86+M87+M88+M89+M90)*(1+M2/100),2)</f>
        <v>0</v>
      </c>
      <c r="M91" s="43">
        <f ca="1">ROUND(K91*L91,2)</f>
        <v>0</v>
      </c>
      <c r="N91" s="11"/>
    </row>
    <row r="92" spans="1:14" ht="15.30" thickBot="1" customHeight="1">
      <c r="A92" s="58" t="s">
        <v>249</v>
      </c>
      <c r="B92" s="59" t="s">
        <v>250</v>
      </c>
      <c r="C92" s="59" t="s">
        <v>251</v>
      </c>
      <c r="D92" s="60" t="s">
        <v>252</v>
      </c>
      <c r="E92" s="60"/>
      <c r="F92" s="60"/>
      <c r="G92" s="60"/>
      <c r="H92" s="60"/>
      <c r="I92" s="60"/>
      <c r="J92" s="60"/>
      <c r="K92" s="61">
        <f ca="1">ROUND(6.00,2)</f>
        <v>0</v>
      </c>
      <c r="L92" s="62">
        <f ca="1">L98</f>
        <v>0</v>
      </c>
      <c r="M92" s="62">
        <f ca="1">ROUND(K92*L92,2)</f>
        <v>0</v>
      </c>
      <c r="N92" s="11"/>
    </row>
    <row r="93" spans="1:14" ht="48.78" thickBot="1" customHeight="1">
      <c r="A93" s="11"/>
      <c r="B93" s="11"/>
      <c r="C93" s="11"/>
      <c r="D93" s="36" t="s">
        <v>253</v>
      </c>
      <c r="E93" s="36"/>
      <c r="F93" s="36"/>
      <c r="G93" s="36"/>
      <c r="H93" s="36"/>
      <c r="I93" s="36"/>
      <c r="J93" s="36"/>
      <c r="K93" s="36"/>
      <c r="L93" s="36"/>
      <c r="M93" s="36"/>
      <c r="N93" s="11"/>
    </row>
    <row r="94" spans="1:14" ht="24.24" thickBot="1" customHeight="1">
      <c r="A94" s="9" t="s">
        <v>254</v>
      </c>
      <c r="B94" s="9" t="s">
        <v>255</v>
      </c>
      <c r="C94" s="9" t="s">
        <v>256</v>
      </c>
      <c r="D94" s="36" t="s">
        <v>257</v>
      </c>
      <c r="E94" s="36"/>
      <c r="F94" s="36"/>
      <c r="G94" s="36"/>
      <c r="H94" s="36"/>
      <c r="I94" s="36"/>
      <c r="J94" s="36"/>
      <c r="K94" s="37">
        <v>1.000</v>
      </c>
      <c r="L94" s="37">
        <f ca="1">ROUND(42.230,3)</f>
        <v>0</v>
      </c>
      <c r="M94" s="38">
        <f ca="1">ROUND(K94*L94,2)</f>
        <v>0</v>
      </c>
      <c r="N94" s="11"/>
    </row>
    <row r="95" spans="1:14" ht="15.06" thickBot="1" customHeight="1">
      <c r="A95" s="9" t="s">
        <v>258</v>
      </c>
      <c r="B95" s="9" t="s">
        <v>259</v>
      </c>
      <c r="C95" s="9" t="s">
        <v>260</v>
      </c>
      <c r="D95" s="36" t="s">
        <v>261</v>
      </c>
      <c r="E95" s="36"/>
      <c r="F95" s="36"/>
      <c r="G95" s="36"/>
      <c r="H95" s="36"/>
      <c r="I95" s="36"/>
      <c r="J95" s="36"/>
      <c r="K95" s="37">
        <v>0.132</v>
      </c>
      <c r="L95" s="37">
        <f ca="1">ROUND(30.630,3)</f>
        <v>0</v>
      </c>
      <c r="M95" s="38">
        <f ca="1">ROUND(K95*L95,2)</f>
        <v>0</v>
      </c>
      <c r="N95" s="11"/>
    </row>
    <row r="96" spans="1:14" ht="15.06" thickBot="1" customHeight="1">
      <c r="A96" s="9" t="s">
        <v>262</v>
      </c>
      <c r="B96" s="9" t="s">
        <v>263</v>
      </c>
      <c r="C96" s="9" t="s">
        <v>264</v>
      </c>
      <c r="D96" s="36" t="s">
        <v>265</v>
      </c>
      <c r="E96" s="36"/>
      <c r="F96" s="36"/>
      <c r="G96" s="36"/>
      <c r="H96" s="36"/>
      <c r="I96" s="36"/>
      <c r="J96" s="36"/>
      <c r="K96" s="37">
        <v>0.132</v>
      </c>
      <c r="L96" s="37">
        <f ca="1">ROUND(26.360,3)</f>
        <v>0</v>
      </c>
      <c r="M96" s="38">
        <f ca="1">ROUND(K96*L96,2)</f>
        <v>0</v>
      </c>
      <c r="N96" s="11"/>
    </row>
    <row r="97" spans="1:14" ht="15.06" thickBot="1" customHeight="1">
      <c r="A97" s="9" t="s">
        <v>266</v>
      </c>
      <c r="B97" s="9"/>
      <c r="C97" s="9" t="s">
        <v>267</v>
      </c>
      <c r="D97" s="36" t="s">
        <v>268</v>
      </c>
      <c r="E97" s="36"/>
      <c r="F97" s="36"/>
      <c r="G97" s="36"/>
      <c r="H97" s="36"/>
      <c r="I97" s="36"/>
      <c r="J97" s="36"/>
      <c r="K97" s="37">
        <v>2.000</v>
      </c>
      <c r="L97" s="37">
        <f ca="1">ROUND(49.75,2)</f>
        <v>0</v>
      </c>
      <c r="M97" s="38">
        <f ca="1">ROUND((K97*L97)/100,2)</f>
        <v>0</v>
      </c>
      <c r="N97" s="11"/>
    </row>
    <row r="98" spans="1:14" ht="15.30" thickBot="1" customHeight="1">
      <c r="A98" s="39"/>
      <c r="B98" s="39"/>
      <c r="C98" s="39"/>
      <c r="D98" s="40" t="s">
        <v>269</v>
      </c>
      <c r="E98" s="39"/>
      <c r="F98" s="39"/>
      <c r="G98" s="39"/>
      <c r="H98" s="39"/>
      <c r="I98" s="39"/>
      <c r="J98" s="39"/>
      <c r="K98" s="42">
        <v>6.000</v>
      </c>
      <c r="L98" s="43">
        <f ca="1">ROUND((M94+M95+M96+M97)*(1+M2/100),2)</f>
        <v>0</v>
      </c>
      <c r="M98" s="43">
        <f ca="1">ROUND(K98*L98,2)</f>
        <v>0</v>
      </c>
      <c r="N98" s="11"/>
    </row>
    <row r="99" spans="1:14" ht="15.30" thickBot="1" customHeight="1">
      <c r="A99" s="58" t="s">
        <v>270</v>
      </c>
      <c r="B99" s="59" t="s">
        <v>271</v>
      </c>
      <c r="C99" s="59" t="s">
        <v>272</v>
      </c>
      <c r="D99" s="60" t="s">
        <v>273</v>
      </c>
      <c r="E99" s="60"/>
      <c r="F99" s="60"/>
      <c r="G99" s="60"/>
      <c r="H99" s="60"/>
      <c r="I99" s="60"/>
      <c r="J99" s="60"/>
      <c r="K99" s="61">
        <f ca="1">ROUND(4.00,2)</f>
        <v>0</v>
      </c>
      <c r="L99" s="62">
        <f ca="1">L106</f>
        <v>0</v>
      </c>
      <c r="M99" s="62">
        <f ca="1">ROUND(K99*L99,2)</f>
        <v>0</v>
      </c>
      <c r="N99" s="11"/>
    </row>
    <row r="100" spans="1:14" ht="39.60" thickBot="1" customHeight="1">
      <c r="A100" s="11"/>
      <c r="B100" s="11"/>
      <c r="C100" s="11"/>
      <c r="D100" s="36" t="s">
        <v>274</v>
      </c>
      <c r="E100" s="36"/>
      <c r="F100" s="36"/>
      <c r="G100" s="36"/>
      <c r="H100" s="36"/>
      <c r="I100" s="36"/>
      <c r="J100" s="36"/>
      <c r="K100" s="36"/>
      <c r="L100" s="36"/>
      <c r="M100" s="36"/>
      <c r="N100" s="11"/>
    </row>
    <row r="101" spans="1:14" ht="24.24" thickBot="1" customHeight="1">
      <c r="A101" s="9" t="s">
        <v>275</v>
      </c>
      <c r="B101" s="9" t="s">
        <v>276</v>
      </c>
      <c r="C101" s="9" t="s">
        <v>277</v>
      </c>
      <c r="D101" s="36" t="s">
        <v>278</v>
      </c>
      <c r="E101" s="36"/>
      <c r="F101" s="36"/>
      <c r="G101" s="36"/>
      <c r="H101" s="36"/>
      <c r="I101" s="36"/>
      <c r="J101" s="36"/>
      <c r="K101" s="37">
        <v>1.000</v>
      </c>
      <c r="L101" s="37">
        <f ca="1">ROUND(101.180,3)</f>
        <v>0</v>
      </c>
      <c r="M101" s="38">
        <f ca="1">ROUND(K101*L101,2)</f>
        <v>0</v>
      </c>
      <c r="N101" s="11"/>
    </row>
    <row r="102" spans="1:14" ht="15.06" thickBot="1" customHeight="1">
      <c r="A102" s="9" t="s">
        <v>279</v>
      </c>
      <c r="B102" s="9" t="s">
        <v>280</v>
      </c>
      <c r="C102" s="9" t="s">
        <v>281</v>
      </c>
      <c r="D102" s="36" t="s">
        <v>282</v>
      </c>
      <c r="E102" s="36"/>
      <c r="F102" s="36"/>
      <c r="G102" s="36"/>
      <c r="H102" s="36"/>
      <c r="I102" s="36"/>
      <c r="J102" s="36"/>
      <c r="K102" s="37">
        <v>0.100</v>
      </c>
      <c r="L102" s="37">
        <f ca="1">ROUND(2.090,3)</f>
        <v>0</v>
      </c>
      <c r="M102" s="38">
        <f ca="1">ROUND(K102*L102,2)</f>
        <v>0</v>
      </c>
      <c r="N102" s="11"/>
    </row>
    <row r="103" spans="1:14" ht="15.06" thickBot="1" customHeight="1">
      <c r="A103" s="9" t="s">
        <v>283</v>
      </c>
      <c r="B103" s="9" t="s">
        <v>284</v>
      </c>
      <c r="C103" s="9" t="s">
        <v>285</v>
      </c>
      <c r="D103" s="36" t="s">
        <v>286</v>
      </c>
      <c r="E103" s="36"/>
      <c r="F103" s="36"/>
      <c r="G103" s="36"/>
      <c r="H103" s="36"/>
      <c r="I103" s="36"/>
      <c r="J103" s="36"/>
      <c r="K103" s="37">
        <v>0.132</v>
      </c>
      <c r="L103" s="37">
        <f ca="1">ROUND(30.630,3)</f>
        <v>0</v>
      </c>
      <c r="M103" s="38">
        <f ca="1">ROUND(K103*L103,2)</f>
        <v>0</v>
      </c>
      <c r="N103" s="11"/>
    </row>
    <row r="104" spans="1:14" ht="15.06" thickBot="1" customHeight="1">
      <c r="A104" s="9" t="s">
        <v>287</v>
      </c>
      <c r="B104" s="9" t="s">
        <v>288</v>
      </c>
      <c r="C104" s="9" t="s">
        <v>289</v>
      </c>
      <c r="D104" s="36" t="s">
        <v>290</v>
      </c>
      <c r="E104" s="36"/>
      <c r="F104" s="36"/>
      <c r="G104" s="36"/>
      <c r="H104" s="36"/>
      <c r="I104" s="36"/>
      <c r="J104" s="36"/>
      <c r="K104" s="37">
        <v>0.132</v>
      </c>
      <c r="L104" s="37">
        <f ca="1">ROUND(26.360,3)</f>
        <v>0</v>
      </c>
      <c r="M104" s="38">
        <f ca="1">ROUND(K104*L104,2)</f>
        <v>0</v>
      </c>
      <c r="N104" s="11"/>
    </row>
    <row r="105" spans="1:14" ht="15.06" thickBot="1" customHeight="1">
      <c r="A105" s="9" t="s">
        <v>291</v>
      </c>
      <c r="B105" s="9"/>
      <c r="C105" s="9" t="s">
        <v>292</v>
      </c>
      <c r="D105" s="36" t="s">
        <v>293</v>
      </c>
      <c r="E105" s="36"/>
      <c r="F105" s="36"/>
      <c r="G105" s="36"/>
      <c r="H105" s="36"/>
      <c r="I105" s="36"/>
      <c r="J105" s="36"/>
      <c r="K105" s="37">
        <v>2.000</v>
      </c>
      <c r="L105" s="37">
        <f ca="1">ROUND(108.91,2)</f>
        <v>0</v>
      </c>
      <c r="M105" s="38">
        <f ca="1">ROUND((K105*L105)/100,2)</f>
        <v>0</v>
      </c>
      <c r="N105" s="11"/>
    </row>
    <row r="106" spans="1:14" ht="15.30" thickBot="1" customHeight="1">
      <c r="A106" s="39"/>
      <c r="B106" s="39"/>
      <c r="C106" s="39"/>
      <c r="D106" s="40" t="s">
        <v>294</v>
      </c>
      <c r="E106" s="39"/>
      <c r="F106" s="39"/>
      <c r="G106" s="39"/>
      <c r="H106" s="39"/>
      <c r="I106" s="39"/>
      <c r="J106" s="39"/>
      <c r="K106" s="42">
        <v>4.000</v>
      </c>
      <c r="L106" s="43">
        <f ca="1">ROUND((M101+M102+M103+M104+M105)*(1+M2/100),2)</f>
        <v>0</v>
      </c>
      <c r="M106" s="43">
        <f ca="1">ROUND(K106*L106,2)</f>
        <v>0</v>
      </c>
      <c r="N106" s="11"/>
    </row>
    <row r="107" spans="1:14" ht="15.30" thickBot="1" customHeight="1">
      <c r="A107" s="58" t="s">
        <v>295</v>
      </c>
      <c r="B107" s="59" t="s">
        <v>296</v>
      </c>
      <c r="C107" s="59" t="s">
        <v>297</v>
      </c>
      <c r="D107" s="60" t="s">
        <v>298</v>
      </c>
      <c r="E107" s="60"/>
      <c r="F107" s="60"/>
      <c r="G107" s="60"/>
      <c r="H107" s="60"/>
      <c r="I107" s="60"/>
      <c r="J107" s="60"/>
      <c r="K107" s="61">
        <f ca="1">ROUND(4.00,2)</f>
        <v>0</v>
      </c>
      <c r="L107" s="62">
        <f ca="1">L114</f>
        <v>0</v>
      </c>
      <c r="M107" s="62">
        <f ca="1">ROUND(K107*L107,2)</f>
        <v>0</v>
      </c>
      <c r="N107" s="11"/>
    </row>
    <row r="108" spans="1:14" ht="39.60" thickBot="1" customHeight="1">
      <c r="A108" s="11"/>
      <c r="B108" s="11"/>
      <c r="C108" s="11"/>
      <c r="D108" s="36" t="s">
        <v>299</v>
      </c>
      <c r="E108" s="36"/>
      <c r="F108" s="36"/>
      <c r="G108" s="36"/>
      <c r="H108" s="36"/>
      <c r="I108" s="36"/>
      <c r="J108" s="36"/>
      <c r="K108" s="36"/>
      <c r="L108" s="36"/>
      <c r="M108" s="36"/>
      <c r="N108" s="11"/>
    </row>
    <row r="109" spans="1:14" ht="15.06" thickBot="1" customHeight="1">
      <c r="A109" s="9" t="s">
        <v>300</v>
      </c>
      <c r="B109" s="9" t="s">
        <v>301</v>
      </c>
      <c r="C109" s="9" t="s">
        <v>302</v>
      </c>
      <c r="D109" s="36" t="s">
        <v>303</v>
      </c>
      <c r="E109" s="36"/>
      <c r="F109" s="36"/>
      <c r="G109" s="36"/>
      <c r="H109" s="36"/>
      <c r="I109" s="36"/>
      <c r="J109" s="36"/>
      <c r="K109" s="37">
        <v>1.000</v>
      </c>
      <c r="L109" s="37">
        <f ca="1">ROUND(27.550,3)</f>
        <v>0</v>
      </c>
      <c r="M109" s="38">
        <f ca="1">ROUND(K109*L109,2)</f>
        <v>0</v>
      </c>
      <c r="N109" s="11"/>
    </row>
    <row r="110" spans="1:14" ht="15.06" thickBot="1" customHeight="1">
      <c r="A110" s="9" t="s">
        <v>304</v>
      </c>
      <c r="B110" s="9" t="s">
        <v>305</v>
      </c>
      <c r="C110" s="9" t="s">
        <v>306</v>
      </c>
      <c r="D110" s="36" t="s">
        <v>307</v>
      </c>
      <c r="E110" s="36"/>
      <c r="F110" s="36"/>
      <c r="G110" s="36"/>
      <c r="H110" s="36"/>
      <c r="I110" s="36"/>
      <c r="J110" s="36"/>
      <c r="K110" s="37">
        <v>0.100</v>
      </c>
      <c r="L110" s="37">
        <f ca="1">ROUND(2.090,3)</f>
        <v>0</v>
      </c>
      <c r="M110" s="38">
        <f ca="1">ROUND(K110*L110,2)</f>
        <v>0</v>
      </c>
      <c r="N110" s="11"/>
    </row>
    <row r="111" spans="1:14" ht="15.06" thickBot="1" customHeight="1">
      <c r="A111" s="9" t="s">
        <v>308</v>
      </c>
      <c r="B111" s="9" t="s">
        <v>309</v>
      </c>
      <c r="C111" s="9" t="s">
        <v>310</v>
      </c>
      <c r="D111" s="36" t="s">
        <v>311</v>
      </c>
      <c r="E111" s="36"/>
      <c r="F111" s="36"/>
      <c r="G111" s="36"/>
      <c r="H111" s="36"/>
      <c r="I111" s="36"/>
      <c r="J111" s="36"/>
      <c r="K111" s="37">
        <v>0.132</v>
      </c>
      <c r="L111" s="37">
        <f ca="1">ROUND(30.630,3)</f>
        <v>0</v>
      </c>
      <c r="M111" s="38">
        <f ca="1">ROUND(K111*L111,2)</f>
        <v>0</v>
      </c>
      <c r="N111" s="11"/>
    </row>
    <row r="112" spans="1:14" ht="15.06" thickBot="1" customHeight="1">
      <c r="A112" s="9" t="s">
        <v>312</v>
      </c>
      <c r="B112" s="9" t="s">
        <v>313</v>
      </c>
      <c r="C112" s="9" t="s">
        <v>314</v>
      </c>
      <c r="D112" s="36" t="s">
        <v>315</v>
      </c>
      <c r="E112" s="36"/>
      <c r="F112" s="36"/>
      <c r="G112" s="36"/>
      <c r="H112" s="36"/>
      <c r="I112" s="36"/>
      <c r="J112" s="36"/>
      <c r="K112" s="37">
        <v>0.132</v>
      </c>
      <c r="L112" s="37">
        <f ca="1">ROUND(26.360,3)</f>
        <v>0</v>
      </c>
      <c r="M112" s="38">
        <f ca="1">ROUND(K112*L112,2)</f>
        <v>0</v>
      </c>
      <c r="N112" s="11"/>
    </row>
    <row r="113" spans="1:14" ht="15.06" thickBot="1" customHeight="1">
      <c r="A113" s="9" t="s">
        <v>316</v>
      </c>
      <c r="B113" s="9"/>
      <c r="C113" s="9" t="s">
        <v>317</v>
      </c>
      <c r="D113" s="36" t="s">
        <v>318</v>
      </c>
      <c r="E113" s="36"/>
      <c r="F113" s="36"/>
      <c r="G113" s="36"/>
      <c r="H113" s="36"/>
      <c r="I113" s="36"/>
      <c r="J113" s="36"/>
      <c r="K113" s="37">
        <v>2.000</v>
      </c>
      <c r="L113" s="37">
        <f ca="1">ROUND(35.28,2)</f>
        <v>0</v>
      </c>
      <c r="M113" s="38">
        <f ca="1">ROUND((K113*L113)/100,2)</f>
        <v>0</v>
      </c>
      <c r="N113" s="11"/>
    </row>
    <row r="114" spans="1:14" ht="15.30" thickBot="1" customHeight="1">
      <c r="A114" s="39"/>
      <c r="B114" s="39"/>
      <c r="C114" s="39"/>
      <c r="D114" s="40" t="s">
        <v>319</v>
      </c>
      <c r="E114" s="39"/>
      <c r="F114" s="39"/>
      <c r="G114" s="39"/>
      <c r="H114" s="39"/>
      <c r="I114" s="39"/>
      <c r="J114" s="39"/>
      <c r="K114" s="42">
        <v>4.000</v>
      </c>
      <c r="L114" s="43">
        <f ca="1">ROUND((M109+M110+M111+M112+M113)*(1+M2/100),2)</f>
        <v>0</v>
      </c>
      <c r="M114" s="43">
        <f ca="1">ROUND(K114*L114,2)</f>
        <v>0</v>
      </c>
      <c r="N114" s="11"/>
    </row>
    <row r="115" spans="1:14" ht="15.30" thickBot="1" customHeight="1">
      <c r="A115" s="58" t="s">
        <v>320</v>
      </c>
      <c r="B115" s="59" t="s">
        <v>321</v>
      </c>
      <c r="C115" s="59" t="s">
        <v>322</v>
      </c>
      <c r="D115" s="60" t="s">
        <v>323</v>
      </c>
      <c r="E115" s="60"/>
      <c r="F115" s="60"/>
      <c r="G115" s="60"/>
      <c r="H115" s="60"/>
      <c r="I115" s="60"/>
      <c r="J115" s="60"/>
      <c r="K115" s="61">
        <f ca="1">ROUND(2.00,2)</f>
        <v>0</v>
      </c>
      <c r="L115" s="62">
        <f ca="1">L125</f>
        <v>0</v>
      </c>
      <c r="M115" s="62">
        <f ca="1">ROUND(K115*L115,2)</f>
        <v>0</v>
      </c>
      <c r="N115" s="11"/>
    </row>
    <row r="116" spans="1:14" ht="57.96" thickBot="1" customHeight="1">
      <c r="A116" s="11"/>
      <c r="B116" s="11"/>
      <c r="C116" s="11"/>
      <c r="D116" s="36" t="s">
        <v>324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11"/>
    </row>
    <row r="117" spans="1:14" ht="21.24" thickBot="1" customHeight="1">
      <c r="A117" s="9" t="s">
        <v>325</v>
      </c>
      <c r="B117" s="9" t="s">
        <v>326</v>
      </c>
      <c r="C117" s="9" t="s">
        <v>327</v>
      </c>
      <c r="D117" s="36" t="s">
        <v>328</v>
      </c>
      <c r="E117" s="36"/>
      <c r="F117" s="36"/>
      <c r="G117" s="36"/>
      <c r="H117" s="36"/>
      <c r="I117" s="36"/>
      <c r="J117" s="36"/>
      <c r="K117" s="37">
        <v>1.000</v>
      </c>
      <c r="L117" s="37">
        <f ca="1">ROUND(159.260,3)</f>
        <v>0</v>
      </c>
      <c r="M117" s="38">
        <f ca="1">ROUND(K117*L117,2)</f>
        <v>0</v>
      </c>
      <c r="N117" s="11"/>
    </row>
    <row r="118" spans="1:14" ht="48.78" thickBot="1" customHeight="1">
      <c r="A118" s="9" t="s">
        <v>329</v>
      </c>
      <c r="B118" s="9" t="s">
        <v>330</v>
      </c>
      <c r="C118" s="9" t="s">
        <v>331</v>
      </c>
      <c r="D118" s="36" t="s">
        <v>332</v>
      </c>
      <c r="E118" s="36"/>
      <c r="F118" s="36"/>
      <c r="G118" s="36"/>
      <c r="H118" s="36"/>
      <c r="I118" s="36"/>
      <c r="J118" s="36"/>
      <c r="K118" s="37">
        <v>5.000</v>
      </c>
      <c r="L118" s="37">
        <f ca="1">ROUND(1.220,3)</f>
        <v>0</v>
      </c>
      <c r="M118" s="38">
        <f ca="1">ROUND(K118*L118,2)</f>
        <v>0</v>
      </c>
      <c r="N118" s="11"/>
    </row>
    <row r="119" spans="1:14" ht="39.60" thickBot="1" customHeight="1">
      <c r="A119" s="9" t="s">
        <v>333</v>
      </c>
      <c r="B119" s="9" t="s">
        <v>334</v>
      </c>
      <c r="C119" s="9" t="s">
        <v>335</v>
      </c>
      <c r="D119" s="36" t="s">
        <v>336</v>
      </c>
      <c r="E119" s="36"/>
      <c r="F119" s="36"/>
      <c r="G119" s="36"/>
      <c r="H119" s="36"/>
      <c r="I119" s="36"/>
      <c r="J119" s="36"/>
      <c r="K119" s="37">
        <v>10.000</v>
      </c>
      <c r="L119" s="37">
        <f ca="1">ROUND(0.410,3)</f>
        <v>0</v>
      </c>
      <c r="M119" s="38">
        <f ca="1">ROUND(K119*L119,2)</f>
        <v>0</v>
      </c>
      <c r="N119" s="11"/>
    </row>
    <row r="120" spans="1:14" ht="15.06" thickBot="1" customHeight="1">
      <c r="A120" s="9" t="s">
        <v>337</v>
      </c>
      <c r="B120" s="9" t="s">
        <v>338</v>
      </c>
      <c r="C120" s="9" t="s">
        <v>339</v>
      </c>
      <c r="D120" s="36" t="s">
        <v>340</v>
      </c>
      <c r="E120" s="36"/>
      <c r="F120" s="36"/>
      <c r="G120" s="36"/>
      <c r="H120" s="36"/>
      <c r="I120" s="36"/>
      <c r="J120" s="36"/>
      <c r="K120" s="37">
        <v>0.658</v>
      </c>
      <c r="L120" s="37">
        <f ca="1">ROUND(30.630,3)</f>
        <v>0</v>
      </c>
      <c r="M120" s="38">
        <f ca="1">ROUND(K120*L120,2)</f>
        <v>0</v>
      </c>
      <c r="N120" s="11"/>
    </row>
    <row r="121" spans="1:14" ht="15.06" thickBot="1" customHeight="1">
      <c r="A121" s="9" t="s">
        <v>341</v>
      </c>
      <c r="B121" s="9" t="s">
        <v>342</v>
      </c>
      <c r="C121" s="9" t="s">
        <v>343</v>
      </c>
      <c r="D121" s="36" t="s">
        <v>344</v>
      </c>
      <c r="E121" s="36"/>
      <c r="F121" s="36"/>
      <c r="G121" s="36"/>
      <c r="H121" s="36"/>
      <c r="I121" s="36"/>
      <c r="J121" s="36"/>
      <c r="K121" s="37">
        <v>0.658</v>
      </c>
      <c r="L121" s="37">
        <f ca="1">ROUND(26.360,3)</f>
        <v>0</v>
      </c>
      <c r="M121" s="38">
        <f ca="1">ROUND(K121*L121,2)</f>
        <v>0</v>
      </c>
      <c r="N121" s="11"/>
    </row>
    <row r="122" spans="1:14" ht="15.06" thickBot="1" customHeight="1">
      <c r="A122" s="9" t="s">
        <v>345</v>
      </c>
      <c r="B122" s="9" t="s">
        <v>346</v>
      </c>
      <c r="C122" s="9" t="s">
        <v>347</v>
      </c>
      <c r="D122" s="36" t="s">
        <v>348</v>
      </c>
      <c r="E122" s="36"/>
      <c r="F122" s="36"/>
      <c r="G122" s="36"/>
      <c r="H122" s="36"/>
      <c r="I122" s="36"/>
      <c r="J122" s="36"/>
      <c r="K122" s="37">
        <v>0.329</v>
      </c>
      <c r="L122" s="37">
        <f ca="1">ROUND(30.630,3)</f>
        <v>0</v>
      </c>
      <c r="M122" s="38">
        <f ca="1">ROUND(K122*L122,2)</f>
        <v>0</v>
      </c>
      <c r="N122" s="11"/>
    </row>
    <row r="123" spans="1:14" ht="15.06" thickBot="1" customHeight="1">
      <c r="A123" s="9" t="s">
        <v>349</v>
      </c>
      <c r="B123" s="9" t="s">
        <v>350</v>
      </c>
      <c r="C123" s="9" t="s">
        <v>351</v>
      </c>
      <c r="D123" s="36" t="s">
        <v>352</v>
      </c>
      <c r="E123" s="36"/>
      <c r="F123" s="36"/>
      <c r="G123" s="36"/>
      <c r="H123" s="36"/>
      <c r="I123" s="36"/>
      <c r="J123" s="36"/>
      <c r="K123" s="37">
        <v>0.329</v>
      </c>
      <c r="L123" s="37">
        <f ca="1">ROUND(26.360,3)</f>
        <v>0</v>
      </c>
      <c r="M123" s="38">
        <f ca="1">ROUND(K123*L123,2)</f>
        <v>0</v>
      </c>
      <c r="N123" s="11"/>
    </row>
    <row r="124" spans="1:14" ht="15.06" thickBot="1" customHeight="1">
      <c r="A124" s="9" t="s">
        <v>353</v>
      </c>
      <c r="B124" s="9"/>
      <c r="C124" s="9" t="s">
        <v>354</v>
      </c>
      <c r="D124" s="36" t="s">
        <v>355</v>
      </c>
      <c r="E124" s="36"/>
      <c r="F124" s="36"/>
      <c r="G124" s="36"/>
      <c r="H124" s="36"/>
      <c r="I124" s="36"/>
      <c r="J124" s="36"/>
      <c r="K124" s="37">
        <v>2.000</v>
      </c>
      <c r="L124" s="37">
        <f ca="1">ROUND(225.70,2)</f>
        <v>0</v>
      </c>
      <c r="M124" s="38">
        <f ca="1">ROUND((K124*L124)/100,2)</f>
        <v>0</v>
      </c>
      <c r="N124" s="11"/>
    </row>
    <row r="125" spans="1:14" ht="15.30" thickBot="1" customHeight="1">
      <c r="A125" s="39"/>
      <c r="B125" s="39"/>
      <c r="C125" s="39"/>
      <c r="D125" s="40" t="s">
        <v>356</v>
      </c>
      <c r="E125" s="39"/>
      <c r="F125" s="39"/>
      <c r="G125" s="39"/>
      <c r="H125" s="39"/>
      <c r="I125" s="39"/>
      <c r="J125" s="39"/>
      <c r="K125" s="42">
        <v>2.000</v>
      </c>
      <c r="L125" s="43">
        <f ca="1">ROUND((M117+M118+M119+M120+M121+M122+M123+M124)*(1+M2/100),2)</f>
        <v>0</v>
      </c>
      <c r="M125" s="43">
        <f ca="1">ROUND(K125*L125,2)</f>
        <v>0</v>
      </c>
      <c r="N125" s="11"/>
    </row>
    <row r="126" spans="1:14" ht="15.30" thickBot="1" customHeight="1">
      <c r="A126" s="58" t="s">
        <v>357</v>
      </c>
      <c r="B126" s="59" t="s">
        <v>358</v>
      </c>
      <c r="C126" s="59" t="s">
        <v>359</v>
      </c>
      <c r="D126" s="60" t="s">
        <v>360</v>
      </c>
      <c r="E126" s="60"/>
      <c r="F126" s="60"/>
      <c r="G126" s="60"/>
      <c r="H126" s="60"/>
      <c r="I126" s="60"/>
      <c r="J126" s="60"/>
      <c r="K126" s="61">
        <f ca="1">ROUND(2.00,2)</f>
        <v>0</v>
      </c>
      <c r="L126" s="62">
        <f ca="1">L132</f>
        <v>0</v>
      </c>
      <c r="M126" s="62">
        <f ca="1">ROUND(K126*L126,2)</f>
        <v>0</v>
      </c>
      <c r="N126" s="11"/>
    </row>
    <row r="127" spans="1:14" ht="67.14" thickBot="1" customHeight="1">
      <c r="A127" s="11"/>
      <c r="B127" s="11"/>
      <c r="C127" s="11"/>
      <c r="D127" s="36" t="s">
        <v>361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11"/>
    </row>
    <row r="128" spans="1:14" ht="39.60" thickBot="1" customHeight="1">
      <c r="A128" s="9" t="s">
        <v>362</v>
      </c>
      <c r="B128" s="9" t="s">
        <v>363</v>
      </c>
      <c r="C128" s="9" t="s">
        <v>364</v>
      </c>
      <c r="D128" s="36" t="s">
        <v>365</v>
      </c>
      <c r="E128" s="36"/>
      <c r="F128" s="36"/>
      <c r="G128" s="36"/>
      <c r="H128" s="36"/>
      <c r="I128" s="36"/>
      <c r="J128" s="36"/>
      <c r="K128" s="37">
        <v>1.000</v>
      </c>
      <c r="L128" s="37">
        <f ca="1">ROUND(3200.000,3)</f>
        <v>0</v>
      </c>
      <c r="M128" s="38">
        <f ca="1">ROUND(K128*L128,2)</f>
        <v>0</v>
      </c>
      <c r="N128" s="11"/>
    </row>
    <row r="129" spans="1:14" ht="15.06" thickBot="1" customHeight="1">
      <c r="A129" s="9" t="s">
        <v>366</v>
      </c>
      <c r="B129" s="9" t="s">
        <v>367</v>
      </c>
      <c r="C129" s="9" t="s">
        <v>368</v>
      </c>
      <c r="D129" s="36" t="s">
        <v>369</v>
      </c>
      <c r="E129" s="36"/>
      <c r="F129" s="36"/>
      <c r="G129" s="36"/>
      <c r="H129" s="36"/>
      <c r="I129" s="36"/>
      <c r="J129" s="36"/>
      <c r="K129" s="37">
        <v>1.000</v>
      </c>
      <c r="L129" s="37">
        <f ca="1">ROUND(2.090,3)</f>
        <v>0</v>
      </c>
      <c r="M129" s="38">
        <f ca="1">ROUND(K129*L129,2)</f>
        <v>0</v>
      </c>
      <c r="N129" s="11"/>
    </row>
    <row r="130" spans="1:14" ht="15.06" thickBot="1" customHeight="1">
      <c r="A130" s="9" t="s">
        <v>370</v>
      </c>
      <c r="B130" s="9" t="s">
        <v>371</v>
      </c>
      <c r="C130" s="9" t="s">
        <v>372</v>
      </c>
      <c r="D130" s="36" t="s">
        <v>373</v>
      </c>
      <c r="E130" s="36"/>
      <c r="F130" s="36"/>
      <c r="G130" s="36"/>
      <c r="H130" s="36"/>
      <c r="I130" s="36"/>
      <c r="J130" s="36"/>
      <c r="K130" s="37">
        <v>1.000</v>
      </c>
      <c r="L130" s="37">
        <f ca="1">ROUND(30.630,3)</f>
        <v>0</v>
      </c>
      <c r="M130" s="38">
        <f ca="1">ROUND(K130*L130,2)</f>
        <v>0</v>
      </c>
      <c r="N130" s="11"/>
    </row>
    <row r="131" spans="1:14" ht="15.06" thickBot="1" customHeight="1">
      <c r="A131" s="9" t="s">
        <v>374</v>
      </c>
      <c r="B131" s="9"/>
      <c r="C131" s="9" t="s">
        <v>375</v>
      </c>
      <c r="D131" s="36" t="s">
        <v>376</v>
      </c>
      <c r="E131" s="36"/>
      <c r="F131" s="36"/>
      <c r="G131" s="36"/>
      <c r="H131" s="36"/>
      <c r="I131" s="36"/>
      <c r="J131" s="36"/>
      <c r="K131" s="37">
        <v>2.000</v>
      </c>
      <c r="L131" s="37">
        <f ca="1">ROUND(3232.72,2)</f>
        <v>0</v>
      </c>
      <c r="M131" s="38">
        <f ca="1">ROUND((K131*L131)/100,2)</f>
        <v>0</v>
      </c>
      <c r="N131" s="11"/>
    </row>
    <row r="132" spans="1:14" ht="15.30" thickBot="1" customHeight="1">
      <c r="A132" s="39"/>
      <c r="B132" s="39"/>
      <c r="C132" s="39"/>
      <c r="D132" s="40" t="s">
        <v>377</v>
      </c>
      <c r="E132" s="39"/>
      <c r="F132" s="39"/>
      <c r="G132" s="39"/>
      <c r="H132" s="39"/>
      <c r="I132" s="39"/>
      <c r="J132" s="39"/>
      <c r="K132" s="42">
        <v>2.000</v>
      </c>
      <c r="L132" s="43">
        <f ca="1">ROUND((M128+M129+M130+M131)*(1+M2/100),2)</f>
        <v>0</v>
      </c>
      <c r="M132" s="43">
        <f ca="1">ROUND(K132*L132,2)</f>
        <v>0</v>
      </c>
      <c r="N132" s="11"/>
    </row>
    <row r="133" spans="1:14" ht="15.30" thickBot="1" customHeight="1">
      <c r="A133" s="58" t="s">
        <v>378</v>
      </c>
      <c r="B133" s="59" t="s">
        <v>379</v>
      </c>
      <c r="C133" s="59" t="s">
        <v>380</v>
      </c>
      <c r="D133" s="60" t="s">
        <v>381</v>
      </c>
      <c r="E133" s="60"/>
      <c r="F133" s="60"/>
      <c r="G133" s="60"/>
      <c r="H133" s="60"/>
      <c r="I133" s="60"/>
      <c r="J133" s="60"/>
      <c r="K133" s="61">
        <f ca="1">ROUND(30.00,2)</f>
        <v>0</v>
      </c>
      <c r="L133" s="62">
        <f ca="1">L142</f>
        <v>0</v>
      </c>
      <c r="M133" s="62">
        <f ca="1">ROUND(K133*L133,2)</f>
        <v>0</v>
      </c>
      <c r="N133" s="11"/>
    </row>
    <row r="134" spans="1:14" ht="103.86" thickBot="1" customHeight="1">
      <c r="A134" s="11"/>
      <c r="B134" s="11"/>
      <c r="C134" s="11"/>
      <c r="D134" s="36" t="s">
        <v>382</v>
      </c>
      <c r="E134" s="36"/>
      <c r="F134" s="36"/>
      <c r="G134" s="36"/>
      <c r="H134" s="36"/>
      <c r="I134" s="36"/>
      <c r="J134" s="36"/>
      <c r="K134" s="36"/>
      <c r="L134" s="36"/>
      <c r="M134" s="36"/>
      <c r="N134" s="11"/>
    </row>
    <row r="135" spans="1:14" ht="24.24" thickBot="1" customHeight="1">
      <c r="A135" s="9" t="s">
        <v>383</v>
      </c>
      <c r="B135" s="9" t="s">
        <v>384</v>
      </c>
      <c r="C135" s="9" t="s">
        <v>385</v>
      </c>
      <c r="D135" s="36" t="s">
        <v>386</v>
      </c>
      <c r="E135" s="36"/>
      <c r="F135" s="36"/>
      <c r="G135" s="36"/>
      <c r="H135" s="36"/>
      <c r="I135" s="36"/>
      <c r="J135" s="36"/>
      <c r="K135" s="37">
        <v>1.000</v>
      </c>
      <c r="L135" s="37">
        <f ca="1">ROUND(1.500,3)</f>
        <v>0</v>
      </c>
      <c r="M135" s="38">
        <f ca="1">ROUND(K135*L135,2)</f>
        <v>0</v>
      </c>
      <c r="N135" s="11"/>
    </row>
    <row r="136" spans="1:14" ht="30.42" thickBot="1" customHeight="1">
      <c r="A136" s="9" t="s">
        <v>387</v>
      </c>
      <c r="B136" s="9" t="s">
        <v>388</v>
      </c>
      <c r="C136" s="9" t="s">
        <v>389</v>
      </c>
      <c r="D136" s="36" t="s">
        <v>390</v>
      </c>
      <c r="E136" s="36"/>
      <c r="F136" s="36"/>
      <c r="G136" s="36"/>
      <c r="H136" s="36"/>
      <c r="I136" s="36"/>
      <c r="J136" s="36"/>
      <c r="K136" s="37">
        <v>1.050</v>
      </c>
      <c r="L136" s="37">
        <f ca="1">ROUND(10.010,3)</f>
        <v>0</v>
      </c>
      <c r="M136" s="38">
        <f ca="1">ROUND(K136*L136,2)</f>
        <v>0</v>
      </c>
      <c r="N136" s="11"/>
    </row>
    <row r="137" spans="1:14" ht="39.60" thickBot="1" customHeight="1">
      <c r="A137" s="9" t="s">
        <v>391</v>
      </c>
      <c r="B137" s="9" t="s">
        <v>392</v>
      </c>
      <c r="C137" s="9" t="s">
        <v>393</v>
      </c>
      <c r="D137" s="36" t="s">
        <v>394</v>
      </c>
      <c r="E137" s="36"/>
      <c r="F137" s="36"/>
      <c r="G137" s="36"/>
      <c r="H137" s="36"/>
      <c r="I137" s="36"/>
      <c r="J137" s="36"/>
      <c r="K137" s="37">
        <v>1.100</v>
      </c>
      <c r="L137" s="37">
        <f ca="1">ROUND(5.770,3)</f>
        <v>0</v>
      </c>
      <c r="M137" s="38">
        <f ca="1">ROUND(K137*L137,2)</f>
        <v>0</v>
      </c>
      <c r="N137" s="11"/>
    </row>
    <row r="138" spans="1:14" ht="21.24" thickBot="1" customHeight="1">
      <c r="A138" s="9" t="s">
        <v>395</v>
      </c>
      <c r="B138" s="9" t="s">
        <v>396</v>
      </c>
      <c r="C138" s="9" t="s">
        <v>397</v>
      </c>
      <c r="D138" s="36" t="s">
        <v>398</v>
      </c>
      <c r="E138" s="36"/>
      <c r="F138" s="36"/>
      <c r="G138" s="36"/>
      <c r="H138" s="36"/>
      <c r="I138" s="36"/>
      <c r="J138" s="36"/>
      <c r="K138" s="37">
        <v>1.500</v>
      </c>
      <c r="L138" s="37">
        <f ca="1">ROUND(0.190,3)</f>
        <v>0</v>
      </c>
      <c r="M138" s="38">
        <f ca="1">ROUND(K138*L138,2)</f>
        <v>0</v>
      </c>
      <c r="N138" s="11"/>
    </row>
    <row r="139" spans="1:14" ht="15.06" thickBot="1" customHeight="1">
      <c r="A139" s="9" t="s">
        <v>399</v>
      </c>
      <c r="B139" s="9" t="s">
        <v>400</v>
      </c>
      <c r="C139" s="9" t="s">
        <v>401</v>
      </c>
      <c r="D139" s="36" t="s">
        <v>402</v>
      </c>
      <c r="E139" s="36"/>
      <c r="F139" s="36"/>
      <c r="G139" s="36"/>
      <c r="H139" s="36"/>
      <c r="I139" s="36"/>
      <c r="J139" s="36"/>
      <c r="K139" s="37">
        <v>0.800</v>
      </c>
      <c r="L139" s="37">
        <f ca="1">ROUND(30.630,3)</f>
        <v>0</v>
      </c>
      <c r="M139" s="38">
        <f ca="1">ROUND(K139*L139,2)</f>
        <v>0</v>
      </c>
      <c r="N139" s="11"/>
    </row>
    <row r="140" spans="1:14" ht="15.06" thickBot="1" customHeight="1">
      <c r="A140" s="9" t="s">
        <v>403</v>
      </c>
      <c r="B140" s="9" t="s">
        <v>404</v>
      </c>
      <c r="C140" s="9" t="s">
        <v>405</v>
      </c>
      <c r="D140" s="36" t="s">
        <v>406</v>
      </c>
      <c r="E140" s="36"/>
      <c r="F140" s="36"/>
      <c r="G140" s="36"/>
      <c r="H140" s="36"/>
      <c r="I140" s="36"/>
      <c r="J140" s="36"/>
      <c r="K140" s="37">
        <v>0.800</v>
      </c>
      <c r="L140" s="37">
        <f ca="1">ROUND(26.390,3)</f>
        <v>0</v>
      </c>
      <c r="M140" s="38">
        <f ca="1">ROUND(K140*L140,2)</f>
        <v>0</v>
      </c>
      <c r="N140" s="11"/>
    </row>
    <row r="141" spans="1:14" ht="15.06" thickBot="1" customHeight="1">
      <c r="A141" s="9" t="s">
        <v>407</v>
      </c>
      <c r="B141" s="9"/>
      <c r="C141" s="9" t="s">
        <v>408</v>
      </c>
      <c r="D141" s="36" t="s">
        <v>409</v>
      </c>
      <c r="E141" s="36"/>
      <c r="F141" s="36"/>
      <c r="G141" s="36"/>
      <c r="H141" s="36"/>
      <c r="I141" s="36"/>
      <c r="J141" s="36"/>
      <c r="K141" s="37">
        <v>2.000</v>
      </c>
      <c r="L141" s="37">
        <f ca="1">ROUND(64.26,2)</f>
        <v>0</v>
      </c>
      <c r="M141" s="38">
        <f ca="1">ROUND((K141*L141)/100,2)</f>
        <v>0</v>
      </c>
      <c r="N141" s="11"/>
    </row>
    <row r="142" spans="1:14" ht="15.30" thickBot="1" customHeight="1">
      <c r="A142" s="39"/>
      <c r="B142" s="39"/>
      <c r="C142" s="39"/>
      <c r="D142" s="40" t="s">
        <v>410</v>
      </c>
      <c r="E142" s="39"/>
      <c r="F142" s="39"/>
      <c r="G142" s="39"/>
      <c r="H142" s="39"/>
      <c r="I142" s="39"/>
      <c r="J142" s="39"/>
      <c r="K142" s="42">
        <v>30.000</v>
      </c>
      <c r="L142" s="43">
        <f ca="1">ROUND((M135+M136+M137+M138+M139+M140+M141)*(1+M2/100),2)</f>
        <v>0</v>
      </c>
      <c r="M142" s="43">
        <f ca="1">ROUND(K142*L142,2)</f>
        <v>0</v>
      </c>
      <c r="N142" s="11"/>
    </row>
    <row r="143" spans="1:14" ht="15.30" thickBot="1" customHeight="1">
      <c r="A143" s="58" t="s">
        <v>411</v>
      </c>
      <c r="B143" s="59" t="s">
        <v>412</v>
      </c>
      <c r="C143" s="59" t="s">
        <v>413</v>
      </c>
      <c r="D143" s="60" t="s">
        <v>414</v>
      </c>
      <c r="E143" s="60"/>
      <c r="F143" s="60"/>
      <c r="G143" s="60"/>
      <c r="H143" s="60"/>
      <c r="I143" s="60"/>
      <c r="J143" s="60"/>
      <c r="K143" s="61">
        <f ca="1">ROUND(300.00,2)</f>
        <v>0</v>
      </c>
      <c r="L143" s="62">
        <f ca="1">L149</f>
        <v>0</v>
      </c>
      <c r="M143" s="62">
        <f ca="1">ROUND(K143*L143,2)</f>
        <v>0</v>
      </c>
      <c r="N143" s="11"/>
    </row>
    <row r="144" spans="1:14" ht="39.60" thickBot="1" customHeight="1">
      <c r="A144" s="11"/>
      <c r="B144" s="11"/>
      <c r="C144" s="11"/>
      <c r="D144" s="36" t="s">
        <v>415</v>
      </c>
      <c r="E144" s="36"/>
      <c r="F144" s="36"/>
      <c r="G144" s="36"/>
      <c r="H144" s="36"/>
      <c r="I144" s="36"/>
      <c r="J144" s="36"/>
      <c r="K144" s="36"/>
      <c r="L144" s="36"/>
      <c r="M144" s="36"/>
      <c r="N144" s="11"/>
    </row>
    <row r="145" spans="1:14" ht="15.06" thickBot="1" customHeight="1">
      <c r="A145" s="9" t="s">
        <v>416</v>
      </c>
      <c r="B145" s="9" t="s">
        <v>417</v>
      </c>
      <c r="C145" s="9" t="s">
        <v>418</v>
      </c>
      <c r="D145" s="36" t="s">
        <v>419</v>
      </c>
      <c r="E145" s="36"/>
      <c r="F145" s="36"/>
      <c r="G145" s="36"/>
      <c r="H145" s="36"/>
      <c r="I145" s="36"/>
      <c r="J145" s="36"/>
      <c r="K145" s="37">
        <v>1.000</v>
      </c>
      <c r="L145" s="37">
        <f ca="1">ROUND(5.170,3)</f>
        <v>0</v>
      </c>
      <c r="M145" s="38">
        <f ca="1">ROUND(K145*L145,2)</f>
        <v>0</v>
      </c>
      <c r="N145" s="11"/>
    </row>
    <row r="146" spans="1:14" ht="15.06" thickBot="1" customHeight="1">
      <c r="A146" s="9" t="s">
        <v>420</v>
      </c>
      <c r="B146" s="9" t="s">
        <v>421</v>
      </c>
      <c r="C146" s="9" t="s">
        <v>422</v>
      </c>
      <c r="D146" s="36" t="s">
        <v>423</v>
      </c>
      <c r="E146" s="36"/>
      <c r="F146" s="36"/>
      <c r="G146" s="36"/>
      <c r="H146" s="36"/>
      <c r="I146" s="36"/>
      <c r="J146" s="36"/>
      <c r="K146" s="37">
        <v>0.062</v>
      </c>
      <c r="L146" s="37">
        <f ca="1">ROUND(30.630,3)</f>
        <v>0</v>
      </c>
      <c r="M146" s="38">
        <f ca="1">ROUND(K146*L146,2)</f>
        <v>0</v>
      </c>
      <c r="N146" s="11"/>
    </row>
    <row r="147" spans="1:14" ht="15.06" thickBot="1" customHeight="1">
      <c r="A147" s="9" t="s">
        <v>424</v>
      </c>
      <c r="B147" s="9" t="s">
        <v>425</v>
      </c>
      <c r="C147" s="9" t="s">
        <v>426</v>
      </c>
      <c r="D147" s="36" t="s">
        <v>427</v>
      </c>
      <c r="E147" s="36"/>
      <c r="F147" s="36"/>
      <c r="G147" s="36"/>
      <c r="H147" s="36"/>
      <c r="I147" s="36"/>
      <c r="J147" s="36"/>
      <c r="K147" s="37">
        <v>0.062</v>
      </c>
      <c r="L147" s="37">
        <f ca="1">ROUND(26.360,3)</f>
        <v>0</v>
      </c>
      <c r="M147" s="38">
        <f ca="1">ROUND(K147*L147,2)</f>
        <v>0</v>
      </c>
      <c r="N147" s="11"/>
    </row>
    <row r="148" spans="1:14" ht="15.06" thickBot="1" customHeight="1">
      <c r="A148" s="9" t="s">
        <v>428</v>
      </c>
      <c r="B148" s="9"/>
      <c r="C148" s="9" t="s">
        <v>429</v>
      </c>
      <c r="D148" s="36" t="s">
        <v>430</v>
      </c>
      <c r="E148" s="36"/>
      <c r="F148" s="36"/>
      <c r="G148" s="36"/>
      <c r="H148" s="36"/>
      <c r="I148" s="36"/>
      <c r="J148" s="36"/>
      <c r="K148" s="37">
        <v>2.000</v>
      </c>
      <c r="L148" s="37">
        <f ca="1">ROUND(8.70,2)</f>
        <v>0</v>
      </c>
      <c r="M148" s="38">
        <f ca="1">ROUND((K148*L148)/100,2)</f>
        <v>0</v>
      </c>
      <c r="N148" s="11"/>
    </row>
    <row r="149" spans="1:14" ht="15.30" thickBot="1" customHeight="1">
      <c r="A149" s="39"/>
      <c r="B149" s="39"/>
      <c r="C149" s="39"/>
      <c r="D149" s="40" t="s">
        <v>431</v>
      </c>
      <c r="E149" s="39"/>
      <c r="F149" s="39"/>
      <c r="G149" s="39"/>
      <c r="H149" s="39"/>
      <c r="I149" s="39"/>
      <c r="J149" s="39"/>
      <c r="K149" s="42">
        <v>300.000</v>
      </c>
      <c r="L149" s="43">
        <f ca="1">ROUND((M145+M146+M147+M148)*(1+M2/100),2)</f>
        <v>0</v>
      </c>
      <c r="M149" s="43">
        <f ca="1">ROUND(K149*L149,2)</f>
        <v>0</v>
      </c>
      <c r="N149" s="11"/>
    </row>
    <row r="150" spans="1:14" ht="15.30" thickBot="1" customHeight="1">
      <c r="A150" s="58" t="s">
        <v>432</v>
      </c>
      <c r="B150" s="59" t="s">
        <v>433</v>
      </c>
      <c r="C150" s="59" t="s">
        <v>434</v>
      </c>
      <c r="D150" s="60" t="s">
        <v>435</v>
      </c>
      <c r="E150" s="60"/>
      <c r="F150" s="60"/>
      <c r="G150" s="60"/>
      <c r="H150" s="60"/>
      <c r="I150" s="60"/>
      <c r="J150" s="60"/>
      <c r="K150" s="61">
        <f ca="1">ROUND(12.00,2)</f>
        <v>0</v>
      </c>
      <c r="L150" s="62">
        <f ca="1">L156</f>
        <v>0</v>
      </c>
      <c r="M150" s="62">
        <f ca="1">ROUND(K150*L150,2)</f>
        <v>0</v>
      </c>
      <c r="N150" s="11"/>
    </row>
    <row r="151" spans="1:14" ht="48.78" thickBot="1" customHeight="1">
      <c r="A151" s="11"/>
      <c r="B151" s="11"/>
      <c r="C151" s="11"/>
      <c r="D151" s="36" t="s">
        <v>436</v>
      </c>
      <c r="E151" s="36"/>
      <c r="F151" s="36"/>
      <c r="G151" s="36"/>
      <c r="H151" s="36"/>
      <c r="I151" s="36"/>
      <c r="J151" s="36"/>
      <c r="K151" s="36"/>
      <c r="L151" s="36"/>
      <c r="M151" s="36"/>
      <c r="N151" s="11"/>
    </row>
    <row r="152" spans="1:14" ht="24.24" thickBot="1" customHeight="1">
      <c r="A152" s="9" t="s">
        <v>437</v>
      </c>
      <c r="B152" s="9" t="s">
        <v>438</v>
      </c>
      <c r="C152" s="9" t="s">
        <v>439</v>
      </c>
      <c r="D152" s="36" t="s">
        <v>440</v>
      </c>
      <c r="E152" s="36"/>
      <c r="F152" s="36"/>
      <c r="G152" s="36"/>
      <c r="H152" s="36"/>
      <c r="I152" s="36"/>
      <c r="J152" s="36"/>
      <c r="K152" s="37">
        <v>1.000</v>
      </c>
      <c r="L152" s="37">
        <f ca="1">ROUND(24.770,3)</f>
        <v>0</v>
      </c>
      <c r="M152" s="38">
        <f ca="1">ROUND(K152*L152,2)</f>
        <v>0</v>
      </c>
      <c r="N152" s="11"/>
    </row>
    <row r="153" spans="1:14" ht="15.06" thickBot="1" customHeight="1">
      <c r="A153" s="9" t="s">
        <v>441</v>
      </c>
      <c r="B153" s="9" t="s">
        <v>442</v>
      </c>
      <c r="C153" s="9" t="s">
        <v>443</v>
      </c>
      <c r="D153" s="36" t="s">
        <v>444</v>
      </c>
      <c r="E153" s="36"/>
      <c r="F153" s="36"/>
      <c r="G153" s="36"/>
      <c r="H153" s="36"/>
      <c r="I153" s="36"/>
      <c r="J153" s="36"/>
      <c r="K153" s="37">
        <v>0.500</v>
      </c>
      <c r="L153" s="37">
        <f ca="1">ROUND(30.130,3)</f>
        <v>0</v>
      </c>
      <c r="M153" s="38">
        <f ca="1">ROUND(K153*L153,2)</f>
        <v>0</v>
      </c>
      <c r="N153" s="11"/>
    </row>
    <row r="154" spans="1:14" ht="15.06" thickBot="1" customHeight="1">
      <c r="A154" s="9" t="s">
        <v>445</v>
      </c>
      <c r="B154" s="9" t="s">
        <v>446</v>
      </c>
      <c r="C154" s="9" t="s">
        <v>447</v>
      </c>
      <c r="D154" s="36" t="s">
        <v>448</v>
      </c>
      <c r="E154" s="36"/>
      <c r="F154" s="36"/>
      <c r="G154" s="36"/>
      <c r="H154" s="36"/>
      <c r="I154" s="36"/>
      <c r="J154" s="36"/>
      <c r="K154" s="37">
        <v>0.500</v>
      </c>
      <c r="L154" s="37">
        <f ca="1">ROUND(26.480,3)</f>
        <v>0</v>
      </c>
      <c r="M154" s="38">
        <f ca="1">ROUND(K154*L154,2)</f>
        <v>0</v>
      </c>
      <c r="N154" s="11"/>
    </row>
    <row r="155" spans="1:14" ht="15.06" thickBot="1" customHeight="1">
      <c r="A155" s="9" t="s">
        <v>449</v>
      </c>
      <c r="B155" s="9"/>
      <c r="C155" s="9" t="s">
        <v>450</v>
      </c>
      <c r="D155" s="36" t="s">
        <v>451</v>
      </c>
      <c r="E155" s="36"/>
      <c r="F155" s="36"/>
      <c r="G155" s="36"/>
      <c r="H155" s="36"/>
      <c r="I155" s="36"/>
      <c r="J155" s="36"/>
      <c r="K155" s="37">
        <v>2.000</v>
      </c>
      <c r="L155" s="37">
        <f ca="1">ROUND(53.08,2)</f>
        <v>0</v>
      </c>
      <c r="M155" s="38">
        <f ca="1">ROUND((K155*L155)/100,2)</f>
        <v>0</v>
      </c>
      <c r="N155" s="11"/>
    </row>
    <row r="156" spans="1:14" ht="15.30" thickBot="1" customHeight="1">
      <c r="A156" s="39"/>
      <c r="B156" s="39"/>
      <c r="C156" s="39"/>
      <c r="D156" s="40" t="s">
        <v>452</v>
      </c>
      <c r="E156" s="39"/>
      <c r="F156" s="39"/>
      <c r="G156" s="39"/>
      <c r="H156" s="39"/>
      <c r="I156" s="39"/>
      <c r="J156" s="39"/>
      <c r="K156" s="42">
        <v>12.000</v>
      </c>
      <c r="L156" s="43">
        <f ca="1">ROUND((M152+M153+M154+M155)*(1+M2/100),2)</f>
        <v>0</v>
      </c>
      <c r="M156" s="43">
        <f ca="1">ROUND(K156*L156,2)</f>
        <v>0</v>
      </c>
      <c r="N156" s="11"/>
    </row>
    <row r="157" spans="1:14" ht="15.30" thickBot="1" customHeight="1">
      <c r="A157" s="58" t="s">
        <v>453</v>
      </c>
      <c r="B157" s="59" t="s">
        <v>454</v>
      </c>
      <c r="C157" s="59" t="s">
        <v>455</v>
      </c>
      <c r="D157" s="60" t="s">
        <v>456</v>
      </c>
      <c r="E157" s="60"/>
      <c r="F157" s="60"/>
      <c r="G157" s="60"/>
      <c r="H157" s="60"/>
      <c r="I157" s="60"/>
      <c r="J157" s="60"/>
      <c r="K157" s="61">
        <f ca="1">ROUND(1.00,2)</f>
        <v>0</v>
      </c>
      <c r="L157" s="62">
        <f ca="1">L166</f>
        <v>0</v>
      </c>
      <c r="M157" s="62">
        <f ca="1">ROUND(K157*L157,2)</f>
        <v>0</v>
      </c>
      <c r="N157" s="11"/>
    </row>
    <row r="158" spans="1:14" ht="48.78" thickBot="1" customHeight="1">
      <c r="A158" s="11"/>
      <c r="B158" s="11"/>
      <c r="C158" s="11"/>
      <c r="D158" s="36" t="s">
        <v>457</v>
      </c>
      <c r="E158" s="36"/>
      <c r="F158" s="36"/>
      <c r="G158" s="36"/>
      <c r="H158" s="36"/>
      <c r="I158" s="36"/>
      <c r="J158" s="36"/>
      <c r="K158" s="36"/>
      <c r="L158" s="36"/>
      <c r="M158" s="36"/>
      <c r="N158" s="11"/>
    </row>
    <row r="159" spans="1:14" ht="24.24" thickBot="1" customHeight="1">
      <c r="A159" s="9" t="s">
        <v>458</v>
      </c>
      <c r="B159" s="9" t="s">
        <v>459</v>
      </c>
      <c r="C159" s="9" t="s">
        <v>460</v>
      </c>
      <c r="D159" s="36" t="s">
        <v>461</v>
      </c>
      <c r="E159" s="36"/>
      <c r="F159" s="36"/>
      <c r="G159" s="36"/>
      <c r="H159" s="36"/>
      <c r="I159" s="36"/>
      <c r="J159" s="36"/>
      <c r="K159" s="37">
        <v>1.000</v>
      </c>
      <c r="L159" s="37">
        <f ca="1">ROUND(2100.000,3)</f>
        <v>0</v>
      </c>
      <c r="M159" s="38">
        <f ca="1">ROUND(K159*L159,2)</f>
        <v>0</v>
      </c>
      <c r="N159" s="11"/>
    </row>
    <row r="160" spans="1:14" ht="30.42" thickBot="1" customHeight="1">
      <c r="A160" s="9" t="s">
        <v>462</v>
      </c>
      <c r="B160" s="9" t="s">
        <v>463</v>
      </c>
      <c r="C160" s="9" t="s">
        <v>464</v>
      </c>
      <c r="D160" s="36" t="s">
        <v>465</v>
      </c>
      <c r="E160" s="36"/>
      <c r="F160" s="36"/>
      <c r="G160" s="36"/>
      <c r="H160" s="36"/>
      <c r="I160" s="36"/>
      <c r="J160" s="36"/>
      <c r="K160" s="37">
        <v>1.000</v>
      </c>
      <c r="L160" s="37">
        <f ca="1">ROUND(1200.000,3)</f>
        <v>0</v>
      </c>
      <c r="M160" s="38">
        <f ca="1">ROUND(K160*L160,2)</f>
        <v>0</v>
      </c>
      <c r="N160" s="11"/>
    </row>
    <row r="161" spans="1:14" ht="24.24" thickBot="1" customHeight="1">
      <c r="A161" s="9" t="s">
        <v>466</v>
      </c>
      <c r="B161" s="9" t="s">
        <v>467</v>
      </c>
      <c r="C161" s="9" t="s">
        <v>468</v>
      </c>
      <c r="D161" s="36" t="s">
        <v>469</v>
      </c>
      <c r="E161" s="36"/>
      <c r="F161" s="36"/>
      <c r="G161" s="36"/>
      <c r="H161" s="36"/>
      <c r="I161" s="36"/>
      <c r="J161" s="36"/>
      <c r="K161" s="37">
        <v>1.000</v>
      </c>
      <c r="L161" s="37">
        <f ca="1">ROUND(200.000,3)</f>
        <v>0</v>
      </c>
      <c r="M161" s="38">
        <f ca="1">ROUND(K161*L161,2)</f>
        <v>0</v>
      </c>
      <c r="N161" s="11"/>
    </row>
    <row r="162" spans="1:14" ht="15.06" thickBot="1" customHeight="1">
      <c r="A162" s="9" t="s">
        <v>470</v>
      </c>
      <c r="B162" s="9" t="s">
        <v>471</v>
      </c>
      <c r="C162" s="9" t="s">
        <v>472</v>
      </c>
      <c r="D162" s="36" t="s">
        <v>473</v>
      </c>
      <c r="E162" s="36"/>
      <c r="F162" s="36"/>
      <c r="G162" s="36"/>
      <c r="H162" s="36"/>
      <c r="I162" s="36"/>
      <c r="J162" s="36"/>
      <c r="K162" s="37">
        <v>180.000</v>
      </c>
      <c r="L162" s="37">
        <f ca="1">ROUND(45.120,3)</f>
        <v>0</v>
      </c>
      <c r="M162" s="38">
        <f ca="1">ROUND(K162*L162,2)</f>
        <v>0</v>
      </c>
      <c r="N162" s="11"/>
    </row>
    <row r="163" spans="1:14" ht="15.06" thickBot="1" customHeight="1">
      <c r="A163" s="9" t="s">
        <v>474</v>
      </c>
      <c r="B163" s="9" t="s">
        <v>475</v>
      </c>
      <c r="C163" s="9" t="s">
        <v>476</v>
      </c>
      <c r="D163" s="36" t="s">
        <v>477</v>
      </c>
      <c r="E163" s="36"/>
      <c r="F163" s="36"/>
      <c r="G163" s="36"/>
      <c r="H163" s="36"/>
      <c r="I163" s="36"/>
      <c r="J163" s="36"/>
      <c r="K163" s="37">
        <v>5.000</v>
      </c>
      <c r="L163" s="37">
        <f ca="1">ROUND(30.630,3)</f>
        <v>0</v>
      </c>
      <c r="M163" s="38">
        <f ca="1">ROUND(K163*L163,2)</f>
        <v>0</v>
      </c>
      <c r="N163" s="11"/>
    </row>
    <row r="164" spans="1:14" ht="15.06" thickBot="1" customHeight="1">
      <c r="A164" s="9" t="s">
        <v>478</v>
      </c>
      <c r="B164" s="9" t="s">
        <v>479</v>
      </c>
      <c r="C164" s="9" t="s">
        <v>480</v>
      </c>
      <c r="D164" s="36" t="s">
        <v>481</v>
      </c>
      <c r="E164" s="36"/>
      <c r="F164" s="36"/>
      <c r="G164" s="36"/>
      <c r="H164" s="36"/>
      <c r="I164" s="36"/>
      <c r="J164" s="36"/>
      <c r="K164" s="37">
        <v>5.000</v>
      </c>
      <c r="L164" s="37">
        <f ca="1">ROUND(26.360,3)</f>
        <v>0</v>
      </c>
      <c r="M164" s="38">
        <f ca="1">ROUND(K164*L164,2)</f>
        <v>0</v>
      </c>
      <c r="N164" s="11"/>
    </row>
    <row r="165" spans="1:14" ht="15.06" thickBot="1" customHeight="1">
      <c r="A165" s="9" t="s">
        <v>482</v>
      </c>
      <c r="B165" s="9"/>
      <c r="C165" s="9" t="s">
        <v>483</v>
      </c>
      <c r="D165" s="36" t="s">
        <v>484</v>
      </c>
      <c r="E165" s="36"/>
      <c r="F165" s="36"/>
      <c r="G165" s="36"/>
      <c r="H165" s="36"/>
      <c r="I165" s="36"/>
      <c r="J165" s="36"/>
      <c r="K165" s="37">
        <v>2.000</v>
      </c>
      <c r="L165" s="37">
        <f ca="1">ROUND(11906.55,2)</f>
        <v>0</v>
      </c>
      <c r="M165" s="38">
        <f ca="1">ROUND((K165*L165)/100,2)</f>
        <v>0</v>
      </c>
      <c r="N165" s="11"/>
    </row>
    <row r="166" spans="1:14" ht="15.30" thickBot="1" customHeight="1">
      <c r="A166" s="39"/>
      <c r="B166" s="39"/>
      <c r="C166" s="39"/>
      <c r="D166" s="40" t="s">
        <v>485</v>
      </c>
      <c r="E166" s="39"/>
      <c r="F166" s="39"/>
      <c r="G166" s="39"/>
      <c r="H166" s="39"/>
      <c r="I166" s="39"/>
      <c r="J166" s="39"/>
      <c r="K166" s="42">
        <v>1.000</v>
      </c>
      <c r="L166" s="43">
        <f ca="1">ROUND((M159+M160+M161+M162+M163+M164+M165)*(1+M2/100),2)</f>
        <v>0</v>
      </c>
      <c r="M166" s="43">
        <f ca="1">ROUND(K166*L166,2)</f>
        <v>0</v>
      </c>
      <c r="N166" s="11"/>
    </row>
    <row r="167" spans="1:14" ht="15.30" thickBot="1" customHeight="1">
      <c r="A167" s="58" t="s">
        <v>486</v>
      </c>
      <c r="B167" s="59" t="s">
        <v>487</v>
      </c>
      <c r="C167" s="59" t="s">
        <v>488</v>
      </c>
      <c r="D167" s="60" t="s">
        <v>489</v>
      </c>
      <c r="E167" s="60"/>
      <c r="F167" s="60"/>
      <c r="G167" s="60"/>
      <c r="H167" s="60"/>
      <c r="I167" s="60"/>
      <c r="J167" s="60"/>
      <c r="K167" s="61">
        <f ca="1">ROUND(1.00,2)</f>
        <v>0</v>
      </c>
      <c r="L167" s="62">
        <f ca="1">L175</f>
        <v>0</v>
      </c>
      <c r="M167" s="62">
        <f ca="1">ROUND(K167*L167,2)</f>
        <v>0</v>
      </c>
      <c r="N167" s="11"/>
    </row>
    <row r="168" spans="1:14" ht="48.78" thickBot="1" customHeight="1">
      <c r="A168" s="11"/>
      <c r="B168" s="11"/>
      <c r="C168" s="11"/>
      <c r="D168" s="36" t="s">
        <v>490</v>
      </c>
      <c r="E168" s="36"/>
      <c r="F168" s="36"/>
      <c r="G168" s="36"/>
      <c r="H168" s="36"/>
      <c r="I168" s="36"/>
      <c r="J168" s="36"/>
      <c r="K168" s="36"/>
      <c r="L168" s="36"/>
      <c r="M168" s="36"/>
      <c r="N168" s="11"/>
    </row>
    <row r="169" spans="1:14" ht="48.78" thickBot="1" customHeight="1">
      <c r="A169" s="9" t="s">
        <v>491</v>
      </c>
      <c r="B169" s="9" t="s">
        <v>492</v>
      </c>
      <c r="C169" s="9" t="s">
        <v>493</v>
      </c>
      <c r="D169" s="36" t="s">
        <v>494</v>
      </c>
      <c r="E169" s="36"/>
      <c r="F169" s="36"/>
      <c r="G169" s="36"/>
      <c r="H169" s="36"/>
      <c r="I169" s="36"/>
      <c r="J169" s="36"/>
      <c r="K169" s="37">
        <v>1.000</v>
      </c>
      <c r="L169" s="37">
        <f ca="1">ROUND(3650.000,3)</f>
        <v>0</v>
      </c>
      <c r="M169" s="38">
        <f ca="1">ROUND(K169*L169,2)</f>
        <v>0</v>
      </c>
      <c r="N169" s="11"/>
    </row>
    <row r="170" spans="1:14" ht="39.60" thickBot="1" customHeight="1">
      <c r="A170" s="9" t="s">
        <v>495</v>
      </c>
      <c r="B170" s="9" t="s">
        <v>496</v>
      </c>
      <c r="C170" s="9" t="s">
        <v>497</v>
      </c>
      <c r="D170" s="36" t="s">
        <v>498</v>
      </c>
      <c r="E170" s="36"/>
      <c r="F170" s="36"/>
      <c r="G170" s="36"/>
      <c r="H170" s="36"/>
      <c r="I170" s="36"/>
      <c r="J170" s="36"/>
      <c r="K170" s="37">
        <v>1.000</v>
      </c>
      <c r="L170" s="37">
        <f ca="1">ROUND(1800.000,3)</f>
        <v>0</v>
      </c>
      <c r="M170" s="38">
        <f ca="1">ROUND(K170*L170,2)</f>
        <v>0</v>
      </c>
      <c r="N170" s="11"/>
    </row>
    <row r="171" spans="1:14" ht="15.06" thickBot="1" customHeight="1">
      <c r="A171" s="9" t="s">
        <v>499</v>
      </c>
      <c r="B171" s="9" t="s">
        <v>500</v>
      </c>
      <c r="C171" s="9" t="s">
        <v>501</v>
      </c>
      <c r="D171" s="36" t="s">
        <v>502</v>
      </c>
      <c r="E171" s="36"/>
      <c r="F171" s="36"/>
      <c r="G171" s="36"/>
      <c r="H171" s="36"/>
      <c r="I171" s="36"/>
      <c r="J171" s="36"/>
      <c r="K171" s="37">
        <v>10.000</v>
      </c>
      <c r="L171" s="37">
        <f ca="1">ROUND(45.120,3)</f>
        <v>0</v>
      </c>
      <c r="M171" s="38">
        <f ca="1">ROUND(K171*L171,2)</f>
        <v>0</v>
      </c>
      <c r="N171" s="11"/>
    </row>
    <row r="172" spans="1:14" ht="15.06" thickBot="1" customHeight="1">
      <c r="A172" s="9" t="s">
        <v>503</v>
      </c>
      <c r="B172" s="9" t="s">
        <v>504</v>
      </c>
      <c r="C172" s="9" t="s">
        <v>505</v>
      </c>
      <c r="D172" s="36" t="s">
        <v>506</v>
      </c>
      <c r="E172" s="36"/>
      <c r="F172" s="36"/>
      <c r="G172" s="36"/>
      <c r="H172" s="36"/>
      <c r="I172" s="36"/>
      <c r="J172" s="36"/>
      <c r="K172" s="37">
        <v>5.000</v>
      </c>
      <c r="L172" s="37">
        <f ca="1">ROUND(30.630,3)</f>
        <v>0</v>
      </c>
      <c r="M172" s="38">
        <f ca="1">ROUND(K172*L172,2)</f>
        <v>0</v>
      </c>
      <c r="N172" s="11"/>
    </row>
    <row r="173" spans="1:14" ht="15.06" thickBot="1" customHeight="1">
      <c r="A173" s="9" t="s">
        <v>507</v>
      </c>
      <c r="B173" s="9" t="s">
        <v>508</v>
      </c>
      <c r="C173" s="9" t="s">
        <v>509</v>
      </c>
      <c r="D173" s="36" t="s">
        <v>510</v>
      </c>
      <c r="E173" s="36"/>
      <c r="F173" s="36"/>
      <c r="G173" s="36"/>
      <c r="H173" s="36"/>
      <c r="I173" s="36"/>
      <c r="J173" s="36"/>
      <c r="K173" s="37">
        <v>5.000</v>
      </c>
      <c r="L173" s="37">
        <f ca="1">ROUND(26.360,3)</f>
        <v>0</v>
      </c>
      <c r="M173" s="38">
        <f ca="1">ROUND(K173*L173,2)</f>
        <v>0</v>
      </c>
      <c r="N173" s="11"/>
    </row>
    <row r="174" spans="1:14" ht="15.06" thickBot="1" customHeight="1">
      <c r="A174" s="9" t="s">
        <v>511</v>
      </c>
      <c r="B174" s="9"/>
      <c r="C174" s="9" t="s">
        <v>512</v>
      </c>
      <c r="D174" s="36" t="s">
        <v>513</v>
      </c>
      <c r="E174" s="36"/>
      <c r="F174" s="36"/>
      <c r="G174" s="36"/>
      <c r="H174" s="36"/>
      <c r="I174" s="36"/>
      <c r="J174" s="36"/>
      <c r="K174" s="37">
        <v>2.000</v>
      </c>
      <c r="L174" s="37">
        <f ca="1">ROUND(6186.15,2)</f>
        <v>0</v>
      </c>
      <c r="M174" s="38">
        <f ca="1">ROUND((K174*L174)/100,2)</f>
        <v>0</v>
      </c>
      <c r="N174" s="11"/>
    </row>
    <row r="175" spans="1:14" ht="15.30" thickBot="1" customHeight="1">
      <c r="A175" s="39"/>
      <c r="B175" s="39"/>
      <c r="C175" s="39"/>
      <c r="D175" s="40" t="s">
        <v>514</v>
      </c>
      <c r="E175" s="39"/>
      <c r="F175" s="39"/>
      <c r="G175" s="39"/>
      <c r="H175" s="39"/>
      <c r="I175" s="39"/>
      <c r="J175" s="39"/>
      <c r="K175" s="42">
        <v>1.000</v>
      </c>
      <c r="L175" s="43">
        <f ca="1">ROUND((M169+M170+M171+M172+M173+M174)*(1+M2/100),2)</f>
        <v>0</v>
      </c>
      <c r="M175" s="43">
        <f ca="1">ROUND(K175*L175,2)</f>
        <v>0</v>
      </c>
      <c r="N175" s="11"/>
    </row>
    <row r="176" spans="1:14" ht="15.30" thickBot="1" customHeight="1">
      <c r="A176" s="58" t="s">
        <v>515</v>
      </c>
      <c r="B176" s="59" t="s">
        <v>516</v>
      </c>
      <c r="C176" s="59" t="s">
        <v>517</v>
      </c>
      <c r="D176" s="60" t="s">
        <v>518</v>
      </c>
      <c r="E176" s="60"/>
      <c r="F176" s="60"/>
      <c r="G176" s="60"/>
      <c r="H176" s="60"/>
      <c r="I176" s="60"/>
      <c r="J176" s="60"/>
      <c r="K176" s="61">
        <f ca="1">ROUND(1.00,2)</f>
        <v>0</v>
      </c>
      <c r="L176" s="62">
        <f ca="1">L181</f>
        <v>0</v>
      </c>
      <c r="M176" s="62">
        <f ca="1">ROUND(K176*L176,2)</f>
        <v>0</v>
      </c>
      <c r="N176" s="11"/>
    </row>
    <row r="177" spans="1:14" ht="48.78" thickBot="1" customHeight="1">
      <c r="A177" s="11"/>
      <c r="B177" s="11"/>
      <c r="C177" s="11"/>
      <c r="D177" s="36" t="s">
        <v>519</v>
      </c>
      <c r="E177" s="36"/>
      <c r="F177" s="36"/>
      <c r="G177" s="36"/>
      <c r="H177" s="36"/>
      <c r="I177" s="36"/>
      <c r="J177" s="36"/>
      <c r="K177" s="36"/>
      <c r="L177" s="36"/>
      <c r="M177" s="36"/>
      <c r="N177" s="11"/>
    </row>
    <row r="178" spans="1:14" ht="15.06" thickBot="1" customHeight="1">
      <c r="A178" s="9" t="s">
        <v>520</v>
      </c>
      <c r="B178" s="9" t="s">
        <v>521</v>
      </c>
      <c r="C178" s="9" t="s">
        <v>522</v>
      </c>
      <c r="D178" s="36" t="s">
        <v>523</v>
      </c>
      <c r="E178" s="36"/>
      <c r="F178" s="36"/>
      <c r="G178" s="36"/>
      <c r="H178" s="36"/>
      <c r="I178" s="36"/>
      <c r="J178" s="36"/>
      <c r="K178" s="37">
        <v>1.000</v>
      </c>
      <c r="L178" s="37">
        <f ca="1">ROUND(55.000,3)</f>
        <v>0</v>
      </c>
      <c r="M178" s="38">
        <f ca="1">ROUND(K178*L178,2)</f>
        <v>0</v>
      </c>
      <c r="N178" s="11"/>
    </row>
    <row r="179" spans="1:14" ht="15.06" thickBot="1" customHeight="1">
      <c r="A179" s="9" t="s">
        <v>524</v>
      </c>
      <c r="B179" s="9" t="s">
        <v>525</v>
      </c>
      <c r="C179" s="9" t="s">
        <v>526</v>
      </c>
      <c r="D179" s="36" t="s">
        <v>527</v>
      </c>
      <c r="E179" s="36"/>
      <c r="F179" s="36"/>
      <c r="G179" s="36"/>
      <c r="H179" s="36"/>
      <c r="I179" s="36"/>
      <c r="J179" s="36"/>
      <c r="K179" s="37">
        <v>0.650</v>
      </c>
      <c r="L179" s="37">
        <f ca="1">ROUND(30.630,3)</f>
        <v>0</v>
      </c>
      <c r="M179" s="38">
        <f ca="1">ROUND(K179*L179,2)</f>
        <v>0</v>
      </c>
      <c r="N179" s="11"/>
    </row>
    <row r="180" spans="1:14" ht="15.06" thickBot="1" customHeight="1">
      <c r="A180" s="9" t="s">
        <v>528</v>
      </c>
      <c r="B180" s="9"/>
      <c r="C180" s="9" t="s">
        <v>529</v>
      </c>
      <c r="D180" s="36" t="s">
        <v>530</v>
      </c>
      <c r="E180" s="36"/>
      <c r="F180" s="36"/>
      <c r="G180" s="36"/>
      <c r="H180" s="36"/>
      <c r="I180" s="36"/>
      <c r="J180" s="36"/>
      <c r="K180" s="37">
        <v>2.000</v>
      </c>
      <c r="L180" s="37">
        <f ca="1">ROUND(74.91,2)</f>
        <v>0</v>
      </c>
      <c r="M180" s="38">
        <f ca="1">ROUND((K180*L180)/100,2)</f>
        <v>0</v>
      </c>
      <c r="N180" s="11"/>
    </row>
    <row r="181" spans="1:14" ht="15.30" thickBot="1" customHeight="1">
      <c r="A181" s="39"/>
      <c r="B181" s="39"/>
      <c r="C181" s="39"/>
      <c r="D181" s="40" t="s">
        <v>531</v>
      </c>
      <c r="E181" s="39"/>
      <c r="F181" s="39"/>
      <c r="G181" s="39"/>
      <c r="H181" s="39"/>
      <c r="I181" s="39"/>
      <c r="J181" s="39"/>
      <c r="K181" s="42">
        <v>1.000</v>
      </c>
      <c r="L181" s="43">
        <f ca="1">ROUND((M178+M179+M180)*(1+M2/100),2)</f>
        <v>0</v>
      </c>
      <c r="M181" s="43">
        <f ca="1">ROUND(K181*L181,2)</f>
        <v>0</v>
      </c>
      <c r="N181" s="11"/>
    </row>
    <row r="182" spans="1:14" ht="15.30" thickBot="1" customHeight="1">
      <c r="A182" s="58" t="s">
        <v>532</v>
      </c>
      <c r="B182" s="59" t="s">
        <v>533</v>
      </c>
      <c r="C182" s="59" t="s">
        <v>534</v>
      </c>
      <c r="D182" s="60" t="s">
        <v>535</v>
      </c>
      <c r="E182" s="60"/>
      <c r="F182" s="60"/>
      <c r="G182" s="60"/>
      <c r="H182" s="60"/>
      <c r="I182" s="60"/>
      <c r="J182" s="60"/>
      <c r="K182" s="61">
        <f ca="1">ROUND(12.00,2)</f>
        <v>0</v>
      </c>
      <c r="L182" s="62">
        <f ca="1">L187</f>
        <v>0</v>
      </c>
      <c r="M182" s="62">
        <f ca="1">ROUND(K182*L182,2)</f>
        <v>0</v>
      </c>
      <c r="N182" s="11"/>
    </row>
    <row r="183" spans="1:14" ht="57.96" thickBot="1" customHeight="1">
      <c r="A183" s="11"/>
      <c r="B183" s="11"/>
      <c r="C183" s="11"/>
      <c r="D183" s="36" t="s">
        <v>536</v>
      </c>
      <c r="E183" s="36"/>
      <c r="F183" s="36"/>
      <c r="G183" s="36"/>
      <c r="H183" s="36"/>
      <c r="I183" s="36"/>
      <c r="J183" s="36"/>
      <c r="K183" s="36"/>
      <c r="L183" s="36"/>
      <c r="M183" s="36"/>
      <c r="N183" s="11"/>
    </row>
    <row r="184" spans="1:14" ht="21.24" thickBot="1" customHeight="1">
      <c r="A184" s="9" t="s">
        <v>537</v>
      </c>
      <c r="B184" s="9" t="s">
        <v>538</v>
      </c>
      <c r="C184" s="9" t="s">
        <v>539</v>
      </c>
      <c r="D184" s="36" t="s">
        <v>540</v>
      </c>
      <c r="E184" s="36"/>
      <c r="F184" s="36"/>
      <c r="G184" s="36"/>
      <c r="H184" s="36"/>
      <c r="I184" s="36"/>
      <c r="J184" s="36"/>
      <c r="K184" s="37">
        <v>1.000</v>
      </c>
      <c r="L184" s="37">
        <f ca="1">ROUND(71.000,3)</f>
        <v>0</v>
      </c>
      <c r="M184" s="38">
        <f ca="1">ROUND(K184*L184,2)</f>
        <v>0</v>
      </c>
      <c r="N184" s="11"/>
    </row>
    <row r="185" spans="1:14" ht="15.06" thickBot="1" customHeight="1">
      <c r="A185" s="9" t="s">
        <v>541</v>
      </c>
      <c r="B185" s="9" t="s">
        <v>542</v>
      </c>
      <c r="C185" s="9" t="s">
        <v>543</v>
      </c>
      <c r="D185" s="36" t="s">
        <v>544</v>
      </c>
      <c r="E185" s="36"/>
      <c r="F185" s="36"/>
      <c r="G185" s="36"/>
      <c r="H185" s="36"/>
      <c r="I185" s="36"/>
      <c r="J185" s="36"/>
      <c r="K185" s="37">
        <v>0.650</v>
      </c>
      <c r="L185" s="37">
        <f ca="1">ROUND(30.630,3)</f>
        <v>0</v>
      </c>
      <c r="M185" s="38">
        <f ca="1">ROUND(K185*L185,2)</f>
        <v>0</v>
      </c>
      <c r="N185" s="11"/>
    </row>
    <row r="186" spans="1:14" ht="15.06" thickBot="1" customHeight="1">
      <c r="A186" s="9" t="s">
        <v>545</v>
      </c>
      <c r="B186" s="9"/>
      <c r="C186" s="9" t="s">
        <v>546</v>
      </c>
      <c r="D186" s="36" t="s">
        <v>547</v>
      </c>
      <c r="E186" s="36"/>
      <c r="F186" s="36"/>
      <c r="G186" s="36"/>
      <c r="H186" s="36"/>
      <c r="I186" s="36"/>
      <c r="J186" s="36"/>
      <c r="K186" s="37">
        <v>2.000</v>
      </c>
      <c r="L186" s="37">
        <f ca="1">ROUND(90.91,2)</f>
        <v>0</v>
      </c>
      <c r="M186" s="38">
        <f ca="1">ROUND((K186*L186)/100,2)</f>
        <v>0</v>
      </c>
      <c r="N186" s="11"/>
    </row>
    <row r="187" spans="1:14" ht="15.30" thickBot="1" customHeight="1">
      <c r="A187" s="39"/>
      <c r="B187" s="39"/>
      <c r="C187" s="39"/>
      <c r="D187" s="40" t="s">
        <v>548</v>
      </c>
      <c r="E187" s="39"/>
      <c r="F187" s="39"/>
      <c r="G187" s="39"/>
      <c r="H187" s="39"/>
      <c r="I187" s="39"/>
      <c r="J187" s="39"/>
      <c r="K187" s="42">
        <v>12.000</v>
      </c>
      <c r="L187" s="43">
        <f ca="1">ROUND((M184+M185+M186)*(1+M2/100),2)</f>
        <v>0</v>
      </c>
      <c r="M187" s="43">
        <f ca="1">ROUND(K187*L187,2)</f>
        <v>0</v>
      </c>
      <c r="N187" s="11"/>
    </row>
    <row r="188" spans="1:14" ht="15.30" thickBot="1" customHeight="1">
      <c r="A188" s="58" t="s">
        <v>549</v>
      </c>
      <c r="B188" s="59" t="s">
        <v>550</v>
      </c>
      <c r="C188" s="59" t="s">
        <v>551</v>
      </c>
      <c r="D188" s="60" t="s">
        <v>552</v>
      </c>
      <c r="E188" s="60"/>
      <c r="F188" s="60"/>
      <c r="G188" s="60"/>
      <c r="H188" s="60"/>
      <c r="I188" s="60"/>
      <c r="J188" s="60"/>
      <c r="K188" s="61">
        <f ca="1">ROUND(3.00,2)</f>
        <v>0</v>
      </c>
      <c r="L188" s="62">
        <f ca="1">L193</f>
        <v>0</v>
      </c>
      <c r="M188" s="62">
        <f ca="1">ROUND(K188*L188,2)</f>
        <v>0</v>
      </c>
      <c r="N188" s="11"/>
    </row>
    <row r="189" spans="1:14" ht="57.96" thickBot="1" customHeight="1">
      <c r="A189" s="11"/>
      <c r="B189" s="11"/>
      <c r="C189" s="11"/>
      <c r="D189" s="36" t="s">
        <v>553</v>
      </c>
      <c r="E189" s="36"/>
      <c r="F189" s="36"/>
      <c r="G189" s="36"/>
      <c r="H189" s="36"/>
      <c r="I189" s="36"/>
      <c r="J189" s="36"/>
      <c r="K189" s="36"/>
      <c r="L189" s="36"/>
      <c r="M189" s="36"/>
      <c r="N189" s="11"/>
    </row>
    <row r="190" spans="1:14" ht="21.24" thickBot="1" customHeight="1">
      <c r="A190" s="9" t="s">
        <v>554</v>
      </c>
      <c r="B190" s="9" t="s">
        <v>555</v>
      </c>
      <c r="C190" s="9" t="s">
        <v>556</v>
      </c>
      <c r="D190" s="36" t="s">
        <v>557</v>
      </c>
      <c r="E190" s="36"/>
      <c r="F190" s="36"/>
      <c r="G190" s="36"/>
      <c r="H190" s="36"/>
      <c r="I190" s="36"/>
      <c r="J190" s="36"/>
      <c r="K190" s="37">
        <v>1.000</v>
      </c>
      <c r="L190" s="37">
        <f ca="1">ROUND(215.000,3)</f>
        <v>0</v>
      </c>
      <c r="M190" s="38">
        <f ca="1">ROUND(K190*L190,2)</f>
        <v>0</v>
      </c>
      <c r="N190" s="11"/>
    </row>
    <row r="191" spans="1:14" ht="15.06" thickBot="1" customHeight="1">
      <c r="A191" s="9" t="s">
        <v>558</v>
      </c>
      <c r="B191" s="9" t="s">
        <v>559</v>
      </c>
      <c r="C191" s="9" t="s">
        <v>560</v>
      </c>
      <c r="D191" s="36" t="s">
        <v>561</v>
      </c>
      <c r="E191" s="36"/>
      <c r="F191" s="36"/>
      <c r="G191" s="36"/>
      <c r="H191" s="36"/>
      <c r="I191" s="36"/>
      <c r="J191" s="36"/>
      <c r="K191" s="37">
        <v>0.650</v>
      </c>
      <c r="L191" s="37">
        <f ca="1">ROUND(30.630,3)</f>
        <v>0</v>
      </c>
      <c r="M191" s="38">
        <f ca="1">ROUND(K191*L191,2)</f>
        <v>0</v>
      </c>
      <c r="N191" s="11"/>
    </row>
    <row r="192" spans="1:14" ht="15.06" thickBot="1" customHeight="1">
      <c r="A192" s="9" t="s">
        <v>562</v>
      </c>
      <c r="B192" s="9"/>
      <c r="C192" s="9" t="s">
        <v>563</v>
      </c>
      <c r="D192" s="36" t="s">
        <v>564</v>
      </c>
      <c r="E192" s="36"/>
      <c r="F192" s="36"/>
      <c r="G192" s="36"/>
      <c r="H192" s="36"/>
      <c r="I192" s="36"/>
      <c r="J192" s="36"/>
      <c r="K192" s="37">
        <v>2.000</v>
      </c>
      <c r="L192" s="37">
        <f ca="1">ROUND(234.91,2)</f>
        <v>0</v>
      </c>
      <c r="M192" s="38">
        <f ca="1">ROUND((K192*L192)/100,2)</f>
        <v>0</v>
      </c>
      <c r="N192" s="11"/>
    </row>
    <row r="193" spans="1:14" ht="15.30" thickBot="1" customHeight="1">
      <c r="A193" s="39"/>
      <c r="B193" s="39"/>
      <c r="C193" s="39"/>
      <c r="D193" s="40" t="s">
        <v>565</v>
      </c>
      <c r="E193" s="39"/>
      <c r="F193" s="39"/>
      <c r="G193" s="39"/>
      <c r="H193" s="39"/>
      <c r="I193" s="39"/>
      <c r="J193" s="39"/>
      <c r="K193" s="42">
        <v>3.000</v>
      </c>
      <c r="L193" s="43">
        <f ca="1">ROUND((M190+M191+M192)*(1+M2/100),2)</f>
        <v>0</v>
      </c>
      <c r="M193" s="43">
        <f ca="1">ROUND(K193*L193,2)</f>
        <v>0</v>
      </c>
      <c r="N193" s="11"/>
    </row>
    <row r="194" spans="1:14" ht="15.30" thickBot="1" customHeight="1">
      <c r="A194" s="58" t="s">
        <v>566</v>
      </c>
      <c r="B194" s="59" t="s">
        <v>567</v>
      </c>
      <c r="C194" s="59" t="s">
        <v>568</v>
      </c>
      <c r="D194" s="60" t="s">
        <v>569</v>
      </c>
      <c r="E194" s="60"/>
      <c r="F194" s="60"/>
      <c r="G194" s="60"/>
      <c r="H194" s="60"/>
      <c r="I194" s="60"/>
      <c r="J194" s="60"/>
      <c r="K194" s="61">
        <f ca="1">ROUND(1.00,2)</f>
        <v>0</v>
      </c>
      <c r="L194" s="62">
        <f ca="1">L199</f>
        <v>0</v>
      </c>
      <c r="M194" s="62">
        <f ca="1">ROUND(K194*L194,2)</f>
        <v>0</v>
      </c>
      <c r="N194" s="11"/>
    </row>
    <row r="195" spans="1:14" ht="57.96" thickBot="1" customHeight="1">
      <c r="A195" s="11"/>
      <c r="B195" s="11"/>
      <c r="C195" s="11"/>
      <c r="D195" s="36" t="s">
        <v>570</v>
      </c>
      <c r="E195" s="36"/>
      <c r="F195" s="36"/>
      <c r="G195" s="36"/>
      <c r="H195" s="36"/>
      <c r="I195" s="36"/>
      <c r="J195" s="36"/>
      <c r="K195" s="36"/>
      <c r="L195" s="36"/>
      <c r="M195" s="36"/>
      <c r="N195" s="11"/>
    </row>
    <row r="196" spans="1:14" ht="21.24" thickBot="1" customHeight="1">
      <c r="A196" s="9" t="s">
        <v>571</v>
      </c>
      <c r="B196" s="9" t="s">
        <v>572</v>
      </c>
      <c r="C196" s="9" t="s">
        <v>573</v>
      </c>
      <c r="D196" s="36" t="s">
        <v>574</v>
      </c>
      <c r="E196" s="36"/>
      <c r="F196" s="36"/>
      <c r="G196" s="36"/>
      <c r="H196" s="36"/>
      <c r="I196" s="36"/>
      <c r="J196" s="36"/>
      <c r="K196" s="37">
        <v>1.000</v>
      </c>
      <c r="L196" s="37">
        <f ca="1">ROUND(380.000,3)</f>
        <v>0</v>
      </c>
      <c r="M196" s="38">
        <f ca="1">ROUND(K196*L196,2)</f>
        <v>0</v>
      </c>
      <c r="N196" s="11"/>
    </row>
    <row r="197" spans="1:14" ht="15.06" thickBot="1" customHeight="1">
      <c r="A197" s="9" t="s">
        <v>575</v>
      </c>
      <c r="B197" s="9" t="s">
        <v>576</v>
      </c>
      <c r="C197" s="9" t="s">
        <v>577</v>
      </c>
      <c r="D197" s="36" t="s">
        <v>578</v>
      </c>
      <c r="E197" s="36"/>
      <c r="F197" s="36"/>
      <c r="G197" s="36"/>
      <c r="H197" s="36"/>
      <c r="I197" s="36"/>
      <c r="J197" s="36"/>
      <c r="K197" s="37">
        <v>0.650</v>
      </c>
      <c r="L197" s="37">
        <f ca="1">ROUND(30.630,3)</f>
        <v>0</v>
      </c>
      <c r="M197" s="38">
        <f ca="1">ROUND(K197*L197,2)</f>
        <v>0</v>
      </c>
      <c r="N197" s="11"/>
    </row>
    <row r="198" spans="1:14" ht="15.06" thickBot="1" customHeight="1">
      <c r="A198" s="9" t="s">
        <v>579</v>
      </c>
      <c r="B198" s="9"/>
      <c r="C198" s="9" t="s">
        <v>580</v>
      </c>
      <c r="D198" s="36" t="s">
        <v>581</v>
      </c>
      <c r="E198" s="36"/>
      <c r="F198" s="36"/>
      <c r="G198" s="36"/>
      <c r="H198" s="36"/>
      <c r="I198" s="36"/>
      <c r="J198" s="36"/>
      <c r="K198" s="37">
        <v>2.000</v>
      </c>
      <c r="L198" s="37">
        <f ca="1">ROUND(399.91,2)</f>
        <v>0</v>
      </c>
      <c r="M198" s="38">
        <f ca="1">ROUND((K198*L198)/100,2)</f>
        <v>0</v>
      </c>
      <c r="N198" s="11"/>
    </row>
    <row r="199" spans="1:14" ht="15.30" thickBot="1" customHeight="1">
      <c r="A199" s="39"/>
      <c r="B199" s="39"/>
      <c r="C199" s="39"/>
      <c r="D199" s="40" t="s">
        <v>582</v>
      </c>
      <c r="E199" s="39"/>
      <c r="F199" s="39"/>
      <c r="G199" s="39"/>
      <c r="H199" s="39"/>
      <c r="I199" s="39"/>
      <c r="J199" s="39"/>
      <c r="K199" s="42">
        <v>1.000</v>
      </c>
      <c r="L199" s="43">
        <f ca="1">ROUND((M196+M197+M198)*(1+M2/100),2)</f>
        <v>0</v>
      </c>
      <c r="M199" s="43">
        <f ca="1">ROUND(K199*L199,2)</f>
        <v>0</v>
      </c>
      <c r="N199" s="11"/>
    </row>
    <row r="200" spans="1:14" ht="15.30" thickBot="1" customHeight="1">
      <c r="A200" s="58" t="s">
        <v>583</v>
      </c>
      <c r="B200" s="59" t="s">
        <v>584</v>
      </c>
      <c r="C200" s="59" t="s">
        <v>585</v>
      </c>
      <c r="D200" s="60" t="s">
        <v>586</v>
      </c>
      <c r="E200" s="60"/>
      <c r="F200" s="60"/>
      <c r="G200" s="60"/>
      <c r="H200" s="60"/>
      <c r="I200" s="60"/>
      <c r="J200" s="60"/>
      <c r="K200" s="61">
        <f ca="1">ROUND(1.00,2)</f>
        <v>0</v>
      </c>
      <c r="L200" s="62">
        <f ca="1">ROUND(6000.000*(1+M2/100),2)</f>
        <v>0</v>
      </c>
      <c r="M200" s="62">
        <f ca="1">ROUND(K200*L200,2)</f>
        <v>0</v>
      </c>
      <c r="N200" s="11"/>
    </row>
    <row r="201" spans="1:14" ht="67.14" thickBot="1" customHeight="1">
      <c r="A201" s="11"/>
      <c r="B201" s="11"/>
      <c r="C201" s="11"/>
      <c r="D201" s="36" t="s">
        <v>587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11"/>
    </row>
    <row r="202" spans="1:14" ht="15.30" thickBot="1" customHeight="1">
      <c r="A202" s="17" t="s">
        <v>588</v>
      </c>
      <c r="B202" s="9" t="s">
        <v>589</v>
      </c>
      <c r="C202" s="9" t="s">
        <v>590</v>
      </c>
      <c r="D202" s="36" t="s">
        <v>591</v>
      </c>
      <c r="E202" s="36"/>
      <c r="F202" s="36"/>
      <c r="G202" s="36"/>
      <c r="H202" s="36"/>
      <c r="I202" s="36"/>
      <c r="J202" s="36"/>
      <c r="K202" s="37">
        <f ca="1">ROUND(1.00,2)</f>
        <v>0</v>
      </c>
      <c r="L202" s="38">
        <f ca="1">L209</f>
        <v>0</v>
      </c>
      <c r="M202" s="38">
        <f ca="1">ROUND(K202*L202,2)</f>
        <v>0</v>
      </c>
      <c r="N202" s="11"/>
    </row>
    <row r="203" spans="1:14" ht="67.14" thickBot="1" customHeight="1">
      <c r="A203" s="11"/>
      <c r="B203" s="11"/>
      <c r="C203" s="11"/>
      <c r="D203" s="36" t="s">
        <v>592</v>
      </c>
      <c r="E203" s="36"/>
      <c r="F203" s="36"/>
      <c r="G203" s="36"/>
      <c r="H203" s="36"/>
      <c r="I203" s="36"/>
      <c r="J203" s="36"/>
      <c r="K203" s="36"/>
      <c r="L203" s="36"/>
      <c r="M203" s="36"/>
      <c r="N203" s="11"/>
    </row>
    <row r="204" spans="1:14" ht="48.78" thickBot="1" customHeight="1">
      <c r="A204" s="9" t="s">
        <v>593</v>
      </c>
      <c r="B204" s="9" t="s">
        <v>594</v>
      </c>
      <c r="C204" s="9" t="s">
        <v>595</v>
      </c>
      <c r="D204" s="36" t="s">
        <v>596</v>
      </c>
      <c r="E204" s="36"/>
      <c r="F204" s="36"/>
      <c r="G204" s="36"/>
      <c r="H204" s="36"/>
      <c r="I204" s="36"/>
      <c r="J204" s="36"/>
      <c r="K204" s="37">
        <v>1.000</v>
      </c>
      <c r="L204" s="37">
        <f ca="1">ROUND(10664.620,3)</f>
        <v>0</v>
      </c>
      <c r="M204" s="38">
        <f ca="1">ROUND(K204*L204,2)</f>
        <v>0</v>
      </c>
      <c r="N204" s="11"/>
    </row>
    <row r="205" spans="1:14" ht="30.42" thickBot="1" customHeight="1">
      <c r="A205" s="9" t="s">
        <v>597</v>
      </c>
      <c r="B205" s="9" t="s">
        <v>598</v>
      </c>
      <c r="C205" s="9" t="s">
        <v>599</v>
      </c>
      <c r="D205" s="36" t="s">
        <v>600</v>
      </c>
      <c r="E205" s="36"/>
      <c r="F205" s="36"/>
      <c r="G205" s="36"/>
      <c r="H205" s="36"/>
      <c r="I205" s="36"/>
      <c r="J205" s="36"/>
      <c r="K205" s="37">
        <v>1.000</v>
      </c>
      <c r="L205" s="37">
        <f ca="1">ROUND(18.500,3)</f>
        <v>0</v>
      </c>
      <c r="M205" s="38">
        <f ca="1">ROUND(K205*L205,2)</f>
        <v>0</v>
      </c>
      <c r="N205" s="11"/>
    </row>
    <row r="206" spans="1:14" ht="15.06" thickBot="1" customHeight="1">
      <c r="A206" s="9" t="s">
        <v>601</v>
      </c>
      <c r="B206" s="9" t="s">
        <v>602</v>
      </c>
      <c r="C206" s="9" t="s">
        <v>603</v>
      </c>
      <c r="D206" s="36" t="s">
        <v>604</v>
      </c>
      <c r="E206" s="36"/>
      <c r="F206" s="36"/>
      <c r="G206" s="36"/>
      <c r="H206" s="36"/>
      <c r="I206" s="36"/>
      <c r="J206" s="36"/>
      <c r="K206" s="37">
        <v>8.000</v>
      </c>
      <c r="L206" s="37">
        <f ca="1">ROUND(45.120,3)</f>
        <v>0</v>
      </c>
      <c r="M206" s="38">
        <f ca="1">ROUND(K206*L206,2)</f>
        <v>0</v>
      </c>
      <c r="N206" s="11"/>
    </row>
    <row r="207" spans="1:14" ht="15.06" thickBot="1" customHeight="1">
      <c r="A207" s="9" t="s">
        <v>605</v>
      </c>
      <c r="B207" s="9" t="s">
        <v>606</v>
      </c>
      <c r="C207" s="9" t="s">
        <v>607</v>
      </c>
      <c r="D207" s="36" t="s">
        <v>608</v>
      </c>
      <c r="E207" s="36"/>
      <c r="F207" s="36"/>
      <c r="G207" s="36"/>
      <c r="H207" s="36"/>
      <c r="I207" s="36"/>
      <c r="J207" s="36"/>
      <c r="K207" s="37">
        <v>8.000</v>
      </c>
      <c r="L207" s="37">
        <f ca="1">ROUND(30.630,3)</f>
        <v>0</v>
      </c>
      <c r="M207" s="38">
        <f ca="1">ROUND(K207*L207,2)</f>
        <v>0</v>
      </c>
      <c r="N207" s="11"/>
    </row>
    <row r="208" spans="1:14" ht="15.06" thickBot="1" customHeight="1">
      <c r="A208" s="9" t="s">
        <v>609</v>
      </c>
      <c r="B208" s="9" t="s">
        <v>610</v>
      </c>
      <c r="C208" s="9" t="s">
        <v>611</v>
      </c>
      <c r="D208" s="36" t="s">
        <v>612</v>
      </c>
      <c r="E208" s="36"/>
      <c r="F208" s="36"/>
      <c r="G208" s="36"/>
      <c r="H208" s="36"/>
      <c r="I208" s="36"/>
      <c r="J208" s="36"/>
      <c r="K208" s="37">
        <v>8.000</v>
      </c>
      <c r="L208" s="37">
        <f ca="1">ROUND(26.360,3)</f>
        <v>0</v>
      </c>
      <c r="M208" s="38">
        <f ca="1">ROUND(K208*L208,2)</f>
        <v>0</v>
      </c>
      <c r="N208" s="11"/>
    </row>
    <row r="209" spans="1:14" ht="15.30" thickBot="1" customHeight="1">
      <c r="A209" s="39"/>
      <c r="B209" s="39"/>
      <c r="C209" s="39"/>
      <c r="D209" s="40" t="s">
        <v>613</v>
      </c>
      <c r="E209" s="39"/>
      <c r="F209" s="39"/>
      <c r="G209" s="39"/>
      <c r="H209" s="39"/>
      <c r="I209" s="39"/>
      <c r="J209" s="39"/>
      <c r="K209" s="42">
        <v>1.000</v>
      </c>
      <c r="L209" s="43">
        <f ca="1">ROUND((M204+M205+M206+M207+M208)*(1+M2/100),2)</f>
        <v>0</v>
      </c>
      <c r="M209" s="43">
        <f ca="1">ROUND(K209*L209,2)</f>
        <v>0</v>
      </c>
      <c r="N209" s="11"/>
    </row>
    <row r="210" spans="1:14" ht="15.30" thickBot="1" customHeight="1">
      <c r="A210" s="58" t="s">
        <v>614</v>
      </c>
      <c r="B210" s="59" t="s">
        <v>615</v>
      </c>
      <c r="C210" s="59" t="s">
        <v>616</v>
      </c>
      <c r="D210" s="60" t="s">
        <v>617</v>
      </c>
      <c r="E210" s="60"/>
      <c r="F210" s="60"/>
      <c r="G210" s="60"/>
      <c r="H210" s="60"/>
      <c r="I210" s="60"/>
      <c r="J210" s="60"/>
      <c r="K210" s="61">
        <f ca="1">ROUND(1.00,2)</f>
        <v>0</v>
      </c>
      <c r="L210" s="62">
        <f ca="1">L216</f>
        <v>0</v>
      </c>
      <c r="M210" s="62">
        <f ca="1">ROUND(K210*L210,2)</f>
        <v>0</v>
      </c>
      <c r="N210" s="11"/>
    </row>
    <row r="211" spans="1:14" ht="39.60" thickBot="1" customHeight="1">
      <c r="A211" s="11"/>
      <c r="B211" s="11"/>
      <c r="C211" s="11"/>
      <c r="D211" s="36" t="s">
        <v>618</v>
      </c>
      <c r="E211" s="36"/>
      <c r="F211" s="36"/>
      <c r="G211" s="36"/>
      <c r="H211" s="36"/>
      <c r="I211" s="36"/>
      <c r="J211" s="36"/>
      <c r="K211" s="36"/>
      <c r="L211" s="36"/>
      <c r="M211" s="36"/>
      <c r="N211" s="11"/>
    </row>
    <row r="212" spans="1:14" ht="15.06" thickBot="1" customHeight="1">
      <c r="A212" s="9" t="s">
        <v>619</v>
      </c>
      <c r="B212" s="9" t="s">
        <v>620</v>
      </c>
      <c r="C212" s="9" t="s">
        <v>621</v>
      </c>
      <c r="D212" s="36" t="s">
        <v>622</v>
      </c>
      <c r="E212" s="36"/>
      <c r="F212" s="36"/>
      <c r="G212" s="36"/>
      <c r="H212" s="36"/>
      <c r="I212" s="36"/>
      <c r="J212" s="36"/>
      <c r="K212" s="37">
        <v>1.000</v>
      </c>
      <c r="L212" s="37">
        <f ca="1">ROUND(525.000,3)</f>
        <v>0</v>
      </c>
      <c r="M212" s="38">
        <f ca="1">ROUND(K212*L212,2)</f>
        <v>0</v>
      </c>
      <c r="N212" s="11"/>
    </row>
    <row r="213" spans="1:14" ht="15.06" thickBot="1" customHeight="1">
      <c r="A213" s="9" t="s">
        <v>623</v>
      </c>
      <c r="B213" s="9" t="s">
        <v>624</v>
      </c>
      <c r="C213" s="9" t="s">
        <v>625</v>
      </c>
      <c r="D213" s="36" t="s">
        <v>626</v>
      </c>
      <c r="E213" s="36"/>
      <c r="F213" s="36"/>
      <c r="G213" s="36"/>
      <c r="H213" s="36"/>
      <c r="I213" s="36"/>
      <c r="J213" s="36"/>
      <c r="K213" s="37">
        <v>10.000</v>
      </c>
      <c r="L213" s="37">
        <f ca="1">ROUND(30.630,3)</f>
        <v>0</v>
      </c>
      <c r="M213" s="38">
        <f ca="1">ROUND(K213*L213,2)</f>
        <v>0</v>
      </c>
      <c r="N213" s="11"/>
    </row>
    <row r="214" spans="1:14" ht="15.06" thickBot="1" customHeight="1">
      <c r="A214" s="9" t="s">
        <v>627</v>
      </c>
      <c r="B214" s="9" t="s">
        <v>628</v>
      </c>
      <c r="C214" s="9" t="s">
        <v>629</v>
      </c>
      <c r="D214" s="36" t="s">
        <v>630</v>
      </c>
      <c r="E214" s="36"/>
      <c r="F214" s="36"/>
      <c r="G214" s="36"/>
      <c r="H214" s="36"/>
      <c r="I214" s="36"/>
      <c r="J214" s="36"/>
      <c r="K214" s="37">
        <v>10.000</v>
      </c>
      <c r="L214" s="37">
        <f ca="1">ROUND(26.360,3)</f>
        <v>0</v>
      </c>
      <c r="M214" s="38">
        <f ca="1">ROUND(K214*L214,2)</f>
        <v>0</v>
      </c>
      <c r="N214" s="11"/>
    </row>
    <row r="215" spans="1:14" ht="15.06" thickBot="1" customHeight="1">
      <c r="A215" s="9" t="s">
        <v>631</v>
      </c>
      <c r="B215" s="9"/>
      <c r="C215" s="9" t="s">
        <v>632</v>
      </c>
      <c r="D215" s="36" t="s">
        <v>633</v>
      </c>
      <c r="E215" s="36"/>
      <c r="F215" s="36"/>
      <c r="G215" s="36"/>
      <c r="H215" s="36"/>
      <c r="I215" s="36"/>
      <c r="J215" s="36"/>
      <c r="K215" s="37">
        <v>2.000</v>
      </c>
      <c r="L215" s="37">
        <f ca="1">ROUND(1094.90,2)</f>
        <v>0</v>
      </c>
      <c r="M215" s="38">
        <f ca="1">ROUND((K215*L215)/100,2)</f>
        <v>0</v>
      </c>
      <c r="N215" s="11"/>
    </row>
    <row r="216" spans="1:14" ht="15.30" thickBot="1" customHeight="1">
      <c r="A216" s="39"/>
      <c r="B216" s="39"/>
      <c r="C216" s="39"/>
      <c r="D216" s="40" t="s">
        <v>634</v>
      </c>
      <c r="E216" s="39"/>
      <c r="F216" s="39"/>
      <c r="G216" s="39"/>
      <c r="H216" s="39"/>
      <c r="I216" s="39"/>
      <c r="J216" s="39"/>
      <c r="K216" s="42">
        <v>1.000</v>
      </c>
      <c r="L216" s="43">
        <f ca="1">ROUND((M212+M213+M214+M215)*(1+M2/100),2)</f>
        <v>0</v>
      </c>
      <c r="M216" s="43">
        <f ca="1">ROUND(K216*L216,2)</f>
        <v>0</v>
      </c>
      <c r="N216" s="11"/>
    </row>
    <row r="217" spans="1:14" ht="15.30" thickBot="1" customHeight="1">
      <c r="A217" s="44"/>
      <c r="B217" s="44"/>
      <c r="C217" s="44"/>
      <c r="D217" s="45" t="s">
        <v>635</v>
      </c>
      <c r="E217" s="46"/>
      <c r="F217" s="46"/>
      <c r="G217" s="46"/>
      <c r="H217" s="46"/>
      <c r="I217" s="46"/>
      <c r="J217" s="46"/>
      <c r="K217" s="46"/>
      <c r="L217" s="47">
        <f ca="1">M78+M84+M92+M99+M107+M115+M126+M133+M143+M150+M157+M167+M176+M182+M188+M194+M200+M202+M210</f>
        <v>0</v>
      </c>
      <c r="M217" s="47">
        <f ca="1">ROUND(L217,2)</f>
        <v>0</v>
      </c>
      <c r="N217" s="11"/>
    </row>
    <row r="218" spans="1:14" ht="15.30" thickBot="1" customHeight="1">
      <c r="A218" s="44"/>
      <c r="B218" s="44"/>
      <c r="C218" s="44"/>
      <c r="D218" s="48" t="s">
        <v>636</v>
      </c>
      <c r="E218" s="49"/>
      <c r="F218" s="49"/>
      <c r="G218" s="49"/>
      <c r="H218" s="49"/>
      <c r="I218" s="49"/>
      <c r="J218" s="49"/>
      <c r="K218" s="49"/>
      <c r="L218" s="50">
        <f ca="1">M217</f>
        <v>0</v>
      </c>
      <c r="M218" s="50">
        <f ca="1">ROUND(L218,2)</f>
        <v>0</v>
      </c>
      <c r="N218" s="11"/>
    </row>
    <row r="219" spans="1:14" ht="15.30" thickBot="1" customHeight="1">
      <c r="A219" s="67" t="s">
        <v>637</v>
      </c>
      <c r="B219" s="67" t="s">
        <v>638</v>
      </c>
      <c r="C219" s="68"/>
      <c r="D219" s="69" t="s">
        <v>639</v>
      </c>
      <c r="E219" s="69"/>
      <c r="F219" s="69"/>
      <c r="G219" s="69"/>
      <c r="H219" s="69"/>
      <c r="I219" s="69"/>
      <c r="J219" s="69"/>
      <c r="K219" s="68"/>
      <c r="L219" s="70">
        <f ca="1">L269</f>
        <v>0</v>
      </c>
      <c r="M219" s="70">
        <f ca="1">ROUND(L219,2)</f>
        <v>0</v>
      </c>
      <c r="N219" s="11"/>
    </row>
    <row r="220" spans="1:14" ht="15.30" thickBot="1" customHeight="1">
      <c r="A220" s="17" t="s">
        <v>640</v>
      </c>
      <c r="B220" s="9" t="s">
        <v>641</v>
      </c>
      <c r="C220" s="9" t="s">
        <v>642</v>
      </c>
      <c r="D220" s="36" t="s">
        <v>643</v>
      </c>
      <c r="E220" s="36"/>
      <c r="F220" s="36"/>
      <c r="G220" s="36"/>
      <c r="H220" s="36"/>
      <c r="I220" s="36"/>
      <c r="J220" s="36"/>
      <c r="K220" s="37">
        <f ca="1">ROUND(1.00,2)</f>
        <v>0</v>
      </c>
      <c r="L220" s="38">
        <f ca="1">L226</f>
        <v>0</v>
      </c>
      <c r="M220" s="38">
        <f ca="1">ROUND(K220*L220,2)</f>
        <v>0</v>
      </c>
      <c r="N220" s="11"/>
    </row>
    <row r="221" spans="1:14" ht="177.30" thickBot="1" customHeight="1">
      <c r="A221" s="11"/>
      <c r="B221" s="11"/>
      <c r="C221" s="11"/>
      <c r="D221" s="36" t="s">
        <v>644</v>
      </c>
      <c r="E221" s="36"/>
      <c r="F221" s="36"/>
      <c r="G221" s="36"/>
      <c r="H221" s="36"/>
      <c r="I221" s="36"/>
      <c r="J221" s="36"/>
      <c r="K221" s="36"/>
      <c r="L221" s="36"/>
      <c r="M221" s="36"/>
      <c r="N221" s="11"/>
    </row>
    <row r="222" spans="1:14" ht="30.42" thickBot="1" customHeight="1">
      <c r="A222" s="9" t="s">
        <v>645</v>
      </c>
      <c r="B222" s="9" t="s">
        <v>646</v>
      </c>
      <c r="C222" s="9" t="s">
        <v>647</v>
      </c>
      <c r="D222" s="36" t="s">
        <v>648</v>
      </c>
      <c r="E222" s="36"/>
      <c r="F222" s="36"/>
      <c r="G222" s="36"/>
      <c r="H222" s="36"/>
      <c r="I222" s="36"/>
      <c r="J222" s="36"/>
      <c r="K222" s="37">
        <v>1.000</v>
      </c>
      <c r="L222" s="37">
        <f ca="1">ROUND(350.000,3)</f>
        <v>0</v>
      </c>
      <c r="M222" s="38">
        <f ca="1">ROUND(K222*L222,2)</f>
        <v>0</v>
      </c>
      <c r="N222" s="11"/>
    </row>
    <row r="223" spans="1:14" ht="15.06" thickBot="1" customHeight="1">
      <c r="A223" s="9" t="s">
        <v>649</v>
      </c>
      <c r="B223" s="9" t="s">
        <v>650</v>
      </c>
      <c r="C223" s="9" t="s">
        <v>651</v>
      </c>
      <c r="D223" s="36" t="s">
        <v>652</v>
      </c>
      <c r="E223" s="36"/>
      <c r="F223" s="36"/>
      <c r="G223" s="36"/>
      <c r="H223" s="36"/>
      <c r="I223" s="36"/>
      <c r="J223" s="36"/>
      <c r="K223" s="37">
        <v>0.100</v>
      </c>
      <c r="L223" s="37">
        <f ca="1">ROUND(1.140,3)</f>
        <v>0</v>
      </c>
      <c r="M223" s="38">
        <f ca="1">ROUND(K223*L223,2)</f>
        <v>0</v>
      </c>
      <c r="N223" s="11"/>
    </row>
    <row r="224" spans="1:14" ht="15.06" thickBot="1" customHeight="1">
      <c r="A224" s="9" t="s">
        <v>653</v>
      </c>
      <c r="B224" s="9" t="s">
        <v>654</v>
      </c>
      <c r="C224" s="9" t="s">
        <v>655</v>
      </c>
      <c r="D224" s="36" t="s">
        <v>656</v>
      </c>
      <c r="E224" s="36"/>
      <c r="F224" s="36"/>
      <c r="G224" s="36"/>
      <c r="H224" s="36"/>
      <c r="I224" s="36"/>
      <c r="J224" s="36"/>
      <c r="K224" s="37">
        <v>1.000</v>
      </c>
      <c r="L224" s="37">
        <f ca="1">ROUND(30.630,3)</f>
        <v>0</v>
      </c>
      <c r="M224" s="38">
        <f ca="1">ROUND(K224*L224,2)</f>
        <v>0</v>
      </c>
      <c r="N224" s="11"/>
    </row>
    <row r="225" spans="1:14" ht="15.06" thickBot="1" customHeight="1">
      <c r="A225" s="9" t="s">
        <v>657</v>
      </c>
      <c r="B225" s="9"/>
      <c r="C225" s="9" t="s">
        <v>658</v>
      </c>
      <c r="D225" s="36" t="s">
        <v>659</v>
      </c>
      <c r="E225" s="36"/>
      <c r="F225" s="36"/>
      <c r="G225" s="36"/>
      <c r="H225" s="36"/>
      <c r="I225" s="36"/>
      <c r="J225" s="36"/>
      <c r="K225" s="37">
        <v>2.000</v>
      </c>
      <c r="L225" s="37">
        <f ca="1">ROUND(380.74,2)</f>
        <v>0</v>
      </c>
      <c r="M225" s="38">
        <f ca="1">ROUND((K225*L225)/100,2)</f>
        <v>0</v>
      </c>
      <c r="N225" s="11"/>
    </row>
    <row r="226" spans="1:14" ht="15.30" thickBot="1" customHeight="1">
      <c r="A226" s="39"/>
      <c r="B226" s="39"/>
      <c r="C226" s="39"/>
      <c r="D226" s="40" t="s">
        <v>660</v>
      </c>
      <c r="E226" s="39"/>
      <c r="F226" s="39"/>
      <c r="G226" s="39"/>
      <c r="H226" s="39"/>
      <c r="I226" s="39"/>
      <c r="J226" s="39"/>
      <c r="K226" s="42">
        <v>1.000</v>
      </c>
      <c r="L226" s="43">
        <f ca="1">ROUND((M222+M223+M224+M225)*(1+M2/100),2)</f>
        <v>0</v>
      </c>
      <c r="M226" s="43">
        <f ca="1">ROUND(K226*L226,2)</f>
        <v>0</v>
      </c>
      <c r="N226" s="11"/>
    </row>
    <row r="227" spans="1:14" ht="15.30" thickBot="1" customHeight="1">
      <c r="A227" s="63" t="s">
        <v>661</v>
      </c>
      <c r="B227" s="63" t="s">
        <v>662</v>
      </c>
      <c r="C227" s="64"/>
      <c r="D227" s="65" t="s">
        <v>663</v>
      </c>
      <c r="E227" s="65"/>
      <c r="F227" s="65"/>
      <c r="G227" s="65"/>
      <c r="H227" s="65"/>
      <c r="I227" s="65"/>
      <c r="J227" s="65"/>
      <c r="K227" s="64"/>
      <c r="L227" s="66">
        <f ca="1">L237</f>
        <v>0</v>
      </c>
      <c r="M227" s="66">
        <f ca="1">ROUND(L227,2)</f>
        <v>0</v>
      </c>
      <c r="N227" s="11"/>
    </row>
    <row r="228" spans="1:14" ht="15.30" thickBot="1" customHeight="1">
      <c r="A228" s="17" t="s">
        <v>664</v>
      </c>
      <c r="B228" s="9" t="s">
        <v>665</v>
      </c>
      <c r="C228" s="9" t="s">
        <v>666</v>
      </c>
      <c r="D228" s="36" t="s">
        <v>667</v>
      </c>
      <c r="E228" s="36"/>
      <c r="F228" s="36"/>
      <c r="G228" s="36"/>
      <c r="H228" s="36"/>
      <c r="I228" s="36"/>
      <c r="J228" s="36"/>
      <c r="K228" s="37">
        <f ca="1">SUM(K231:K231)</f>
        <v>0</v>
      </c>
      <c r="L228" s="38">
        <f ca="1">L236</f>
        <v>0</v>
      </c>
      <c r="M228" s="38">
        <f ca="1">ROUND(K228*L228,2)</f>
        <v>0</v>
      </c>
      <c r="N228" s="11"/>
    </row>
    <row r="229" spans="1:14" ht="48.78" thickBot="1" customHeight="1">
      <c r="A229" s="11"/>
      <c r="B229" s="11"/>
      <c r="C229" s="11"/>
      <c r="D229" s="36" t="s">
        <v>668</v>
      </c>
      <c r="E229" s="36"/>
      <c r="F229" s="36"/>
      <c r="G229" s="36"/>
      <c r="H229" s="36"/>
      <c r="I229" s="36"/>
      <c r="J229" s="36"/>
      <c r="K229" s="36"/>
      <c r="L229" s="36"/>
      <c r="M229" s="36"/>
      <c r="N229" s="11"/>
    </row>
    <row r="230" spans="1:14" ht="15.06" thickBot="1" customHeight="1">
      <c r="A230" s="11"/>
      <c r="B230" s="11"/>
      <c r="C230" s="11"/>
      <c r="D230" s="11"/>
      <c r="E230" s="71"/>
      <c r="F230" s="73" t="s">
        <v>669</v>
      </c>
      <c r="G230" s="73" t="s">
        <v>670</v>
      </c>
      <c r="H230" s="73" t="s">
        <v>671</v>
      </c>
      <c r="I230" s="73" t="s">
        <v>672</v>
      </c>
      <c r="J230" s="73" t="s">
        <v>673</v>
      </c>
      <c r="K230" s="73" t="s">
        <v>674</v>
      </c>
      <c r="L230" s="11"/>
      <c r="M230" s="11"/>
      <c r="N230" s="11"/>
    </row>
    <row r="231" spans="1:14" ht="39.60" thickBot="1" customHeight="1">
      <c r="A231" s="11"/>
      <c r="B231" s="11"/>
      <c r="C231" s="11"/>
      <c r="D231" s="74"/>
      <c r="E231" s="75" t="s">
        <v>675</v>
      </c>
      <c r="F231" s="76">
        <v>1</v>
      </c>
      <c r="G231" s="77">
        <v>25.000</v>
      </c>
      <c r="H231" s="77"/>
      <c r="I231" s="77"/>
      <c r="J231" s="79">
        <f ca="1">ROUND(F231*G231,3)</f>
        <v>0</v>
      </c>
      <c r="K231" s="81">
        <f ca="1">SUM(J231:J231)</f>
        <v>0</v>
      </c>
      <c r="L231" s="11"/>
      <c r="M231" s="11"/>
      <c r="N231" s="11"/>
    </row>
    <row r="232" spans="1:14" ht="15.06" thickBot="1" customHeight="1">
      <c r="A232" s="9" t="s">
        <v>676</v>
      </c>
      <c r="B232" s="9" t="s">
        <v>677</v>
      </c>
      <c r="C232" s="9" t="s">
        <v>678</v>
      </c>
      <c r="D232" s="36" t="s">
        <v>679</v>
      </c>
      <c r="E232" s="36"/>
      <c r="F232" s="36"/>
      <c r="G232" s="36"/>
      <c r="H232" s="36"/>
      <c r="I232" s="36"/>
      <c r="J232" s="36"/>
      <c r="K232" s="37">
        <v>1.000</v>
      </c>
      <c r="L232" s="37">
        <f ca="1">ROUND(1.290,3)</f>
        <v>0</v>
      </c>
      <c r="M232" s="38">
        <f ca="1">ROUND(K232*L232,2)</f>
        <v>0</v>
      </c>
      <c r="N232" s="11"/>
    </row>
    <row r="233" spans="1:14" ht="15.06" thickBot="1" customHeight="1">
      <c r="A233" s="9" t="s">
        <v>680</v>
      </c>
      <c r="B233" s="9" t="s">
        <v>681</v>
      </c>
      <c r="C233" s="9" t="s">
        <v>682</v>
      </c>
      <c r="D233" s="36" t="s">
        <v>683</v>
      </c>
      <c r="E233" s="36"/>
      <c r="F233" s="36"/>
      <c r="G233" s="36"/>
      <c r="H233" s="36"/>
      <c r="I233" s="36"/>
      <c r="J233" s="36"/>
      <c r="K233" s="37">
        <v>0.100</v>
      </c>
      <c r="L233" s="37">
        <f ca="1">ROUND(1.140,3)</f>
        <v>0</v>
      </c>
      <c r="M233" s="38">
        <f ca="1">ROUND(K233*L233,2)</f>
        <v>0</v>
      </c>
      <c r="N233" s="11"/>
    </row>
    <row r="234" spans="1:14" ht="15.06" thickBot="1" customHeight="1">
      <c r="A234" s="9" t="s">
        <v>684</v>
      </c>
      <c r="B234" s="9" t="s">
        <v>685</v>
      </c>
      <c r="C234" s="9" t="s">
        <v>686</v>
      </c>
      <c r="D234" s="36" t="s">
        <v>687</v>
      </c>
      <c r="E234" s="36"/>
      <c r="F234" s="36"/>
      <c r="G234" s="36"/>
      <c r="H234" s="36"/>
      <c r="I234" s="36"/>
      <c r="J234" s="36"/>
      <c r="K234" s="37">
        <v>0.131</v>
      </c>
      <c r="L234" s="37">
        <f ca="1">ROUND(30.630,3)</f>
        <v>0</v>
      </c>
      <c r="M234" s="38">
        <f ca="1">ROUND(K234*L234,2)</f>
        <v>0</v>
      </c>
      <c r="N234" s="11"/>
    </row>
    <row r="235" spans="1:14" ht="15.06" thickBot="1" customHeight="1">
      <c r="A235" s="9" t="s">
        <v>688</v>
      </c>
      <c r="B235" s="9"/>
      <c r="C235" s="9" t="s">
        <v>689</v>
      </c>
      <c r="D235" s="36" t="s">
        <v>690</v>
      </c>
      <c r="E235" s="36"/>
      <c r="F235" s="36"/>
      <c r="G235" s="36"/>
      <c r="H235" s="36"/>
      <c r="I235" s="36"/>
      <c r="J235" s="36"/>
      <c r="K235" s="37">
        <v>2.000</v>
      </c>
      <c r="L235" s="37">
        <f ca="1">ROUND(5.41,2)</f>
        <v>0</v>
      </c>
      <c r="M235" s="38">
        <f ca="1">ROUND((K235*L235)/100,2)</f>
        <v>0</v>
      </c>
      <c r="N235" s="11"/>
    </row>
    <row r="236" spans="1:14" ht="15.30" thickBot="1" customHeight="1">
      <c r="A236" s="39"/>
      <c r="B236" s="39"/>
      <c r="C236" s="39"/>
      <c r="D236" s="40" t="s">
        <v>691</v>
      </c>
      <c r="E236" s="39"/>
      <c r="F236" s="39"/>
      <c r="G236" s="39"/>
      <c r="H236" s="39"/>
      <c r="I236" s="39"/>
      <c r="J236" s="39"/>
      <c r="K236" s="42">
        <v>25.000</v>
      </c>
      <c r="L236" s="43">
        <f ca="1">ROUND((M232+M233+M234+M235)*(1+M2/100),2)</f>
        <v>0</v>
      </c>
      <c r="M236" s="43">
        <f ca="1">ROUND(K236*L236,2)</f>
        <v>0</v>
      </c>
      <c r="N236" s="11"/>
    </row>
    <row r="237" spans="1:14" ht="15.30" thickBot="1" customHeight="1">
      <c r="A237" s="44"/>
      <c r="B237" s="44"/>
      <c r="C237" s="44"/>
      <c r="D237" s="45" t="s">
        <v>692</v>
      </c>
      <c r="E237" s="46"/>
      <c r="F237" s="46"/>
      <c r="G237" s="46"/>
      <c r="H237" s="46"/>
      <c r="I237" s="46"/>
      <c r="J237" s="46"/>
      <c r="K237" s="46"/>
      <c r="L237" s="47">
        <f ca="1">M228</f>
        <v>0</v>
      </c>
      <c r="M237" s="47">
        <f ca="1">ROUND(L237,2)</f>
        <v>0</v>
      </c>
      <c r="N237" s="11"/>
    </row>
    <row r="238" spans="1:14" ht="15.30" thickBot="1" customHeight="1">
      <c r="A238" s="63" t="s">
        <v>693</v>
      </c>
      <c r="B238" s="63" t="s">
        <v>694</v>
      </c>
      <c r="C238" s="64"/>
      <c r="D238" s="65" t="s">
        <v>695</v>
      </c>
      <c r="E238" s="65"/>
      <c r="F238" s="65"/>
      <c r="G238" s="65"/>
      <c r="H238" s="65"/>
      <c r="I238" s="65"/>
      <c r="J238" s="65"/>
      <c r="K238" s="64"/>
      <c r="L238" s="66">
        <f ca="1">L248</f>
        <v>0</v>
      </c>
      <c r="M238" s="66">
        <f ca="1">ROUND(L238,2)</f>
        <v>0</v>
      </c>
      <c r="N238" s="11"/>
    </row>
    <row r="239" spans="1:14" ht="15.30" thickBot="1" customHeight="1">
      <c r="A239" s="17" t="s">
        <v>696</v>
      </c>
      <c r="B239" s="9" t="s">
        <v>697</v>
      </c>
      <c r="C239" s="9" t="s">
        <v>698</v>
      </c>
      <c r="D239" s="36" t="s">
        <v>699</v>
      </c>
      <c r="E239" s="36"/>
      <c r="F239" s="36"/>
      <c r="G239" s="36"/>
      <c r="H239" s="36"/>
      <c r="I239" s="36"/>
      <c r="J239" s="36"/>
      <c r="K239" s="37">
        <f ca="1">SUM(K242:K242)</f>
        <v>0</v>
      </c>
      <c r="L239" s="38">
        <f ca="1">L247</f>
        <v>0</v>
      </c>
      <c r="M239" s="38">
        <f ca="1">ROUND(K239*L239,2)</f>
        <v>0</v>
      </c>
      <c r="N239" s="11"/>
    </row>
    <row r="240" spans="1:14" ht="39.60" thickBot="1" customHeight="1">
      <c r="A240" s="11"/>
      <c r="B240" s="11"/>
      <c r="C240" s="11"/>
      <c r="D240" s="36" t="s">
        <v>700</v>
      </c>
      <c r="E240" s="36"/>
      <c r="F240" s="36"/>
      <c r="G240" s="36"/>
      <c r="H240" s="36"/>
      <c r="I240" s="36"/>
      <c r="J240" s="36"/>
      <c r="K240" s="36"/>
      <c r="L240" s="36"/>
      <c r="M240" s="36"/>
      <c r="N240" s="11"/>
    </row>
    <row r="241" spans="1:14" ht="15.06" thickBot="1" customHeight="1">
      <c r="A241" s="11"/>
      <c r="B241" s="11"/>
      <c r="C241" s="11"/>
      <c r="D241" s="11"/>
      <c r="E241" s="71"/>
      <c r="F241" s="73" t="s">
        <v>701</v>
      </c>
      <c r="G241" s="73" t="s">
        <v>702</v>
      </c>
      <c r="H241" s="73" t="s">
        <v>703</v>
      </c>
      <c r="I241" s="73" t="s">
        <v>704</v>
      </c>
      <c r="J241" s="73" t="s">
        <v>705</v>
      </c>
      <c r="K241" s="73" t="s">
        <v>706</v>
      </c>
      <c r="L241" s="11"/>
      <c r="M241" s="11"/>
      <c r="N241" s="11"/>
    </row>
    <row r="242" spans="1:14" ht="15.06" thickBot="1" customHeight="1">
      <c r="A242" s="11"/>
      <c r="B242" s="11"/>
      <c r="C242" s="11"/>
      <c r="D242" s="74"/>
      <c r="E242" s="75"/>
      <c r="F242" s="76">
        <v>1</v>
      </c>
      <c r="G242" s="77">
        <v>12.000</v>
      </c>
      <c r="H242" s="77"/>
      <c r="I242" s="77"/>
      <c r="J242" s="79">
        <f ca="1">ROUND(F242*G242,3)</f>
        <v>0</v>
      </c>
      <c r="K242" s="81">
        <f ca="1">SUM(J242:J242)</f>
        <v>0</v>
      </c>
      <c r="L242" s="11"/>
      <c r="M242" s="11"/>
      <c r="N242" s="11"/>
    </row>
    <row r="243" spans="1:14" ht="21.24" thickBot="1" customHeight="1">
      <c r="A243" s="9" t="s">
        <v>707</v>
      </c>
      <c r="B243" s="9" t="s">
        <v>708</v>
      </c>
      <c r="C243" s="9" t="s">
        <v>709</v>
      </c>
      <c r="D243" s="36" t="s">
        <v>710</v>
      </c>
      <c r="E243" s="36"/>
      <c r="F243" s="36"/>
      <c r="G243" s="36"/>
      <c r="H243" s="36"/>
      <c r="I243" s="36"/>
      <c r="J243" s="36"/>
      <c r="K243" s="37">
        <v>1.000</v>
      </c>
      <c r="L243" s="37">
        <f ca="1">ROUND(63.270,3)</f>
        <v>0</v>
      </c>
      <c r="M243" s="38">
        <f ca="1">ROUND(K243*L243,2)</f>
        <v>0</v>
      </c>
      <c r="N243" s="11"/>
    </row>
    <row r="244" spans="1:14" ht="15.06" thickBot="1" customHeight="1">
      <c r="A244" s="9" t="s">
        <v>711</v>
      </c>
      <c r="B244" s="9" t="s">
        <v>712</v>
      </c>
      <c r="C244" s="9" t="s">
        <v>713</v>
      </c>
      <c r="D244" s="36" t="s">
        <v>714</v>
      </c>
      <c r="E244" s="36"/>
      <c r="F244" s="36"/>
      <c r="G244" s="36"/>
      <c r="H244" s="36"/>
      <c r="I244" s="36"/>
      <c r="J244" s="36"/>
      <c r="K244" s="37">
        <v>0.386</v>
      </c>
      <c r="L244" s="37">
        <f ca="1">ROUND(30.630,3)</f>
        <v>0</v>
      </c>
      <c r="M244" s="38">
        <f ca="1">ROUND(K244*L244,2)</f>
        <v>0</v>
      </c>
      <c r="N244" s="11"/>
    </row>
    <row r="245" spans="1:14" ht="15.06" thickBot="1" customHeight="1">
      <c r="A245" s="9" t="s">
        <v>715</v>
      </c>
      <c r="B245" s="9" t="s">
        <v>716</v>
      </c>
      <c r="C245" s="9" t="s">
        <v>717</v>
      </c>
      <c r="D245" s="36" t="s">
        <v>718</v>
      </c>
      <c r="E245" s="36"/>
      <c r="F245" s="36"/>
      <c r="G245" s="36"/>
      <c r="H245" s="36"/>
      <c r="I245" s="36"/>
      <c r="J245" s="36"/>
      <c r="K245" s="37">
        <v>0.386</v>
      </c>
      <c r="L245" s="37">
        <f ca="1">ROUND(26.360,3)</f>
        <v>0</v>
      </c>
      <c r="M245" s="38">
        <f ca="1">ROUND(K245*L245,2)</f>
        <v>0</v>
      </c>
      <c r="N245" s="11"/>
    </row>
    <row r="246" spans="1:14" ht="15.06" thickBot="1" customHeight="1">
      <c r="A246" s="9" t="s">
        <v>719</v>
      </c>
      <c r="B246" s="9"/>
      <c r="C246" s="9" t="s">
        <v>720</v>
      </c>
      <c r="D246" s="36" t="s">
        <v>721</v>
      </c>
      <c r="E246" s="36"/>
      <c r="F246" s="36"/>
      <c r="G246" s="36"/>
      <c r="H246" s="36"/>
      <c r="I246" s="36"/>
      <c r="J246" s="36"/>
      <c r="K246" s="37">
        <v>2.000</v>
      </c>
      <c r="L246" s="37">
        <f ca="1">ROUND(85.26,2)</f>
        <v>0</v>
      </c>
      <c r="M246" s="38">
        <f ca="1">ROUND((K246*L246)/100,2)</f>
        <v>0</v>
      </c>
      <c r="N246" s="11"/>
    </row>
    <row r="247" spans="1:14" ht="15.30" thickBot="1" customHeight="1">
      <c r="A247" s="39"/>
      <c r="B247" s="39"/>
      <c r="C247" s="39"/>
      <c r="D247" s="40" t="s">
        <v>722</v>
      </c>
      <c r="E247" s="39"/>
      <c r="F247" s="39"/>
      <c r="G247" s="39"/>
      <c r="H247" s="39"/>
      <c r="I247" s="39"/>
      <c r="J247" s="39"/>
      <c r="K247" s="42">
        <v>12.000</v>
      </c>
      <c r="L247" s="43">
        <f ca="1">ROUND((M243+M244+M245+M246)*(1+M2/100),2)</f>
        <v>0</v>
      </c>
      <c r="M247" s="43">
        <f ca="1">ROUND(K247*L247,2)</f>
        <v>0</v>
      </c>
      <c r="N247" s="11"/>
    </row>
    <row r="248" spans="1:14" ht="15.30" thickBot="1" customHeight="1">
      <c r="A248" s="44"/>
      <c r="B248" s="44"/>
      <c r="C248" s="44"/>
      <c r="D248" s="45" t="s">
        <v>723</v>
      </c>
      <c r="E248" s="46"/>
      <c r="F248" s="46"/>
      <c r="G248" s="46"/>
      <c r="H248" s="46"/>
      <c r="I248" s="46"/>
      <c r="J248" s="46"/>
      <c r="K248" s="46"/>
      <c r="L248" s="47">
        <f ca="1">M239</f>
        <v>0</v>
      </c>
      <c r="M248" s="47">
        <f ca="1">ROUND(L248,2)</f>
        <v>0</v>
      </c>
      <c r="N248" s="11"/>
    </row>
    <row r="249" spans="1:14" ht="15.30" thickBot="1" customHeight="1">
      <c r="A249" s="63" t="s">
        <v>724</v>
      </c>
      <c r="B249" s="63" t="s">
        <v>725</v>
      </c>
      <c r="C249" s="64"/>
      <c r="D249" s="65" t="s">
        <v>726</v>
      </c>
      <c r="E249" s="65"/>
      <c r="F249" s="65"/>
      <c r="G249" s="65"/>
      <c r="H249" s="65"/>
      <c r="I249" s="65"/>
      <c r="J249" s="65"/>
      <c r="K249" s="64"/>
      <c r="L249" s="66">
        <f ca="1">L268</f>
        <v>0</v>
      </c>
      <c r="M249" s="66">
        <f ca="1">ROUND(L249,2)</f>
        <v>0</v>
      </c>
      <c r="N249" s="11"/>
    </row>
    <row r="250" spans="1:14" ht="15.30" thickBot="1" customHeight="1">
      <c r="A250" s="17" t="s">
        <v>727</v>
      </c>
      <c r="B250" s="9" t="s">
        <v>728</v>
      </c>
      <c r="C250" s="9" t="s">
        <v>729</v>
      </c>
      <c r="D250" s="36" t="s">
        <v>730</v>
      </c>
      <c r="E250" s="36"/>
      <c r="F250" s="36"/>
      <c r="G250" s="36"/>
      <c r="H250" s="36"/>
      <c r="I250" s="36"/>
      <c r="J250" s="36"/>
      <c r="K250" s="37">
        <f ca="1">SUM(K253:K253)</f>
        <v>0</v>
      </c>
      <c r="L250" s="38">
        <f ca="1">L258</f>
        <v>0</v>
      </c>
      <c r="M250" s="38">
        <f ca="1">ROUND(K250*L250,2)</f>
        <v>0</v>
      </c>
      <c r="N250" s="11"/>
    </row>
    <row r="251" spans="1:14" ht="57.96" thickBot="1" customHeight="1">
      <c r="A251" s="11"/>
      <c r="B251" s="11"/>
      <c r="C251" s="11"/>
      <c r="D251" s="36" t="s">
        <v>731</v>
      </c>
      <c r="E251" s="36"/>
      <c r="F251" s="36"/>
      <c r="G251" s="36"/>
      <c r="H251" s="36"/>
      <c r="I251" s="36"/>
      <c r="J251" s="36"/>
      <c r="K251" s="36"/>
      <c r="L251" s="36"/>
      <c r="M251" s="36"/>
      <c r="N251" s="11"/>
    </row>
    <row r="252" spans="1:14" ht="15.06" thickBot="1" customHeight="1">
      <c r="A252" s="11"/>
      <c r="B252" s="11"/>
      <c r="C252" s="11"/>
      <c r="D252" s="11"/>
      <c r="E252" s="71"/>
      <c r="F252" s="73" t="s">
        <v>732</v>
      </c>
      <c r="G252" s="73" t="s">
        <v>733</v>
      </c>
      <c r="H252" s="73" t="s">
        <v>734</v>
      </c>
      <c r="I252" s="73" t="s">
        <v>735</v>
      </c>
      <c r="J252" s="73" t="s">
        <v>736</v>
      </c>
      <c r="K252" s="73" t="s">
        <v>737</v>
      </c>
      <c r="L252" s="11"/>
      <c r="M252" s="11"/>
      <c r="N252" s="11"/>
    </row>
    <row r="253" spans="1:14" ht="15.06" thickBot="1" customHeight="1">
      <c r="A253" s="11"/>
      <c r="B253" s="11"/>
      <c r="C253" s="11"/>
      <c r="D253" s="74"/>
      <c r="E253" s="75" t="s">
        <v>738</v>
      </c>
      <c r="F253" s="76">
        <v>3</v>
      </c>
      <c r="G253" s="77">
        <v>12.000</v>
      </c>
      <c r="H253" s="77"/>
      <c r="I253" s="77"/>
      <c r="J253" s="79">
        <f ca="1">ROUND(F253*G253,3)</f>
        <v>0</v>
      </c>
      <c r="K253" s="81">
        <f ca="1">SUM(J253:J253)</f>
        <v>0</v>
      </c>
      <c r="L253" s="11"/>
      <c r="M253" s="11"/>
      <c r="N253" s="11"/>
    </row>
    <row r="254" spans="1:14" ht="39.60" thickBot="1" customHeight="1">
      <c r="A254" s="9" t="s">
        <v>739</v>
      </c>
      <c r="B254" s="9" t="s">
        <v>740</v>
      </c>
      <c r="C254" s="9" t="s">
        <v>741</v>
      </c>
      <c r="D254" s="36" t="s">
        <v>742</v>
      </c>
      <c r="E254" s="36"/>
      <c r="F254" s="36"/>
      <c r="G254" s="36"/>
      <c r="H254" s="36"/>
      <c r="I254" s="36"/>
      <c r="J254" s="36"/>
      <c r="K254" s="37">
        <v>1.000</v>
      </c>
      <c r="L254" s="37">
        <f ca="1">ROUND(19.960,3)</f>
        <v>0</v>
      </c>
      <c r="M254" s="38">
        <f ca="1">ROUND(K254*L254,2)</f>
        <v>0</v>
      </c>
      <c r="N254" s="11"/>
    </row>
    <row r="255" spans="1:14" ht="15.06" thickBot="1" customHeight="1">
      <c r="A255" s="9" t="s">
        <v>743</v>
      </c>
      <c r="B255" s="9" t="s">
        <v>744</v>
      </c>
      <c r="C255" s="9" t="s">
        <v>745</v>
      </c>
      <c r="D255" s="36" t="s">
        <v>746</v>
      </c>
      <c r="E255" s="36"/>
      <c r="F255" s="36"/>
      <c r="G255" s="36"/>
      <c r="H255" s="36"/>
      <c r="I255" s="36"/>
      <c r="J255" s="36"/>
      <c r="K255" s="37">
        <v>0.116</v>
      </c>
      <c r="L255" s="37">
        <f ca="1">ROUND(30.630,3)</f>
        <v>0</v>
      </c>
      <c r="M255" s="38">
        <f ca="1">ROUND(K255*L255,2)</f>
        <v>0</v>
      </c>
      <c r="N255" s="11"/>
    </row>
    <row r="256" spans="1:14" ht="15.06" thickBot="1" customHeight="1">
      <c r="A256" s="9" t="s">
        <v>747</v>
      </c>
      <c r="B256" s="9" t="s">
        <v>748</v>
      </c>
      <c r="C256" s="9" t="s">
        <v>749</v>
      </c>
      <c r="D256" s="36" t="s">
        <v>750</v>
      </c>
      <c r="E256" s="36"/>
      <c r="F256" s="36"/>
      <c r="G256" s="36"/>
      <c r="H256" s="36"/>
      <c r="I256" s="36"/>
      <c r="J256" s="36"/>
      <c r="K256" s="37">
        <v>0.116</v>
      </c>
      <c r="L256" s="37">
        <f ca="1">ROUND(26.360,3)</f>
        <v>0</v>
      </c>
      <c r="M256" s="38">
        <f ca="1">ROUND(K256*L256,2)</f>
        <v>0</v>
      </c>
      <c r="N256" s="11"/>
    </row>
    <row r="257" spans="1:14" ht="15.06" thickBot="1" customHeight="1">
      <c r="A257" s="9" t="s">
        <v>751</v>
      </c>
      <c r="B257" s="9"/>
      <c r="C257" s="9" t="s">
        <v>752</v>
      </c>
      <c r="D257" s="36" t="s">
        <v>753</v>
      </c>
      <c r="E257" s="36"/>
      <c r="F257" s="36"/>
      <c r="G257" s="36"/>
      <c r="H257" s="36"/>
      <c r="I257" s="36"/>
      <c r="J257" s="36"/>
      <c r="K257" s="37">
        <v>2.000</v>
      </c>
      <c r="L257" s="37">
        <f ca="1">ROUND(26.57,2)</f>
        <v>0</v>
      </c>
      <c r="M257" s="38">
        <f ca="1">ROUND((K257*L257)/100,2)</f>
        <v>0</v>
      </c>
      <c r="N257" s="11"/>
    </row>
    <row r="258" spans="1:14" ht="15.30" thickBot="1" customHeight="1">
      <c r="A258" s="39"/>
      <c r="B258" s="39"/>
      <c r="C258" s="39"/>
      <c r="D258" s="40" t="s">
        <v>754</v>
      </c>
      <c r="E258" s="39"/>
      <c r="F258" s="39"/>
      <c r="G258" s="39"/>
      <c r="H258" s="39"/>
      <c r="I258" s="39"/>
      <c r="J258" s="39"/>
      <c r="K258" s="42">
        <v>36.000</v>
      </c>
      <c r="L258" s="43">
        <f ca="1">ROUND((M254+M255+M256+M257)*(1+M2/100),2)</f>
        <v>0</v>
      </c>
      <c r="M258" s="43">
        <f ca="1">ROUND(K258*L258,2)</f>
        <v>0</v>
      </c>
      <c r="N258" s="11"/>
    </row>
    <row r="259" spans="1:14" ht="15.30" thickBot="1" customHeight="1">
      <c r="A259" s="58" t="s">
        <v>755</v>
      </c>
      <c r="B259" s="59" t="s">
        <v>756</v>
      </c>
      <c r="C259" s="59" t="s">
        <v>757</v>
      </c>
      <c r="D259" s="60" t="s">
        <v>758</v>
      </c>
      <c r="E259" s="60"/>
      <c r="F259" s="60"/>
      <c r="G259" s="60"/>
      <c r="H259" s="60"/>
      <c r="I259" s="60"/>
      <c r="J259" s="60"/>
      <c r="K259" s="61">
        <f ca="1">SUM(K262:K262)</f>
        <v>0</v>
      </c>
      <c r="L259" s="62">
        <f ca="1">L267</f>
        <v>0</v>
      </c>
      <c r="M259" s="62">
        <f ca="1">ROUND(K259*L259,2)</f>
        <v>0</v>
      </c>
      <c r="N259" s="11"/>
    </row>
    <row r="260" spans="1:14" ht="57.96" thickBot="1" customHeight="1">
      <c r="A260" s="11"/>
      <c r="B260" s="11"/>
      <c r="C260" s="11"/>
      <c r="D260" s="36" t="s">
        <v>759</v>
      </c>
      <c r="E260" s="36"/>
      <c r="F260" s="36"/>
      <c r="G260" s="36"/>
      <c r="H260" s="36"/>
      <c r="I260" s="36"/>
      <c r="J260" s="36"/>
      <c r="K260" s="36"/>
      <c r="L260" s="36"/>
      <c r="M260" s="36"/>
      <c r="N260" s="11"/>
    </row>
    <row r="261" spans="1:14" ht="15.06" thickBot="1" customHeight="1">
      <c r="A261" s="11"/>
      <c r="B261" s="11"/>
      <c r="C261" s="11"/>
      <c r="D261" s="11"/>
      <c r="E261" s="71"/>
      <c r="F261" s="73" t="s">
        <v>760</v>
      </c>
      <c r="G261" s="73" t="s">
        <v>761</v>
      </c>
      <c r="H261" s="73" t="s">
        <v>762</v>
      </c>
      <c r="I261" s="73" t="s">
        <v>763</v>
      </c>
      <c r="J261" s="73" t="s">
        <v>764</v>
      </c>
      <c r="K261" s="73" t="s">
        <v>765</v>
      </c>
      <c r="L261" s="11"/>
      <c r="M261" s="11"/>
      <c r="N261" s="11"/>
    </row>
    <row r="262" spans="1:14" ht="21.24" thickBot="1" customHeight="1">
      <c r="A262" s="11"/>
      <c r="B262" s="11"/>
      <c r="C262" s="11"/>
      <c r="D262" s="74"/>
      <c r="E262" s="75" t="s">
        <v>766</v>
      </c>
      <c r="F262" s="76">
        <v>2</v>
      </c>
      <c r="G262" s="77">
        <v>12.000</v>
      </c>
      <c r="H262" s="77"/>
      <c r="I262" s="77"/>
      <c r="J262" s="79">
        <f ca="1">ROUND(F262*G262,3)</f>
        <v>0</v>
      </c>
      <c r="K262" s="81">
        <f ca="1">SUM(J262:J262)</f>
        <v>0</v>
      </c>
      <c r="L262" s="11"/>
      <c r="M262" s="11"/>
      <c r="N262" s="11"/>
    </row>
    <row r="263" spans="1:14" ht="39.60" thickBot="1" customHeight="1">
      <c r="A263" s="9" t="s">
        <v>767</v>
      </c>
      <c r="B263" s="9" t="s">
        <v>768</v>
      </c>
      <c r="C263" s="9" t="s">
        <v>769</v>
      </c>
      <c r="D263" s="36" t="s">
        <v>770</v>
      </c>
      <c r="E263" s="36"/>
      <c r="F263" s="36"/>
      <c r="G263" s="36"/>
      <c r="H263" s="36"/>
      <c r="I263" s="36"/>
      <c r="J263" s="36"/>
      <c r="K263" s="37">
        <v>1.000</v>
      </c>
      <c r="L263" s="37">
        <f ca="1">ROUND(15.330,3)</f>
        <v>0</v>
      </c>
      <c r="M263" s="38">
        <f ca="1">ROUND(K263*L263,2)</f>
        <v>0</v>
      </c>
      <c r="N263" s="11"/>
    </row>
    <row r="264" spans="1:14" ht="15.06" thickBot="1" customHeight="1">
      <c r="A264" s="9" t="s">
        <v>771</v>
      </c>
      <c r="B264" s="9" t="s">
        <v>772</v>
      </c>
      <c r="C264" s="9" t="s">
        <v>773</v>
      </c>
      <c r="D264" s="36" t="s">
        <v>774</v>
      </c>
      <c r="E264" s="36"/>
      <c r="F264" s="36"/>
      <c r="G264" s="36"/>
      <c r="H264" s="36"/>
      <c r="I264" s="36"/>
      <c r="J264" s="36"/>
      <c r="K264" s="37">
        <v>0.116</v>
      </c>
      <c r="L264" s="37">
        <f ca="1">ROUND(30.630,3)</f>
        <v>0</v>
      </c>
      <c r="M264" s="38">
        <f ca="1">ROUND(K264*L264,2)</f>
        <v>0</v>
      </c>
      <c r="N264" s="11"/>
    </row>
    <row r="265" spans="1:14" ht="15.06" thickBot="1" customHeight="1">
      <c r="A265" s="9" t="s">
        <v>775</v>
      </c>
      <c r="B265" s="9" t="s">
        <v>776</v>
      </c>
      <c r="C265" s="9" t="s">
        <v>777</v>
      </c>
      <c r="D265" s="36" t="s">
        <v>778</v>
      </c>
      <c r="E265" s="36"/>
      <c r="F265" s="36"/>
      <c r="G265" s="36"/>
      <c r="H265" s="36"/>
      <c r="I265" s="36"/>
      <c r="J265" s="36"/>
      <c r="K265" s="37">
        <v>0.116</v>
      </c>
      <c r="L265" s="37">
        <f ca="1">ROUND(26.360,3)</f>
        <v>0</v>
      </c>
      <c r="M265" s="38">
        <f ca="1">ROUND(K265*L265,2)</f>
        <v>0</v>
      </c>
      <c r="N265" s="11"/>
    </row>
    <row r="266" spans="1:14" ht="15.06" thickBot="1" customHeight="1">
      <c r="A266" s="9" t="s">
        <v>779</v>
      </c>
      <c r="B266" s="9"/>
      <c r="C266" s="9" t="s">
        <v>780</v>
      </c>
      <c r="D266" s="36" t="s">
        <v>781</v>
      </c>
      <c r="E266" s="36"/>
      <c r="F266" s="36"/>
      <c r="G266" s="36"/>
      <c r="H266" s="36"/>
      <c r="I266" s="36"/>
      <c r="J266" s="36"/>
      <c r="K266" s="37">
        <v>2.000</v>
      </c>
      <c r="L266" s="37">
        <f ca="1">ROUND(21.94,2)</f>
        <v>0</v>
      </c>
      <c r="M266" s="38">
        <f ca="1">ROUND((K266*L266)/100,2)</f>
        <v>0</v>
      </c>
      <c r="N266" s="11"/>
    </row>
    <row r="267" spans="1:14" ht="15.30" thickBot="1" customHeight="1">
      <c r="A267" s="39"/>
      <c r="B267" s="39"/>
      <c r="C267" s="39"/>
      <c r="D267" s="40" t="s">
        <v>782</v>
      </c>
      <c r="E267" s="39"/>
      <c r="F267" s="39"/>
      <c r="G267" s="39"/>
      <c r="H267" s="39"/>
      <c r="I267" s="39"/>
      <c r="J267" s="39"/>
      <c r="K267" s="42">
        <v>24.000</v>
      </c>
      <c r="L267" s="43">
        <f ca="1">ROUND((M263+M264+M265+M266)*(1+M2/100),2)</f>
        <v>0</v>
      </c>
      <c r="M267" s="43">
        <f ca="1">ROUND(K267*L267,2)</f>
        <v>0</v>
      </c>
      <c r="N267" s="11"/>
    </row>
    <row r="268" spans="1:14" ht="15.30" thickBot="1" customHeight="1">
      <c r="A268" s="44"/>
      <c r="B268" s="44"/>
      <c r="C268" s="44"/>
      <c r="D268" s="45" t="s">
        <v>783</v>
      </c>
      <c r="E268" s="46"/>
      <c r="F268" s="46"/>
      <c r="G268" s="46"/>
      <c r="H268" s="46"/>
      <c r="I268" s="46"/>
      <c r="J268" s="46"/>
      <c r="K268" s="46"/>
      <c r="L268" s="47">
        <f ca="1">M250+M259</f>
        <v>0</v>
      </c>
      <c r="M268" s="47">
        <f ca="1">ROUND(L268,2)</f>
        <v>0</v>
      </c>
      <c r="N268" s="11"/>
    </row>
    <row r="269" spans="1:14" ht="15.30" thickBot="1" customHeight="1">
      <c r="A269" s="44"/>
      <c r="B269" s="44"/>
      <c r="C269" s="44"/>
      <c r="D269" s="48" t="s">
        <v>784</v>
      </c>
      <c r="E269" s="49"/>
      <c r="F269" s="49"/>
      <c r="G269" s="49"/>
      <c r="H269" s="49"/>
      <c r="I269" s="49"/>
      <c r="J269" s="49"/>
      <c r="K269" s="49"/>
      <c r="L269" s="50">
        <f ca="1">M220+M237+M248+M268</f>
        <v>0</v>
      </c>
      <c r="M269" s="50">
        <f ca="1">ROUND(L269,2)</f>
        <v>0</v>
      </c>
      <c r="N269" s="11"/>
    </row>
    <row r="270" spans="1:14" ht="15.30" thickBot="1" customHeight="1">
      <c r="A270" s="44"/>
      <c r="B270" s="44"/>
      <c r="C270" s="44"/>
      <c r="D270" s="51" t="s">
        <v>785</v>
      </c>
      <c r="E270" s="52"/>
      <c r="F270" s="52"/>
      <c r="G270" s="52"/>
      <c r="H270" s="52"/>
      <c r="I270" s="52"/>
      <c r="J270" s="52"/>
      <c r="K270" s="52"/>
      <c r="L270" s="53">
        <f ca="1">M218+M269</f>
        <v>0</v>
      </c>
      <c r="M270" s="53">
        <f ca="1">ROUND(L270,2)</f>
        <v>0</v>
      </c>
      <c r="N270" s="11"/>
    </row>
    <row r="271" spans="1:14" ht="15.30" thickBot="1" customHeight="1">
      <c r="A271" s="54" t="s">
        <v>786</v>
      </c>
      <c r="B271" s="54" t="s">
        <v>787</v>
      </c>
      <c r="C271" s="55"/>
      <c r="D271" s="56" t="s">
        <v>788</v>
      </c>
      <c r="E271" s="56"/>
      <c r="F271" s="56"/>
      <c r="G271" s="56"/>
      <c r="H271" s="56"/>
      <c r="I271" s="56"/>
      <c r="J271" s="56"/>
      <c r="K271" s="55"/>
      <c r="L271" s="57">
        <f ca="1">L290</f>
        <v>0</v>
      </c>
      <c r="M271" s="57">
        <f ca="1">ROUND(L271,2)</f>
        <v>0</v>
      </c>
      <c r="N271" s="11"/>
    </row>
    <row r="272" spans="1:14" ht="15.30" thickBot="1" customHeight="1">
      <c r="A272" s="28" t="s">
        <v>789</v>
      </c>
      <c r="B272" s="28" t="s">
        <v>790</v>
      </c>
      <c r="C272" s="29"/>
      <c r="D272" s="30" t="s">
        <v>791</v>
      </c>
      <c r="E272" s="30"/>
      <c r="F272" s="30"/>
      <c r="G272" s="30"/>
      <c r="H272" s="30"/>
      <c r="I272" s="30"/>
      <c r="J272" s="30"/>
      <c r="K272" s="29"/>
      <c r="L272" s="31">
        <f ca="1">L289</f>
        <v>0</v>
      </c>
      <c r="M272" s="31">
        <f ca="1">ROUND(L272,2)</f>
        <v>0</v>
      </c>
      <c r="N272" s="11"/>
    </row>
    <row r="273" spans="1:14" ht="15.30" thickBot="1" customHeight="1">
      <c r="A273" s="32" t="s">
        <v>792</v>
      </c>
      <c r="B273" s="32" t="s">
        <v>793</v>
      </c>
      <c r="C273" s="33"/>
      <c r="D273" s="34" t="s">
        <v>794</v>
      </c>
      <c r="E273" s="34"/>
      <c r="F273" s="34"/>
      <c r="G273" s="34"/>
      <c r="H273" s="34"/>
      <c r="I273" s="34"/>
      <c r="J273" s="34"/>
      <c r="K273" s="33"/>
      <c r="L273" s="35">
        <f ca="1">L281</f>
        <v>0</v>
      </c>
      <c r="M273" s="35">
        <f ca="1">ROUND(L273,2)</f>
        <v>0</v>
      </c>
      <c r="N273" s="11"/>
    </row>
    <row r="274" spans="1:14" ht="15.30" thickBot="1" customHeight="1">
      <c r="A274" s="17" t="s">
        <v>795</v>
      </c>
      <c r="B274" s="9" t="s">
        <v>796</v>
      </c>
      <c r="C274" s="9" t="s">
        <v>797</v>
      </c>
      <c r="D274" s="36" t="s">
        <v>798</v>
      </c>
      <c r="E274" s="36"/>
      <c r="F274" s="36"/>
      <c r="G274" s="36"/>
      <c r="H274" s="36"/>
      <c r="I274" s="36"/>
      <c r="J274" s="36"/>
      <c r="K274" s="37">
        <f ca="1">SUM(K277:K277)</f>
        <v>0</v>
      </c>
      <c r="L274" s="38">
        <f ca="1">L280</f>
        <v>0</v>
      </c>
      <c r="M274" s="38">
        <f ca="1">ROUND(K274*L274,2)</f>
        <v>0</v>
      </c>
      <c r="N274" s="11"/>
    </row>
    <row r="275" spans="1:14" ht="67.14" thickBot="1" customHeight="1">
      <c r="A275" s="11"/>
      <c r="B275" s="11"/>
      <c r="C275" s="11"/>
      <c r="D275" s="36" t="s">
        <v>799</v>
      </c>
      <c r="E275" s="36"/>
      <c r="F275" s="36"/>
      <c r="G275" s="36"/>
      <c r="H275" s="36"/>
      <c r="I275" s="36"/>
      <c r="J275" s="36"/>
      <c r="K275" s="36"/>
      <c r="L275" s="36"/>
      <c r="M275" s="36"/>
      <c r="N275" s="11"/>
    </row>
    <row r="276" spans="1:14" ht="15.06" thickBot="1" customHeight="1">
      <c r="A276" s="11"/>
      <c r="B276" s="11"/>
      <c r="C276" s="11"/>
      <c r="D276" s="11"/>
      <c r="E276" s="71"/>
      <c r="F276" s="73" t="s">
        <v>800</v>
      </c>
      <c r="G276" s="73" t="s">
        <v>801</v>
      </c>
      <c r="H276" s="73" t="s">
        <v>802</v>
      </c>
      <c r="I276" s="73" t="s">
        <v>803</v>
      </c>
      <c r="J276" s="73" t="s">
        <v>804</v>
      </c>
      <c r="K276" s="73" t="s">
        <v>805</v>
      </c>
      <c r="L276" s="11"/>
      <c r="M276" s="11"/>
      <c r="N276" s="11"/>
    </row>
    <row r="277" spans="1:14" ht="15.06" thickBot="1" customHeight="1">
      <c r="A277" s="11"/>
      <c r="B277" s="11"/>
      <c r="C277" s="11"/>
      <c r="D277" s="74"/>
      <c r="E277" s="75" t="s">
        <v>806</v>
      </c>
      <c r="F277" s="76">
        <v>15</v>
      </c>
      <c r="G277" s="77"/>
      <c r="H277" s="77"/>
      <c r="I277" s="77"/>
      <c r="J277" s="79">
        <f ca="1">ROUND(F277,3)</f>
        <v>0</v>
      </c>
      <c r="K277" s="81">
        <f ca="1">SUM(J277:J277)</f>
        <v>0</v>
      </c>
      <c r="L277" s="11"/>
      <c r="M277" s="11"/>
      <c r="N277" s="11"/>
    </row>
    <row r="278" spans="1:14" ht="24.24" thickBot="1" customHeight="1">
      <c r="A278" s="9" t="s">
        <v>807</v>
      </c>
      <c r="B278" s="9" t="s">
        <v>808</v>
      </c>
      <c r="C278" s="9" t="s">
        <v>809</v>
      </c>
      <c r="D278" s="36" t="s">
        <v>810</v>
      </c>
      <c r="E278" s="36"/>
      <c r="F278" s="36"/>
      <c r="G278" s="36"/>
      <c r="H278" s="36"/>
      <c r="I278" s="36"/>
      <c r="J278" s="36"/>
      <c r="K278" s="37">
        <v>1.179</v>
      </c>
      <c r="L278" s="37">
        <f ca="1">ROUND(85.530,3)</f>
        <v>0</v>
      </c>
      <c r="M278" s="38">
        <f ca="1">ROUND(K278*L278,2)</f>
        <v>0</v>
      </c>
      <c r="N278" s="11"/>
    </row>
    <row r="279" spans="1:14" ht="15.06" thickBot="1" customHeight="1">
      <c r="A279" s="9" t="s">
        <v>811</v>
      </c>
      <c r="B279" s="9"/>
      <c r="C279" s="9" t="s">
        <v>812</v>
      </c>
      <c r="D279" s="36" t="s">
        <v>813</v>
      </c>
      <c r="E279" s="36"/>
      <c r="F279" s="36"/>
      <c r="G279" s="36"/>
      <c r="H279" s="36"/>
      <c r="I279" s="36"/>
      <c r="J279" s="36"/>
      <c r="K279" s="37">
        <v>2.000</v>
      </c>
      <c r="L279" s="37">
        <f ca="1">ROUND(100.84,2)</f>
        <v>0</v>
      </c>
      <c r="M279" s="38">
        <f ca="1">ROUND((K279*L279)/100,2)</f>
        <v>0</v>
      </c>
      <c r="N279" s="11"/>
    </row>
    <row r="280" spans="1:14" ht="15.30" thickBot="1" customHeight="1">
      <c r="A280" s="39"/>
      <c r="B280" s="39"/>
      <c r="C280" s="39"/>
      <c r="D280" s="40" t="s">
        <v>814</v>
      </c>
      <c r="E280" s="39"/>
      <c r="F280" s="39"/>
      <c r="G280" s="39"/>
      <c r="H280" s="39"/>
      <c r="I280" s="39"/>
      <c r="J280" s="39"/>
      <c r="K280" s="42">
        <v>15.000</v>
      </c>
      <c r="L280" s="43">
        <f ca="1">ROUND((M278+M279)*(1+M2/100),2)</f>
        <v>0</v>
      </c>
      <c r="M280" s="43">
        <f ca="1">ROUND(K280*L280,2)</f>
        <v>0</v>
      </c>
      <c r="N280" s="11"/>
    </row>
    <row r="281" spans="1:14" ht="15.30" thickBot="1" customHeight="1">
      <c r="A281" s="44"/>
      <c r="B281" s="44"/>
      <c r="C281" s="44"/>
      <c r="D281" s="45" t="s">
        <v>815</v>
      </c>
      <c r="E281" s="46"/>
      <c r="F281" s="46"/>
      <c r="G281" s="46"/>
      <c r="H281" s="46"/>
      <c r="I281" s="46"/>
      <c r="J281" s="46"/>
      <c r="K281" s="46"/>
      <c r="L281" s="47">
        <f ca="1">M274</f>
        <v>0</v>
      </c>
      <c r="M281" s="47">
        <f ca="1">ROUND(L281,2)</f>
        <v>0</v>
      </c>
      <c r="N281" s="11"/>
    </row>
    <row r="282" spans="1:14" ht="15.30" thickBot="1" customHeight="1">
      <c r="A282" s="63" t="s">
        <v>816</v>
      </c>
      <c r="B282" s="63" t="s">
        <v>817</v>
      </c>
      <c r="C282" s="64"/>
      <c r="D282" s="65" t="s">
        <v>818</v>
      </c>
      <c r="E282" s="65"/>
      <c r="F282" s="65"/>
      <c r="G282" s="65"/>
      <c r="H282" s="65"/>
      <c r="I282" s="65"/>
      <c r="J282" s="65"/>
      <c r="K282" s="64"/>
      <c r="L282" s="66">
        <f ca="1">L288</f>
        <v>0</v>
      </c>
      <c r="M282" s="66">
        <f ca="1">ROUND(L282,2)</f>
        <v>0</v>
      </c>
      <c r="N282" s="11"/>
    </row>
    <row r="283" spans="1:14" ht="15.30" thickBot="1" customHeight="1">
      <c r="A283" s="17" t="s">
        <v>819</v>
      </c>
      <c r="B283" s="9" t="s">
        <v>820</v>
      </c>
      <c r="C283" s="9" t="s">
        <v>821</v>
      </c>
      <c r="D283" s="36" t="s">
        <v>822</v>
      </c>
      <c r="E283" s="36"/>
      <c r="F283" s="36"/>
      <c r="G283" s="36"/>
      <c r="H283" s="36"/>
      <c r="I283" s="36"/>
      <c r="J283" s="36"/>
      <c r="K283" s="37">
        <f ca="1">ROUND(7.77,2)</f>
        <v>0</v>
      </c>
      <c r="L283" s="38">
        <f ca="1">L287</f>
        <v>0</v>
      </c>
      <c r="M283" s="38">
        <f ca="1">ROUND(K283*L283,2)</f>
        <v>0</v>
      </c>
      <c r="N283" s="11"/>
    </row>
    <row r="284" spans="1:14" ht="67.14" thickBot="1" customHeight="1">
      <c r="A284" s="11"/>
      <c r="B284" s="11"/>
      <c r="C284" s="11"/>
      <c r="D284" s="36" t="s">
        <v>823</v>
      </c>
      <c r="E284" s="36"/>
      <c r="F284" s="36"/>
      <c r="G284" s="36"/>
      <c r="H284" s="36"/>
      <c r="I284" s="36"/>
      <c r="J284" s="36"/>
      <c r="K284" s="36"/>
      <c r="L284" s="36"/>
      <c r="M284" s="36"/>
      <c r="N284" s="11"/>
    </row>
    <row r="285" spans="1:14" ht="30.42" thickBot="1" customHeight="1">
      <c r="A285" s="9" t="s">
        <v>824</v>
      </c>
      <c r="B285" s="9" t="s">
        <v>825</v>
      </c>
      <c r="C285" s="9" t="s">
        <v>826</v>
      </c>
      <c r="D285" s="36" t="s">
        <v>827</v>
      </c>
      <c r="E285" s="36"/>
      <c r="F285" s="36"/>
      <c r="G285" s="36"/>
      <c r="H285" s="36"/>
      <c r="I285" s="36"/>
      <c r="J285" s="36"/>
      <c r="K285" s="37">
        <v>1.179</v>
      </c>
      <c r="L285" s="37">
        <f ca="1">ROUND(44.850,3)</f>
        <v>0</v>
      </c>
      <c r="M285" s="38">
        <f ca="1">ROUND(K285*L285,2)</f>
        <v>0</v>
      </c>
      <c r="N285" s="11"/>
    </row>
    <row r="286" spans="1:14" ht="15.06" thickBot="1" customHeight="1">
      <c r="A286" s="9" t="s">
        <v>828</v>
      </c>
      <c r="B286" s="9"/>
      <c r="C286" s="9" t="s">
        <v>829</v>
      </c>
      <c r="D286" s="36" t="s">
        <v>830</v>
      </c>
      <c r="E286" s="36"/>
      <c r="F286" s="36"/>
      <c r="G286" s="36"/>
      <c r="H286" s="36"/>
      <c r="I286" s="36"/>
      <c r="J286" s="36"/>
      <c r="K286" s="37">
        <v>2.000</v>
      </c>
      <c r="L286" s="37">
        <f ca="1">ROUND(52.88,2)</f>
        <v>0</v>
      </c>
      <c r="M286" s="38">
        <f ca="1">ROUND((K286*L286)/100,2)</f>
        <v>0</v>
      </c>
      <c r="N286" s="11"/>
    </row>
    <row r="287" spans="1:14" ht="15.30" thickBot="1" customHeight="1">
      <c r="A287" s="39"/>
      <c r="B287" s="39"/>
      <c r="C287" s="39"/>
      <c r="D287" s="40" t="s">
        <v>831</v>
      </c>
      <c r="E287" s="39"/>
      <c r="F287" s="39"/>
      <c r="G287" s="39"/>
      <c r="H287" s="39"/>
      <c r="I287" s="39"/>
      <c r="J287" s="39"/>
      <c r="K287" s="42">
        <v>7.771</v>
      </c>
      <c r="L287" s="43">
        <f ca="1">ROUND((M285+M286)*(1+M2/100),2)</f>
        <v>0</v>
      </c>
      <c r="M287" s="43">
        <f ca="1">ROUND(K287*L287,2)</f>
        <v>0</v>
      </c>
      <c r="N287" s="11"/>
    </row>
    <row r="288" spans="1:14" ht="15.30" thickBot="1" customHeight="1">
      <c r="A288" s="44"/>
      <c r="B288" s="44"/>
      <c r="C288" s="44"/>
      <c r="D288" s="45" t="s">
        <v>832</v>
      </c>
      <c r="E288" s="46"/>
      <c r="F288" s="46"/>
      <c r="G288" s="46"/>
      <c r="H288" s="46"/>
      <c r="I288" s="46"/>
      <c r="J288" s="46"/>
      <c r="K288" s="46"/>
      <c r="L288" s="47">
        <f ca="1">M283</f>
        <v>0</v>
      </c>
      <c r="M288" s="47">
        <f ca="1">ROUND(L288,2)</f>
        <v>0</v>
      </c>
      <c r="N288" s="11"/>
    </row>
    <row r="289" spans="1:14" ht="15.30" thickBot="1" customHeight="1">
      <c r="A289" s="44"/>
      <c r="B289" s="44"/>
      <c r="C289" s="44"/>
      <c r="D289" s="48" t="s">
        <v>833</v>
      </c>
      <c r="E289" s="49"/>
      <c r="F289" s="49"/>
      <c r="G289" s="49"/>
      <c r="H289" s="49"/>
      <c r="I289" s="49"/>
      <c r="J289" s="49"/>
      <c r="K289" s="49"/>
      <c r="L289" s="50">
        <f ca="1">M281+M288</f>
        <v>0</v>
      </c>
      <c r="M289" s="50">
        <f ca="1">ROUND(L289,2)</f>
        <v>0</v>
      </c>
      <c r="N289" s="11"/>
    </row>
    <row r="290" spans="1:14" ht="15.30" thickBot="1" customHeight="1">
      <c r="A290" s="44"/>
      <c r="B290" s="44"/>
      <c r="C290" s="44"/>
      <c r="D290" s="51" t="s">
        <v>834</v>
      </c>
      <c r="E290" s="52"/>
      <c r="F290" s="52"/>
      <c r="G290" s="52"/>
      <c r="H290" s="52"/>
      <c r="I290" s="52"/>
      <c r="J290" s="52"/>
      <c r="K290" s="52"/>
      <c r="L290" s="53">
        <f ca="1">M289</f>
        <v>0</v>
      </c>
      <c r="M290" s="53">
        <f ca="1">ROUND(L290,2)</f>
        <v>0</v>
      </c>
      <c r="N290" s="11"/>
    </row>
    <row r="291" spans="1:14" ht="15.30" thickBot="1" customHeight="1">
      <c r="A291" s="54" t="s">
        <v>835</v>
      </c>
      <c r="B291" s="54" t="s">
        <v>836</v>
      </c>
      <c r="C291" s="55"/>
      <c r="D291" s="56" t="s">
        <v>837</v>
      </c>
      <c r="E291" s="56"/>
      <c r="F291" s="56"/>
      <c r="G291" s="56"/>
      <c r="H291" s="56"/>
      <c r="I291" s="56"/>
      <c r="J291" s="56"/>
      <c r="K291" s="55"/>
      <c r="L291" s="57">
        <f ca="1">L300</f>
        <v>0</v>
      </c>
      <c r="M291" s="57">
        <f ca="1">ROUND(L291,2)</f>
        <v>0</v>
      </c>
      <c r="N291" s="11"/>
    </row>
    <row r="292" spans="1:14" ht="15.30" thickBot="1" customHeight="1">
      <c r="A292" s="17" t="s">
        <v>838</v>
      </c>
      <c r="B292" s="9" t="s">
        <v>839</v>
      </c>
      <c r="C292" s="9" t="s">
        <v>840</v>
      </c>
      <c r="D292" s="36" t="s">
        <v>841</v>
      </c>
      <c r="E292" s="36"/>
      <c r="F292" s="36"/>
      <c r="G292" s="36"/>
      <c r="H292" s="36"/>
      <c r="I292" s="36"/>
      <c r="J292" s="36"/>
      <c r="K292" s="37">
        <f ca="1">ROUND(1.00,2)</f>
        <v>0</v>
      </c>
      <c r="L292" s="38">
        <f ca="1">ROUND(2912.621*(1+M2/100),2)</f>
        <v>0</v>
      </c>
      <c r="M292" s="38">
        <f ca="1">ROUND(K292*L292,2)</f>
        <v>0</v>
      </c>
      <c r="N292" s="11"/>
    </row>
    <row r="293" spans="1:14" ht="48.78" thickBot="1" customHeight="1">
      <c r="A293" s="11"/>
      <c r="B293" s="11"/>
      <c r="C293" s="11"/>
      <c r="D293" s="36" t="s">
        <v>842</v>
      </c>
      <c r="E293" s="36"/>
      <c r="F293" s="36"/>
      <c r="G293" s="36"/>
      <c r="H293" s="36"/>
      <c r="I293" s="36"/>
      <c r="J293" s="36"/>
      <c r="K293" s="36"/>
      <c r="L293" s="36"/>
      <c r="M293" s="36"/>
      <c r="N293" s="11"/>
    </row>
    <row r="294" spans="1:14" ht="15.30" thickBot="1" customHeight="1">
      <c r="A294" s="17" t="s">
        <v>843</v>
      </c>
      <c r="B294" s="9" t="s">
        <v>844</v>
      </c>
      <c r="C294" s="9" t="s">
        <v>845</v>
      </c>
      <c r="D294" s="36" t="s">
        <v>846</v>
      </c>
      <c r="E294" s="36"/>
      <c r="F294" s="36"/>
      <c r="G294" s="36"/>
      <c r="H294" s="36"/>
      <c r="I294" s="36"/>
      <c r="J294" s="36"/>
      <c r="K294" s="37">
        <f ca="1">ROUND(1.00,2)</f>
        <v>0</v>
      </c>
      <c r="L294" s="38">
        <f ca="1">ROUND(485.437*(1+M2/100),2)</f>
        <v>0</v>
      </c>
      <c r="M294" s="38">
        <f ca="1">ROUND(K294*L294,2)</f>
        <v>0</v>
      </c>
      <c r="N294" s="11"/>
    </row>
    <row r="295" spans="1:14" ht="39.60" thickBot="1" customHeight="1">
      <c r="A295" s="11"/>
      <c r="B295" s="11"/>
      <c r="C295" s="11"/>
      <c r="D295" s="36" t="s">
        <v>847</v>
      </c>
      <c r="E295" s="36"/>
      <c r="F295" s="36"/>
      <c r="G295" s="36"/>
      <c r="H295" s="36"/>
      <c r="I295" s="36"/>
      <c r="J295" s="36"/>
      <c r="K295" s="36"/>
      <c r="L295" s="36"/>
      <c r="M295" s="36"/>
      <c r="N295" s="11"/>
    </row>
    <row r="296" spans="1:14" ht="15.30" thickBot="1" customHeight="1">
      <c r="A296" s="17" t="s">
        <v>848</v>
      </c>
      <c r="B296" s="9" t="s">
        <v>849</v>
      </c>
      <c r="C296" s="9" t="s">
        <v>850</v>
      </c>
      <c r="D296" s="36" t="s">
        <v>851</v>
      </c>
      <c r="E296" s="36"/>
      <c r="F296" s="36"/>
      <c r="G296" s="36"/>
      <c r="H296" s="36"/>
      <c r="I296" s="36"/>
      <c r="J296" s="36"/>
      <c r="K296" s="37">
        <f ca="1">ROUND(1.00,2)</f>
        <v>0</v>
      </c>
      <c r="L296" s="38">
        <f ca="1">ROUND(1456.311*(1+M2/100),2)</f>
        <v>0</v>
      </c>
      <c r="M296" s="38">
        <f ca="1">ROUND(K296*L296,2)</f>
        <v>0</v>
      </c>
      <c r="N296" s="11"/>
    </row>
    <row r="297" spans="1:14" ht="12.06" thickBot="1" customHeight="1">
      <c r="A297" s="11"/>
      <c r="B297" s="11"/>
      <c r="C297" s="11"/>
      <c r="D297" s="36" t="s">
        <v>852</v>
      </c>
      <c r="E297" s="36"/>
      <c r="F297" s="36"/>
      <c r="G297" s="36"/>
      <c r="H297" s="36"/>
      <c r="I297" s="36"/>
      <c r="J297" s="36"/>
      <c r="K297" s="36"/>
      <c r="L297" s="36"/>
      <c r="M297" s="36"/>
      <c r="N297" s="11"/>
    </row>
    <row r="298" spans="1:14" ht="15.30" thickBot="1" customHeight="1">
      <c r="A298" s="17" t="s">
        <v>853</v>
      </c>
      <c r="B298" s="9" t="s">
        <v>854</v>
      </c>
      <c r="C298" s="9" t="s">
        <v>855</v>
      </c>
      <c r="D298" s="36" t="s">
        <v>856</v>
      </c>
      <c r="E298" s="36"/>
      <c r="F298" s="36"/>
      <c r="G298" s="36"/>
      <c r="H298" s="36"/>
      <c r="I298" s="36"/>
      <c r="J298" s="36"/>
      <c r="K298" s="37">
        <f ca="1">ROUND(1.00,2)</f>
        <v>0</v>
      </c>
      <c r="L298" s="38">
        <f ca="1">ROUND(728.155*(1+M2/100),2)</f>
        <v>0</v>
      </c>
      <c r="M298" s="38">
        <f ca="1">ROUND(K298*L298,2)</f>
        <v>0</v>
      </c>
      <c r="N298" s="11"/>
    </row>
    <row r="299" spans="1:14" ht="57.96" thickBot="1" customHeight="1">
      <c r="A299" s="11"/>
      <c r="B299" s="11"/>
      <c r="C299" s="11"/>
      <c r="D299" s="36" t="s">
        <v>857</v>
      </c>
      <c r="E299" s="36"/>
      <c r="F299" s="36"/>
      <c r="G299" s="36"/>
      <c r="H299" s="36"/>
      <c r="I299" s="36"/>
      <c r="J299" s="36"/>
      <c r="K299" s="36"/>
      <c r="L299" s="36"/>
      <c r="M299" s="36"/>
      <c r="N299" s="11"/>
    </row>
    <row r="300" spans="1:14" ht="15.30" thickBot="1" customHeight="1">
      <c r="A300" s="39"/>
      <c r="B300" s="39"/>
      <c r="C300" s="39"/>
      <c r="D300" s="82" t="s">
        <v>858</v>
      </c>
      <c r="E300" s="83"/>
      <c r="F300" s="83"/>
      <c r="G300" s="83"/>
      <c r="H300" s="83"/>
      <c r="I300" s="83"/>
      <c r="J300" s="83"/>
      <c r="K300" s="83"/>
      <c r="L300" s="84">
        <f ca="1">M292+M294+M296+M298</f>
        <v>0</v>
      </c>
      <c r="M300" s="84">
        <f ca="1">ROUND(L300,2)</f>
        <v>0</v>
      </c>
      <c r="N300" s="11"/>
    </row>
    <row r="301" spans="1:14" ht="15.30" thickBot="1" customHeight="1">
      <c r="A301" s="54" t="s">
        <v>859</v>
      </c>
      <c r="B301" s="54" t="s">
        <v>860</v>
      </c>
      <c r="C301" s="55"/>
      <c r="D301" s="56" t="s">
        <v>861</v>
      </c>
      <c r="E301" s="56"/>
      <c r="F301" s="56"/>
      <c r="G301" s="56"/>
      <c r="H301" s="56"/>
      <c r="I301" s="56"/>
      <c r="J301" s="56"/>
      <c r="K301" s="55"/>
      <c r="L301" s="57">
        <f ca="1">L304</f>
        <v>0</v>
      </c>
      <c r="M301" s="57">
        <f ca="1">ROUND(L301,2)</f>
        <v>0</v>
      </c>
      <c r="N301" s="11"/>
    </row>
    <row r="302" spans="1:14" ht="15.30" thickBot="1" customHeight="1">
      <c r="A302" s="17" t="s">
        <v>862</v>
      </c>
      <c r="B302" s="9" t="s">
        <v>863</v>
      </c>
      <c r="C302" s="9" t="s">
        <v>864</v>
      </c>
      <c r="D302" s="36" t="s">
        <v>865</v>
      </c>
      <c r="E302" s="36"/>
      <c r="F302" s="36"/>
      <c r="G302" s="36"/>
      <c r="H302" s="36"/>
      <c r="I302" s="36"/>
      <c r="J302" s="36"/>
      <c r="K302" s="37">
        <f ca="1">ROUND(1.00,2)</f>
        <v>0</v>
      </c>
      <c r="L302" s="38">
        <f ca="1">ROUND(2621.359*(1+M2/100),2)</f>
        <v>0</v>
      </c>
      <c r="M302" s="38">
        <f ca="1">ROUND(K302*L302,2)</f>
        <v>0</v>
      </c>
      <c r="N302" s="11"/>
    </row>
    <row r="303" spans="1:14" ht="12.06" thickBot="1" customHeight="1">
      <c r="A303" s="11"/>
      <c r="B303" s="11"/>
      <c r="C303" s="11"/>
      <c r="D303" s="36" t="s">
        <v>866</v>
      </c>
      <c r="E303" s="36"/>
      <c r="F303" s="36"/>
      <c r="G303" s="36"/>
      <c r="H303" s="36"/>
      <c r="I303" s="36"/>
      <c r="J303" s="36"/>
      <c r="K303" s="36"/>
      <c r="L303" s="36"/>
      <c r="M303" s="36"/>
      <c r="N303" s="11"/>
    </row>
    <row r="304" spans="1:14" ht="15.30" thickBot="1" customHeight="1">
      <c r="A304" s="39"/>
      <c r="B304" s="39"/>
      <c r="C304" s="39"/>
      <c r="D304" s="82" t="s">
        <v>867</v>
      </c>
      <c r="E304" s="83"/>
      <c r="F304" s="83"/>
      <c r="G304" s="83"/>
      <c r="H304" s="83"/>
      <c r="I304" s="83"/>
      <c r="J304" s="83"/>
      <c r="K304" s="83"/>
      <c r="L304" s="84">
        <f ca="1">M302</f>
        <v>0</v>
      </c>
      <c r="M304" s="84">
        <f ca="1">ROUND(L304,2)</f>
        <v>0</v>
      </c>
      <c r="N304" s="11"/>
    </row>
    <row r="305" spans="1:14" ht="24.72" thickBot="1" customHeight="1">
      <c r="A305" s="44"/>
      <c r="B305" s="44"/>
      <c r="C305" s="44"/>
      <c r="D305" s="85" t="s">
        <v>868</v>
      </c>
      <c r="E305" s="86"/>
      <c r="F305" s="86"/>
      <c r="G305" s="86"/>
      <c r="H305" s="86"/>
      <c r="I305" s="86"/>
      <c r="J305" s="86"/>
      <c r="K305" s="86"/>
      <c r="L305" s="87">
        <f ca="1">M15+M27+M42+M51+M74+M270+M290+M300+M304</f>
        <v>0</v>
      </c>
      <c r="M305" s="87">
        <f ca="1">ROUND(L305,2)</f>
        <v>0</v>
      </c>
      <c r="N305" s="11"/>
    </row>
  </sheetData>
  <mergeCells count="236">
    <mergeCell ref="B1:M1"/>
    <mergeCell ref="A2:C2"/>
    <mergeCell ref="D4:J4"/>
    <mergeCell ref="D5:J5"/>
    <mergeCell ref="D6:J6"/>
    <mergeCell ref="D7:J7"/>
    <mergeCell ref="D8:J8"/>
    <mergeCell ref="D9:M9"/>
    <mergeCell ref="D10:J10"/>
    <mergeCell ref="D11:J11"/>
    <mergeCell ref="D16:J16"/>
    <mergeCell ref="D17:J17"/>
    <mergeCell ref="D18:J18"/>
    <mergeCell ref="D19:J19"/>
    <mergeCell ref="D20:M20"/>
    <mergeCell ref="D21:J21"/>
    <mergeCell ref="D22:J22"/>
    <mergeCell ref="D23:J23"/>
    <mergeCell ref="D28:J28"/>
    <mergeCell ref="D29:J29"/>
    <mergeCell ref="D30:M30"/>
    <mergeCell ref="D31:J31"/>
    <mergeCell ref="D32:J32"/>
    <mergeCell ref="D33:J33"/>
    <mergeCell ref="D35:J35"/>
    <mergeCell ref="D36:M36"/>
    <mergeCell ref="D37:J37"/>
    <mergeCell ref="D38:J38"/>
    <mergeCell ref="D39:J39"/>
    <mergeCell ref="D40:J40"/>
    <mergeCell ref="D43:J43"/>
    <mergeCell ref="D44:J44"/>
    <mergeCell ref="D45:M45"/>
    <mergeCell ref="D46:J46"/>
    <mergeCell ref="D47:J47"/>
    <mergeCell ref="D48:J48"/>
    <mergeCell ref="D49:J49"/>
    <mergeCell ref="D52:J52"/>
    <mergeCell ref="D53:J53"/>
    <mergeCell ref="D54:J54"/>
    <mergeCell ref="D55:J55"/>
    <mergeCell ref="D56:M56"/>
    <mergeCell ref="D57:J57"/>
    <mergeCell ref="D58:J58"/>
    <mergeCell ref="D59:J59"/>
    <mergeCell ref="D60:J60"/>
    <mergeCell ref="D61:J61"/>
    <mergeCell ref="D62:J62"/>
    <mergeCell ref="D63:J63"/>
    <mergeCell ref="D66:J66"/>
    <mergeCell ref="D67:J67"/>
    <mergeCell ref="D68:M68"/>
    <mergeCell ref="D69:J69"/>
    <mergeCell ref="D70:J70"/>
    <mergeCell ref="D75:J75"/>
    <mergeCell ref="D76:J76"/>
    <mergeCell ref="D77:J77"/>
    <mergeCell ref="D78:J78"/>
    <mergeCell ref="D79:M79"/>
    <mergeCell ref="D80:J80"/>
    <mergeCell ref="D81:J81"/>
    <mergeCell ref="D82:J82"/>
    <mergeCell ref="D84:J84"/>
    <mergeCell ref="D85:M85"/>
    <mergeCell ref="D86:J86"/>
    <mergeCell ref="D87:J87"/>
    <mergeCell ref="D88:J88"/>
    <mergeCell ref="D89:J89"/>
    <mergeCell ref="D90:J90"/>
    <mergeCell ref="D92:J92"/>
    <mergeCell ref="D93:M93"/>
    <mergeCell ref="D94:J94"/>
    <mergeCell ref="D95:J95"/>
    <mergeCell ref="D96:J96"/>
    <mergeCell ref="D97:J97"/>
    <mergeCell ref="D99:J99"/>
    <mergeCell ref="D100:M100"/>
    <mergeCell ref="D101:J101"/>
    <mergeCell ref="D102:J102"/>
    <mergeCell ref="D103:J103"/>
    <mergeCell ref="D104:J104"/>
    <mergeCell ref="D105:J105"/>
    <mergeCell ref="D107:J107"/>
    <mergeCell ref="D108:M108"/>
    <mergeCell ref="D109:J109"/>
    <mergeCell ref="D110:J110"/>
    <mergeCell ref="D111:J111"/>
    <mergeCell ref="D112:J112"/>
    <mergeCell ref="D113:J113"/>
    <mergeCell ref="D115:J115"/>
    <mergeCell ref="D116:M116"/>
    <mergeCell ref="D117:J117"/>
    <mergeCell ref="D118:J118"/>
    <mergeCell ref="D119:J119"/>
    <mergeCell ref="D120:J120"/>
    <mergeCell ref="D121:J121"/>
    <mergeCell ref="D122:J122"/>
    <mergeCell ref="D123:J123"/>
    <mergeCell ref="D124:J124"/>
    <mergeCell ref="D126:J126"/>
    <mergeCell ref="D127:M127"/>
    <mergeCell ref="D128:J128"/>
    <mergeCell ref="D129:J129"/>
    <mergeCell ref="D130:J130"/>
    <mergeCell ref="D131:J131"/>
    <mergeCell ref="D133:J133"/>
    <mergeCell ref="D134:M134"/>
    <mergeCell ref="D135:J135"/>
    <mergeCell ref="D136:J136"/>
    <mergeCell ref="D137:J137"/>
    <mergeCell ref="D138:J138"/>
    <mergeCell ref="D139:J139"/>
    <mergeCell ref="D140:J140"/>
    <mergeCell ref="D141:J141"/>
    <mergeCell ref="D143:J143"/>
    <mergeCell ref="D144:M144"/>
    <mergeCell ref="D145:J145"/>
    <mergeCell ref="D146:J146"/>
    <mergeCell ref="D147:J147"/>
    <mergeCell ref="D148:J148"/>
    <mergeCell ref="D150:J150"/>
    <mergeCell ref="D151:M151"/>
    <mergeCell ref="D152:J152"/>
    <mergeCell ref="D153:J153"/>
    <mergeCell ref="D154:J154"/>
    <mergeCell ref="D155:J155"/>
    <mergeCell ref="D157:J157"/>
    <mergeCell ref="D158:M158"/>
    <mergeCell ref="D159:J159"/>
    <mergeCell ref="D160:J160"/>
    <mergeCell ref="D161:J161"/>
    <mergeCell ref="D162:J162"/>
    <mergeCell ref="D163:J163"/>
    <mergeCell ref="D164:J164"/>
    <mergeCell ref="D165:J165"/>
    <mergeCell ref="D167:J167"/>
    <mergeCell ref="D168:M168"/>
    <mergeCell ref="D169:J169"/>
    <mergeCell ref="D170:J170"/>
    <mergeCell ref="D171:J171"/>
    <mergeCell ref="D172:J172"/>
    <mergeCell ref="D173:J173"/>
    <mergeCell ref="D174:J174"/>
    <mergeCell ref="D176:J176"/>
    <mergeCell ref="D177:M177"/>
    <mergeCell ref="D178:J178"/>
    <mergeCell ref="D179:J179"/>
    <mergeCell ref="D180:J180"/>
    <mergeCell ref="D182:J182"/>
    <mergeCell ref="D183:M183"/>
    <mergeCell ref="D184:J184"/>
    <mergeCell ref="D185:J185"/>
    <mergeCell ref="D186:J186"/>
    <mergeCell ref="D188:J188"/>
    <mergeCell ref="D189:M189"/>
    <mergeCell ref="D190:J190"/>
    <mergeCell ref="D191:J191"/>
    <mergeCell ref="D192:J192"/>
    <mergeCell ref="D194:J194"/>
    <mergeCell ref="D195:M195"/>
    <mergeCell ref="D196:J196"/>
    <mergeCell ref="D197:J197"/>
    <mergeCell ref="D198:J198"/>
    <mergeCell ref="D200:J200"/>
    <mergeCell ref="D201:M201"/>
    <mergeCell ref="D202:J202"/>
    <mergeCell ref="D203:M203"/>
    <mergeCell ref="D204:J204"/>
    <mergeCell ref="D205:J205"/>
    <mergeCell ref="D206:J206"/>
    <mergeCell ref="D207:J207"/>
    <mergeCell ref="D208:J208"/>
    <mergeCell ref="D210:J210"/>
    <mergeCell ref="D211:M211"/>
    <mergeCell ref="D212:J212"/>
    <mergeCell ref="D213:J213"/>
    <mergeCell ref="D214:J214"/>
    <mergeCell ref="D215:J215"/>
    <mergeCell ref="D219:J219"/>
    <mergeCell ref="D220:J220"/>
    <mergeCell ref="D221:M221"/>
    <mergeCell ref="D222:J222"/>
    <mergeCell ref="D223:J223"/>
    <mergeCell ref="D224:J224"/>
    <mergeCell ref="D225:J225"/>
    <mergeCell ref="D227:J227"/>
    <mergeCell ref="D228:J228"/>
    <mergeCell ref="D229:M229"/>
    <mergeCell ref="D232:J232"/>
    <mergeCell ref="D233:J233"/>
    <mergeCell ref="D234:J234"/>
    <mergeCell ref="D235:J235"/>
    <mergeCell ref="D238:J238"/>
    <mergeCell ref="D239:J239"/>
    <mergeCell ref="D240:M240"/>
    <mergeCell ref="D243:J243"/>
    <mergeCell ref="D244:J244"/>
    <mergeCell ref="D245:J245"/>
    <mergeCell ref="D246:J246"/>
    <mergeCell ref="D249:J249"/>
    <mergeCell ref="D250:J250"/>
    <mergeCell ref="D251:M251"/>
    <mergeCell ref="D254:J254"/>
    <mergeCell ref="D255:J255"/>
    <mergeCell ref="D256:J256"/>
    <mergeCell ref="D257:J257"/>
    <mergeCell ref="D259:J259"/>
    <mergeCell ref="D260:M260"/>
    <mergeCell ref="D263:J263"/>
    <mergeCell ref="D264:J264"/>
    <mergeCell ref="D265:J265"/>
    <mergeCell ref="D266:J266"/>
    <mergeCell ref="D271:J271"/>
    <mergeCell ref="D272:J272"/>
    <mergeCell ref="D273:J273"/>
    <mergeCell ref="D274:J274"/>
    <mergeCell ref="D275:M275"/>
    <mergeCell ref="D278:J278"/>
    <mergeCell ref="D279:J279"/>
    <mergeCell ref="D282:J282"/>
    <mergeCell ref="D283:J283"/>
    <mergeCell ref="D284:M284"/>
    <mergeCell ref="D285:J285"/>
    <mergeCell ref="D286:J286"/>
    <mergeCell ref="D291:J291"/>
    <mergeCell ref="D292:J292"/>
    <mergeCell ref="D293:M293"/>
    <mergeCell ref="D294:J294"/>
    <mergeCell ref="D295:M295"/>
    <mergeCell ref="D296:J296"/>
    <mergeCell ref="D297:M297"/>
    <mergeCell ref="D298:J298"/>
    <mergeCell ref="D299:M299"/>
    <mergeCell ref="D301:J301"/>
    <mergeCell ref="D302:J302"/>
    <mergeCell ref="D303:M303"/>
  </mergeCells>
  <pageMargins left="0.620079" right="0.472441" top="0.472441" bottom="0.472441" header="0.0" footer="0.0"/>
  <pageSetup paperSize="9" orientation="landscape"/>
  <rowBreaks count="2" manualBreakCount="2">
    <brk id="0" max="16383" man="1"/>
    <brk id="0" max="16383" man="1"/>
  </rowBreaks>
</worksheet>
</file>