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5" windowWidth="18855" windowHeight="11985"/>
  </bookViews>
  <sheets>
    <sheet name="Hoja 1" sheetId="1" r:id="rId1"/>
  </sheets>
  <calcPr calcId="124519"/>
</workbook>
</file>

<file path=xl/sharedStrings.xml><?xml version="1.0" encoding="utf-8"?>
<sst xmlns="http://schemas.openxmlformats.org/spreadsheetml/2006/main" count="1542" uniqueCount="1542">
  <si>
    <t xml:space="preserve">Obra:</t>
  </si>
  <si>
    <t xml:space="preserve">INTERVENCIÓ PAVELLÓ GÜELL</t>
  </si>
  <si>
    <t xml:space="preserve">Presupuesto</t>
  </si>
  <si>
    <t xml:space="preserve">% C.I.</t>
  </si>
  <si>
    <t xml:space="preserve">Código</t>
  </si>
  <si>
    <t xml:space="preserve">Tipo</t>
  </si>
  <si>
    <t xml:space="preserve">Ud</t>
  </si>
  <si>
    <t xml:space="preserve">Resumen</t>
  </si>
  <si>
    <t xml:space="preserve">Cantidad</t>
  </si>
  <si>
    <t xml:space="preserve">Precio (€)</t>
  </si>
  <si>
    <t xml:space="preserve">Importe (€)</t>
  </si>
  <si>
    <t xml:space="preserve">INTERVENCIÒ PAVELLÓ GÜELL</t>
  </si>
  <si>
    <t xml:space="preserve">Capítulo</t>
  </si>
  <si>
    <t xml:space="preserve">INTERVENCIÓ PAVELLÓ GÜELL</t>
  </si>
  <si>
    <t xml:space="preserve">01</t>
  </si>
  <si>
    <t xml:space="preserve">Capítulo</t>
  </si>
  <si>
    <t xml:space="preserve">TREBALLS PREVIS</t>
  </si>
  <si>
    <t xml:space="preserve">01.01</t>
  </si>
  <si>
    <t xml:space="preserve">Capítulo</t>
  </si>
  <si>
    <t xml:space="preserve">MITJANS AUXILIARS</t>
  </si>
  <si>
    <t xml:space="preserve">01.01.01</t>
  </si>
  <si>
    <t xml:space="preserve">Partida</t>
  </si>
  <si>
    <t xml:space="preserve">m</t>
  </si>
  <si>
    <t xml:space="preserve">TANCA D'OBRA</t>
  </si>
  <si>
    <t xml:space="preserve">Delimitació provisional de zona d'obres mitjançant clos perimetral format per tanques traslladables de 3,50x2,00 m, formades per panell de malla electrosoldada amb plecs de reforç, de 200x100 mm de pas de malla, amb filferros horitzontals de 5 mm de diàmetre i verticals de 4 mm, soldats en els extrems a pals verticals de 40 mm de diàmetre, acabat galvanitzat, amortitzables en 5 usos i bases prefabricades de formigó, de 65x24x12 cm, amb 8 orificis, per a suport dels pals, amortitzables en 5 usos. Inclosa malla d'ocultació de polietilè d'alta densitat, color verd, col·locada sobre les tanques i muntatge, manteniment en  condicions segures durant tot el període de temps que es requereixi i desmuntatge. Per a la seva col·locació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</si>
  <si>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</si>
  <si>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</si>
  <si>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</si>
  <si>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</si>
  <si>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</si>
  <si>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</si>
  <si>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Clos perimetral</t>
  </si>
  <si>
    <t xml:space="preserve">01.01.02</t>
  </si>
  <si>
    <t xml:space="preserve">Partida</t>
  </si>
  <si>
    <t xml:space="preserve">u</t>
  </si>
  <si>
    <t xml:space="preserve">QUADRE AUXILIAR ELÉCTRIC</t>
  </si>
  <si>
    <t xml:space="preserve">Quadre elèctric provisional d'obra, composat per armari de distribució amb dispositiu d'emergència, preses i els interruptors automàtics magnetotèrmics i diferencials necessaris.</t>
  </si>
  <si>
    <t xml:space="preserve">01.01.03</t>
  </si>
  <si>
    <t xml:space="preserve">Partida</t>
  </si>
  <si>
    <t xml:space="preserve">u</t>
  </si>
  <si>
    <t xml:space="preserve">PRESA D'AIGUA</t>
  </si>
  <si>
    <t xml:space="preserve">Alimentació d'aigua potable de 8 m de longitud, col·locada superficialment i fixada al parament, formada per tub de polipropilè copolímer random (PP-R), sèrie 5, de 32 mm de diàmetre exterior i 2,9 mm de gruix; clau de tall general de comporta de filtre retenidor de residus; aixeta de comprovació i vàlvula de retenció. Inclosa p/p d'elements de muntatge i subjecció a l'obra, accessoris i peces especials, i altre material auxiliar. Totalment muntada, establerta connexió i provada.</t>
  </si>
  <si>
    <t xml:space="preserve">01.01.04</t>
  </si>
  <si>
    <t xml:space="preserve">Partida</t>
  </si>
  <si>
    <t xml:space="preserve">m2</t>
  </si>
  <si>
    <t xml:space="preserve">MUNTATGE DE BASTIDA TUBULAR AMB XARXA</t>
  </si>
  <si>
    <t xml:space="preserve">Muntatge de bastida tubular normalitzada, tipus multidireccional, formada per estructura tubular d'acer galvanitzat en calent, sense duplicitat d'elements verticals i plataformes de treball de 60 cm d'ample; considerant una distància màxima de 150 m entre el punt de descàrrega dels materials i el punt més allunyat del muntatge. Inclosa p/p de muntatge de xarxa flexible, tipus mosquitera monofilament, de polietilè 100%, accessoris, sistemes de protecció, ancoratges i reposicions. Per al desmuntatge de la bastida es tindrà en compte la conservació de la vegetació existent. Inclou: Replanteig dels suports, neteja i preparació de la superfície de suport i protecció dels espais afectats, muntatge i col·locació dels components, col·locació de la plataforma de treball, col·locació dels elements de protecció, accés i senyalització i prova de càrrega.</t>
  </si>
  <si>
    <t xml:space="preserve">Uds.</t>
  </si>
  <si>
    <t xml:space="preserve">Largo</t>
  </si>
  <si>
    <t xml:space="preserve">Ancho</t>
  </si>
  <si>
    <t xml:space="preserve">Alto</t>
  </si>
  <si>
    <t xml:space="preserve">Parcial</t>
  </si>
  <si>
    <t xml:space="preserve">Subtotal</t>
  </si>
  <si>
    <t xml:space="preserve">Bastida exterior</t>
  </si>
  <si>
    <t xml:space="preserve">Bastida volta central</t>
  </si>
  <si>
    <t xml:space="preserve">01.01.05</t>
  </si>
  <si>
    <t xml:space="preserve">Partida</t>
  </si>
  <si>
    <t xml:space="preserve">m2</t>
  </si>
  <si>
    <t xml:space="preserve">DESMUNTATGE DE BASTIDA TUBULAR AMB XARXA</t>
  </si>
  <si>
    <t xml:space="preserve">Desmuntatge de bastida tubular normalitzada, tipus multidireccional, formada per estructura tubular d'acer galvanitzat en calent, sense duplicitat d'elements verticals i plataformes de treball de 60 cm d'ample; considerant una distància màxima de 150 m entre el punt de descàrrega dels materials i el punt més allunyat del desmuntatge. Inclosa p/p de desmuntatge de xarxa flexible, tipus mosquitera monofilament, de polietilè 100%, accessoris, sistemes de protecció, ancoratges i reposicions. Inclou el desmuntatge i la retirada de la bastida i la seva xarxa.</t>
  </si>
  <si>
    <t xml:space="preserve">Uds.</t>
  </si>
  <si>
    <t xml:space="preserve">Largo</t>
  </si>
  <si>
    <t xml:space="preserve">Ancho</t>
  </si>
  <si>
    <t xml:space="preserve">Alto</t>
  </si>
  <si>
    <t xml:space="preserve">Parcial</t>
  </si>
  <si>
    <t xml:space="preserve">Subtotal</t>
  </si>
  <si>
    <t xml:space="preserve">Bastida exterior</t>
  </si>
  <si>
    <t xml:space="preserve">Bastida volta central</t>
  </si>
  <si>
    <t xml:space="preserve">01.01.06</t>
  </si>
  <si>
    <t xml:space="preserve">Partida</t>
  </si>
  <si>
    <t xml:space="preserve">m2</t>
  </si>
  <si>
    <t xml:space="preserve">LLOGUER BASTIDA</t>
  </si>
  <si>
    <t xml:space="preserve">Lloguer mensual de m² de bastida tubular normalitzada, tipus multidireccional, màxima de treball, formada per estructura tubular d'acer galvanitzat en calent, de 48,3 mm de diàmetre i 3,2 mm de gruix, sense duplicitat d'elements verticals, composat per plataformes de treball de 60 cm d'ample, disposades cada 2 m d'altura, escala interior amb trapa, barana posterior amb dues barres i entornpeu, barana davantera amb una barra i part proporcional de bigues de gelosia per a la seva correcta col·locació, considerant com a superfície de façana la resultant del producte de la projecció en planta del perímetre més sortint de la façana per l'altura màxima de treball de la bastida. Inclosa p/p de xarxa flexible, tipus mosquitera monofilament, de polietilè 100%. Inclou: Revisió periòdica per a garantir la seva estabilitat i condicions de seguretat i emissió de certificat per tècnic competent.</t>
  </si>
  <si>
    <t xml:space="preserve">Uds.</t>
  </si>
  <si>
    <t xml:space="preserve">Largo</t>
  </si>
  <si>
    <t xml:space="preserve">Ancho</t>
  </si>
  <si>
    <t xml:space="preserve">Alto</t>
  </si>
  <si>
    <t xml:space="preserve">Parcial</t>
  </si>
  <si>
    <t xml:space="preserve">Subtotal</t>
  </si>
  <si>
    <t xml:space="preserve">Bastida exterior</t>
  </si>
  <si>
    <t xml:space="preserve">Bastida volta central</t>
  </si>
  <si>
    <t xml:space="preserve">01.01.07</t>
  </si>
  <si>
    <t xml:space="preserve">Partida</t>
  </si>
  <si>
    <t xml:space="preserve">u</t>
  </si>
  <si>
    <t xml:space="preserve">INFORME ARQUEÒLEG</t>
  </si>
  <si>
    <t xml:space="preserve">Redacció de memòria que recopili els treballs d'arqueologia realitzats en la qual quedaran descrits els processos, documentació fotogràfica i planimetries. Realitzat per tècnic competent en la matèria.</t>
  </si>
  <si>
    <t xml:space="preserve">01.01</t>
  </si>
  <si>
    <t xml:space="preserve">01.02</t>
  </si>
  <si>
    <t xml:space="preserve">Capítulo</t>
  </si>
  <si>
    <t xml:space="preserve">DEMOLICIÓ</t>
  </si>
  <si>
    <t xml:space="preserve">01.02.01</t>
  </si>
  <si>
    <t xml:space="preserve">Partida</t>
  </si>
  <si>
    <t xml:space="preserve">u</t>
  </si>
  <si>
    <t xml:space="preserve">TESTIMONIS I CONTROL D'ESQUERDES</t>
  </si>
  <si>
    <t xml:space="preserve">Subministrament i col·locació de testimonis d'esquerdes i fissures en edifici a restaurar, comprenent: fixació del seu estat mitjançant el marcat del seu extrem, mesurament de la seva amplària amb fisurómetre de precisió, col·locació de testimoni de guix de gruix menor de 3 mm i inspecció periòdica als 15, 30, 45 i 90 dies, de l'evolució dels seus moviments. Queden inclosos els treballs de col·locació de testimonis, marcat dels seus extrems, mesurament de la seva amplària i inspecció periòdica. Se seguiran les indicacions i criteri de la Direcció Facultativa. Aquesta partida inclou la part proporcional de mitjans auxiliars, equips i eines necessàries per a dur a terme la totalitat dels treballs als quals fa referència.</t>
  </si>
  <si>
    <t xml:space="preserve">01.02.02</t>
  </si>
  <si>
    <t xml:space="preserve">Partida</t>
  </si>
  <si>
    <t xml:space="preserve">u</t>
  </si>
  <si>
    <t xml:space="preserve">CALA</t>
  </si>
  <si>
    <t xml:space="preserve">Execució de cala de prospecció amb unes dimensions mínimes de 30x30 cm i 10 cm de profunditat, amb picat previ de l’arrebossat o recobriment de qualsevol tipus que pogués haver-hi fins a arribar a l'element resistent; realitzada mitjançant picat manual. Inclosa neteja, apilament, retirada i càrrega manual d'enderrocs sobre contenidor.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</si>
  <si>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01.02.03</t>
  </si>
  <si>
    <t xml:space="preserve">Partida</t>
  </si>
  <si>
    <t xml:space="preserve">u</t>
  </si>
  <si>
    <t xml:space="preserve">DESMUNTATGE DE CARPINTERIA</t>
  </si>
  <si>
    <t xml:space="preserve">Desmuntatge de fusteria o serralleria, de menys de 3 m² de superfície, amb mitjans manuals, extremant la delicadesa d'aquests treballs per a poder reutilitzar l'element desmuntat, sense deteriorar els elements constructius als quals està unida, i amb càrrega manual sobre camió o contenidor. Aquesta partida inclou el desmuntatge de l'element, la retirada i apilament del material desmuntat, la neteja de les restes d'obra.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</si>
  <si>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</si>
  <si>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</si>
  <si>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</si>
  <si>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</si>
  <si>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</si>
  <si>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</si>
  <si>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P1</t>
  </si>
  <si>
    <t xml:space="preserve">P2</t>
  </si>
  <si>
    <t xml:space="preserve">P3a</t>
  </si>
  <si>
    <t xml:space="preserve">P3b</t>
  </si>
  <si>
    <t xml:space="preserve">P4</t>
  </si>
  <si>
    <t xml:space="preserve">P5</t>
  </si>
  <si>
    <t xml:space="preserve">P6a</t>
  </si>
  <si>
    <t xml:space="preserve">P6b</t>
  </si>
  <si>
    <t xml:space="preserve">P7</t>
  </si>
  <si>
    <t xml:space="preserve">V1a</t>
  </si>
  <si>
    <t xml:space="preserve">V1b</t>
  </si>
  <si>
    <t xml:space="preserve">V1c</t>
  </si>
  <si>
    <t xml:space="preserve">V2</t>
  </si>
  <si>
    <t xml:space="preserve">V3a</t>
  </si>
  <si>
    <t xml:space="preserve">V3b</t>
  </si>
  <si>
    <t xml:space="preserve">S2a</t>
  </si>
  <si>
    <t xml:space="preserve">S2b</t>
  </si>
  <si>
    <t xml:space="preserve">S1a</t>
  </si>
  <si>
    <t xml:space="preserve">S1b</t>
  </si>
  <si>
    <t xml:space="preserve">S1c</t>
  </si>
  <si>
    <t xml:space="preserve">01.02.04</t>
  </si>
  <si>
    <t xml:space="preserve">Partida</t>
  </si>
  <si>
    <t xml:space="preserve">m3</t>
  </si>
  <si>
    <t xml:space="preserve">AIXECAT DE CAPES SUPERPOSADES EN COBERTA</t>
  </si>
  <si>
    <t xml:space="preserve">Aixecat i retirada de capes d'elements superposats (rajola de València, làmines asfàltiques, morters) fins a aconseguir els nivells dels materials originals de l'obra. Treballs realitzats amb mitjans manuals, sense deteriorar els elements constructius contigus, i càrrega manual sobre camió o contenidor. Aquesta partida inclou els treballs d'aixecat i retirada de cadascun dels elements impropis, fragmentació dels enderrocs en peces manejables, retirada i apilament d'enderrocs, neteja de les restes d'obra. Càrrega manual d'enderrocs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</si>
  <si>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</si>
  <si>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</si>
  <si>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</si>
  <si>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</si>
  <si>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</si>
  <si>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</si>
  <si>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Passarel·la cúpula central</t>
  </si>
  <si>
    <t xml:space="preserve">01.02.05</t>
  </si>
  <si>
    <t xml:space="preserve">Partida</t>
  </si>
  <si>
    <t xml:space="preserve">u</t>
  </si>
  <si>
    <t xml:space="preserve">OBERTURA DE BUIT EN LLANTERNA</t>
  </si>
  <si>
    <t xml:space="preserve">Obertura de buit original de la llanterna existent en cúpula, formada per maó, amb mitjans manuals, extremant la delicadesa d'aquests treballs i sense afectar l'estabilitat de la partició o dels elements constructius contigus, deixant un acabat fi de les vores una vegada obert el buit, i càrrega manual sobre camió o contenidor. Aquesta partida inclou els treballs de replanteig del buit en l’extradós de la cúpula, tall previ del contorn del buit, retirada dels materials que tancaven el buit original de la llanterna de la cúpula i els seus revestiments, fragmentació dels enderrocs en peces manejables, retirada i apilament d'enderrocs, neteja de les restes d'obra i càrrega manual d'enderrocs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</si>
  <si>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01.02.06</t>
  </si>
  <si>
    <t xml:space="preserve">Partida</t>
  </si>
  <si>
    <t xml:space="preserve">m3</t>
  </si>
  <si>
    <t xml:space="preserve">PICAT DE MORTER SUPERPOSAT</t>
  </si>
  <si>
    <t xml:space="preserve">Aixecat i retirada de capes de morters no originals en baranes calades i cresteries de la coronació de l'edifici, fins a aconseguir l'estat original. Treballs realitzats amb mitjans manuals, sense deteriorar els elements constructius contigus, i càrrega manual sobre camió o contenidor. Aquesta partida inclou els treballs d'aixecat i retirada de cadascun dels elements impropis, fragmentació dels enderrocs en peces manejables, retirada i apilament d'enderrocs, neteja de les restes d'obra. Càrrega manual d'enderrocs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</si>
  <si>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</si>
  <si>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</si>
  <si>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</si>
  <si>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</si>
  <si>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</si>
  <si>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</si>
  <si>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Alçaria arrancada cúpula</t>
  </si>
  <si>
    <t xml:space="preserve">Alçaria perfil interior Coberta</t>
  </si>
  <si>
    <t xml:space="preserve">01.02.07</t>
  </si>
  <si>
    <t xml:space="preserve">Partida</t>
  </si>
  <si>
    <t xml:space="preserve">m2</t>
  </si>
  <si>
    <t xml:space="preserve">PICAT DE MORTER IMPROPI</t>
  </si>
  <si>
    <t xml:space="preserve">Eliminació d'arrebossat de ciment, aplicat sobre parament vertical, amb mitjans manuals, sense deteriorar la superfície de suport, que quedarà al descobert i preparada per al seu posterior revestiment, i càrrega manual sobre camió o contenidor. Aquesta partida inclou els treballs d'aixecat i retirada de cadascun dels elements impropis, fragmentació dels enderrocs en peces manejables, retirada i apilament d'enderrocs, neteja de les restes d'obra. Càrrega manual d'enderrocs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</si>
  <si>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</si>
  <si>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</si>
  <si>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</si>
  <si>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</si>
  <si>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</si>
  <si>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</si>
  <si>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C07</t>
  </si>
  <si>
    <t xml:space="preserve">C06</t>
  </si>
  <si>
    <t xml:space="preserve">C08</t>
  </si>
  <si>
    <t xml:space="preserve">01.02.08</t>
  </si>
  <si>
    <t xml:space="preserve">Partida</t>
  </si>
  <si>
    <t xml:space="preserve">m2</t>
  </si>
  <si>
    <t xml:space="preserve">DEMOLICIÓ D'ENVÀS</t>
  </si>
  <si>
    <t xml:space="preserve">Demolició d'envà format per maó massís pres amb morter de ciment. Treballs realitzats amb mitjans manuals, sense afectar l'estabilitat dels elements constructius contigus, i càrrega manual sobre camió o contenidor. Aquesta partida inclou els treballs de demolició de la fàbrica i els seus revestiments, fragmentació dels enderrocs en peces manejables, retirada i apilament d'enderrocs, neteja de les restes d'obra i càrrega manual d'enderrocs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</si>
  <si>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</si>
  <si>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</si>
  <si>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</si>
  <si>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</si>
  <si>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</si>
  <si>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</si>
  <si>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Sala B PB</t>
  </si>
  <si>
    <t xml:space="preserve">Obertura de buits galeria</t>
  </si>
  <si>
    <t xml:space="preserve">Buit de finestra V2</t>
  </si>
  <si>
    <t xml:space="preserve">01.02.09</t>
  </si>
  <si>
    <t xml:space="preserve">Partida</t>
  </si>
  <si>
    <t xml:space="preserve">m2</t>
  </si>
  <si>
    <t xml:space="preserve">DEMOLICIÓ D'EXTRADOSSAT</t>
  </si>
  <si>
    <t xml:space="preserve">Demolició d'envà extradossat a mur de façana, format per maó pres amb morter de ciment. Treballs realitzats amb mitjans manuals, sense afectar l'estabilitat dels elements constructius contigus, i càrrega manual sobre camió o contenidor. Aquesta partida inclou els treballs de demolició de la fàbrica i els seus revestiments, fragmentació dels enderrocs en peces manejables, retirada i apilament d'enderrocs, neteja de les restes d'obra i càrrega manual d'enderrocs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</si>
  <si>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</si>
  <si>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</si>
  <si>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</si>
  <si>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</si>
  <si>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</si>
  <si>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</si>
  <si>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C08</t>
  </si>
  <si>
    <t xml:space="preserve">C13 coberta</t>
  </si>
  <si>
    <t xml:space="preserve">C15 coberta</t>
  </si>
  <si>
    <t xml:space="preserve">01.02.10</t>
  </si>
  <si>
    <t xml:space="preserve">Partida</t>
  </si>
  <si>
    <t xml:space="preserve">m2</t>
  </si>
  <si>
    <t xml:space="preserve">AIXECAT DE PAVIMENTS AMB RECUPERACIÓ</t>
  </si>
  <si>
    <t xml:space="preserve">Aixecat de paviment existent a l'interior de l'edifici amb recuperació de peces de paviment històric, treball realitzat amb mitjans manuals, sense deteriorar els elements constructius contigus, i càrrega manual sobre camió o contenidor. Aquesta partida inclou els treballs d'aixecat de l'element, fragmentació dels enderrocs en peces manejables, retirada i apilament d'enderrocs, neteja de les restes d'obra, càrrega manual d'enderrocs sobre camió o contenidor.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</si>
  <si>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</si>
  <si>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</si>
  <si>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</si>
  <si>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</si>
  <si>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</si>
  <si>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</si>
  <si>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Planta baixa</t>
  </si>
  <si>
    <t xml:space="preserve">01.02.11</t>
  </si>
  <si>
    <t xml:space="preserve">Partida</t>
  </si>
  <si>
    <t xml:space="preserve">m2</t>
  </si>
  <si>
    <t xml:space="preserve">AIXECAT DE PAVIMENTS SENSE RECUPERACIÓ</t>
  </si>
  <si>
    <t xml:space="preserve">Aixecat de paviment existent a l'interior de l'edifici, amb mitjans manuals, sense deteriorar els elements constructius contigus, extremant la cura i sense danyar al paviment existent sota el paviment a aixecar, i càrrega manual sobre camió o contenidor. Aquesta partida inclou els treballs d'aixecat de l'element, fragmentació dels enderrocs en peces manejables, retirada i apilament d'enderrocs, neteja de les restes d'obra, càrrega manual d'enderrocs sobre camió o contenidor.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</si>
  <si>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</si>
  <si>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</si>
  <si>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</si>
  <si>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</si>
  <si>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</si>
  <si>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</si>
  <si>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Planta baixa</t>
  </si>
  <si>
    <t xml:space="preserve">01.02.12</t>
  </si>
  <si>
    <t xml:space="preserve">Partida</t>
  </si>
  <si>
    <t xml:space="preserve">m2</t>
  </si>
  <si>
    <t xml:space="preserve">AIXECAT DE PAVIMENTS GRAONS</t>
  </si>
  <si>
    <t xml:space="preserve">Aixecat de paviment existent en graons, amb mitjans manuals, sense deteriorar els elements constructius contigus, extremant la cura i sense danyar al paviment existent sota el paviment a aixecar, i càrrega manual sobre camió o contenidor. Aquesta partida inclou els treballs d'aixecat de l'element, fragmentació dels enderrocs en peces manejables, retirada i apilament d'enderrocs, neteja de les restes d'obra, càrrega manual d'enderrocs sobre camió o contenidor.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</si>
  <si>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</si>
  <si>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</si>
  <si>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</si>
  <si>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</si>
  <si>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</si>
  <si>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</si>
  <si>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Escala accés</t>
  </si>
  <si>
    <t xml:space="preserve">Escala accés P1</t>
  </si>
  <si>
    <t xml:space="preserve">01.02.13</t>
  </si>
  <si>
    <t xml:space="preserve">Partida</t>
  </si>
  <si>
    <t xml:space="preserve">u</t>
  </si>
  <si>
    <t xml:space="preserve">AIXECAT PUNTUAL DE PAVIMENT</t>
  </si>
  <si>
    <t xml:space="preserve">Aixecat puntual de rajola de paviment a l'interior de l'edifici, amb mitjans manuals, sense deteriorar els elements constructius contigus, i càrrega manual sobre camió o contenidor. Aquesta partida inclou els treballs d'aixecat de l'element, fragmentació dels enderrocs en peces manejables, retirada i apilament d'enderrocs, neteja de les restes d'obra, càrrega manual d'enderrocs sobre camió o contenidor.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</si>
  <si>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</si>
  <si>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</si>
  <si>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</si>
  <si>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</si>
  <si>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</si>
  <si>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</si>
  <si>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Pavimento planta 1</t>
  </si>
  <si>
    <t xml:space="preserve">01.02.14</t>
  </si>
  <si>
    <t xml:space="preserve">Partida</t>
  </si>
  <si>
    <t xml:space="preserve">m2</t>
  </si>
  <si>
    <t xml:space="preserve">AIXECAT DE PAVIMENT DE SURO</t>
  </si>
  <si>
    <t xml:space="preserve">Aixecat de paviment de panells de suro existents a l'interior de l'edifici, amb mitjans manuals extremant la cura i sense danyar el paviment existent a sota del paviment a aixecar, sense deteriorar els elements constructius contigus, i càrrega manual sobre camió o contenidor. Inclou els treballs d'aixecat de l'element, retirada i apilament del material aixecat, neteja de les restes d'obra, càrrega del material aixecat i restes d'obra sobre camió o contenidor.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</si>
  <si>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</si>
  <si>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</si>
  <si>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</si>
  <si>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</si>
  <si>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</si>
  <si>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</si>
  <si>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Sala B P1</t>
  </si>
  <si>
    <t xml:space="preserve">01.02.15</t>
  </si>
  <si>
    <t xml:space="preserve">Partida</t>
  </si>
  <si>
    <t xml:space="preserve">m2</t>
  </si>
  <si>
    <t xml:space="preserve">AIXECAT DE PAVIMENT TÈXTIL</t>
  </si>
  <si>
    <t xml:space="preserve">Aixecat de paviment continu tèxtil existent a l'interior de l'edifici, amb mitjans manuals extremant la cura i sense danyar el paviment existent a sota del paviment a aixecar, sense deteriorar els elements constructius contigus, i càrrega manual sobre camió o contenidor. Inclou els treballs d'aixecat de l'element, retirada i apilament del material aixecat, neteja de les restes d'obra, càrrega del material aixecat i restes d'obra sobre camió o contenidor.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</si>
  <si>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</si>
  <si>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</si>
  <si>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</si>
  <si>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</si>
  <si>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</si>
  <si>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</si>
  <si>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Sala A P1</t>
  </si>
  <si>
    <t xml:space="preserve">01.02.16</t>
  </si>
  <si>
    <t xml:space="preserve">Partida</t>
  </si>
  <si>
    <t xml:space="preserve">m</t>
  </si>
  <si>
    <t xml:space="preserve">ELIMINACIÓ D'ESCOPIDOR</t>
  </si>
  <si>
    <t xml:space="preserve">Aixecat i retirada d'escopidor de granit situat entre els brancals de buit en façana amb mitjans manuals sense deteriorar els elements constructius contigus. Inclosa p/p de neteja, apilament, retirada i càrrega manual d'enderrocs sobre camió o contenidor. Aquesta partida inclou els treballs d'aixecat de l'element, fragmentació dels enderrocs en peces manejables, retirada i apilament d'enderrocs, neteja de les restes d'obra, càrrega manual d'enderrocs sobre camió o contenidor.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</si>
  <si>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</si>
  <si>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</si>
  <si>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</si>
  <si>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</si>
  <si>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</si>
  <si>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</si>
  <si>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C06</t>
  </si>
  <si>
    <t xml:space="preserve">0</t>
  </si>
  <si>
    <t xml:space="preserve">V2</t>
  </si>
  <si>
    <t xml:space="preserve">01.02.17</t>
  </si>
  <si>
    <t xml:space="preserve">Partida</t>
  </si>
  <si>
    <t xml:space="preserve">m2</t>
  </si>
  <si>
    <t xml:space="preserve">PICAT DE REVESTIMENTS INTERIORS</t>
  </si>
  <si>
    <t xml:space="preserve">Eliminació de revestiment interior de totes les capes fins a arribar a la capa inicial de morter de calç, treballs realitzats mitjançant rascat amb bisturí i altres mitjans propis de restaurador, sense deteriorar els elements constructius contigus, i amb càrrega manual sobre camió o contenidor. En aquesta partida s'inclouen els treballs d'eliminació del revestiment, retirada i apilament d'enderrocs, neteja de les restes d'obra, càrrega manual d'enderrocs sobre camió o contenidor. Tots aquests treballs seran realitzats per personal especialitzat en restauració. Es duran a terme en aquelles zones que determini la Direcció Facultativa i sempre se seguiran les seves indicacions i criteri.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</si>
  <si>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</si>
  <si>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</si>
  <si>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</si>
  <si>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</si>
  <si>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</si>
  <si>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</si>
  <si>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Sala A PB</t>
  </si>
  <si>
    <t xml:space="preserve">Sostre</t>
  </si>
  <si>
    <t xml:space="preserve">Sala B PB</t>
  </si>
  <si>
    <t xml:space="preserve">Sostre</t>
  </si>
  <si>
    <t xml:space="preserve">Escala</t>
  </si>
  <si>
    <t xml:space="preserve">Sala centra PB</t>
  </si>
  <si>
    <t xml:space="preserve">01.02.18</t>
  </si>
  <si>
    <t xml:space="preserve">Partida</t>
  </si>
  <si>
    <t xml:space="preserve">m2</t>
  </si>
  <si>
    <t xml:space="preserve">AIXECAT ENRAJOLAT</t>
  </si>
  <si>
    <t xml:space="preserve">Aixecat d'enrajolat de rajola de València amb mitjans manuals, inclòs el morter, deixant la superfície del parament al descobert i preparada per al seu posterior revestiment. Inclosa p/p de neteja, apilament, retirada i càrrega manual d'enderrocs sobre camió o contenidor. Inclou els treballs d'aixecat manual de l'enrajolat, retirada i apilament del material aixecat, neteja de les restes d'obra, càrrega del material aixecat i restes d'obra sobre camió o contenidor. Se seguiran les indicacions i criteri de la Direcció Facultativa.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</si>
  <si>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</si>
  <si>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</si>
  <si>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</si>
  <si>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</si>
  <si>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</si>
  <si>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</si>
  <si>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Bany auxiliar</t>
  </si>
  <si>
    <t xml:space="preserve">Cuina</t>
  </si>
  <si>
    <t xml:space="preserve">01.02.19</t>
  </si>
  <si>
    <t xml:space="preserve">Partida</t>
  </si>
  <si>
    <t xml:space="preserve">m</t>
  </si>
  <si>
    <t xml:space="preserve">AIXECAT ENTORNPEU</t>
  </si>
  <si>
    <t xml:space="preserve">Aixecat d’entornpeu ceràmic i picat del material d'unió adherit a la seva superfície, amb mitjans manuals i recuperació del material per a la seva posterior reutilització, sense deteriorar els elements constructius contigus. Inclosa p/p de neteja, apilament, retirada i càrrega manual d'enderrocs sobre camió o contenidor. Inclou els treballs d'aixecat manual dels elements, eliminació del material adherit al revers de l’entornpeu, apilament dels materials a reutilitzar, retirada i apilament d'enderrocs, neteja de les restes d'obra, càrrega d'enderrocs sobre camió o contenidor. Treballs realitzats sota la supervisió d'especialista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</si>
  <si>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</si>
  <si>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</si>
  <si>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</si>
  <si>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</si>
  <si>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</si>
  <si>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</si>
  <si>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Sala A PB</t>
  </si>
  <si>
    <t xml:space="preserve">Sala B PB</t>
  </si>
  <si>
    <t xml:space="preserve">Sala central PB</t>
  </si>
  <si>
    <t xml:space="preserve">Sala A P1</t>
  </si>
  <si>
    <t xml:space="preserve">Sala B P1</t>
  </si>
  <si>
    <t xml:space="preserve">Passarel·la P1</t>
  </si>
  <si>
    <t xml:space="preserve">01.02.20</t>
  </si>
  <si>
    <t xml:space="preserve">Partida</t>
  </si>
  <si>
    <t xml:space="preserve">m2</t>
  </si>
  <si>
    <t xml:space="preserve">ELIMINACIÓ DE REJUNTAT</t>
  </si>
  <si>
    <t xml:space="preserve">Eliminació de el rejuntat disgregat o impropi estimant un 30% de la superfície total de façana, en mal estat de conservació, amb mitjans manuals, en una profunditat suficient per a garantir l'adherència amb el nou material. Inclosa retirada del material disgregat mitjançant brotxa o raspall, bufat amb equip d'aire a pressió per a l'eliminació de les restes, apilament i retirada d’aquells  i neteja final. Aquesta partida inclou els treballs de buidatge de les juntes, retirada del material, bufat amb equip d'aire a pressió, retirada de restes, i neteja final. Treballs realitzats sota la supervisió d'especialista en restauració i seguint les indicacions i criteri de la Direcció Facultativa del projecte.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</si>
  <si>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</si>
  <si>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</si>
  <si>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</si>
  <si>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</si>
  <si>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</si>
  <si>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</si>
  <si>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C01</t>
  </si>
  <si>
    <t xml:space="preserve">a deducir</t>
  </si>
  <si>
    <t xml:space="preserve">C02</t>
  </si>
  <si>
    <t xml:space="preserve">a deducir</t>
  </si>
  <si>
    <t xml:space="preserve">C03</t>
  </si>
  <si>
    <t xml:space="preserve">a deducir</t>
  </si>
  <si>
    <t xml:space="preserve">C04</t>
  </si>
  <si>
    <t xml:space="preserve">C05</t>
  </si>
  <si>
    <t xml:space="preserve">a deduir</t>
  </si>
  <si>
    <t xml:space="preserve">C06</t>
  </si>
  <si>
    <t xml:space="preserve">a deduir</t>
  </si>
  <si>
    <t xml:space="preserve">C07</t>
  </si>
  <si>
    <t xml:space="preserve">a deduir</t>
  </si>
  <si>
    <t xml:space="preserve">C08</t>
  </si>
  <si>
    <t xml:space="preserve">a deduir</t>
  </si>
  <si>
    <t xml:space="preserve">C09</t>
  </si>
  <si>
    <t xml:space="preserve">C10-C11-C12</t>
  </si>
  <si>
    <t xml:space="preserve">a deduir</t>
  </si>
  <si>
    <t xml:space="preserve">C13-C14-C15</t>
  </si>
  <si>
    <t xml:space="preserve">01.02.21</t>
  </si>
  <si>
    <t xml:space="preserve">Partida</t>
  </si>
  <si>
    <t xml:space="preserve">u</t>
  </si>
  <si>
    <t xml:space="preserve">DESMUNTATGE XEMENEIA</t>
  </si>
  <si>
    <t xml:space="preserve">Desmuntatge de xemeneia decorativa revestida amb mosaic ceràmic tipus trencadís, amb mitjans manuals, instal·lada a la coberta de la cúpula central, i càrrega sobre camió o contenidor. Aquesta partida inclou els treballs de desmuntatge de la xemeneia i els seus revestiments, fragmentació dels enderrocs en peces manejables, retirada i apilament d'enderrocs, neteja de les restes d'obra i càrrega manual d'enderrocs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</si>
  <si>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01.02.22</t>
  </si>
  <si>
    <t xml:space="preserve">Partida</t>
  </si>
  <si>
    <t xml:space="preserve">u</t>
  </si>
  <si>
    <t xml:space="preserve">DESMUNTATGE DE LAVABO</t>
  </si>
  <si>
    <t xml:space="preserve">Desmuntatge de lavabo amb pedestal, amb mitjans manuals, sense afectar l'estabilitat dels elements constructius als quals pugui estar unit, i càrrega manual sobre camió o contenidor. S'inclouen els treballs de desmuntatge de l'element, obturació de les conduccions connectades a l'element, retirada i apilament del material desmuntat, neteja de les restes d'obra i la càrrega manual del material desmuntat i restes d'obra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</si>
  <si>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01.02.23</t>
  </si>
  <si>
    <t xml:space="preserve">Partida</t>
  </si>
  <si>
    <t xml:space="preserve">u</t>
  </si>
  <si>
    <t xml:space="preserve">DESMUNTATGE DE VÀTER</t>
  </si>
  <si>
    <t xml:space="preserve">Desmuntatge de vàter i cisterna, amb mitjans manuals, sense afectar l'estabilitat dels elements constructius als quals pugui estar unit, i càrrega manual sobre camió o contenidor. S'inclouen els treballs de desmuntatge de l'element, obturació de les conduccions connectades a l'element, retirada i apilament del material desmuntat, neteja de les restes d'obra i la càrrega manual del material desmuntat i restes d'obra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</si>
  <si>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01.02.24</t>
  </si>
  <si>
    <t xml:space="preserve">Partida</t>
  </si>
  <si>
    <t xml:space="preserve">u</t>
  </si>
  <si>
    <t xml:space="preserve">DESMUNTATGE DE BANYERA</t>
  </si>
  <si>
    <t xml:space="preserve">Desmuntatge de banyera, amb mitjans manuals, sense afectar l'estabilitat dels elements constructius als quals pugui estar unida, i càrrega manual sobre camió o contenidor. S'inclouen els treballs de desmuntatge de l'element, obturació de les conduccions connectades a l'element, retirada i apilament del material desmuntat, neteja de les restes d'obra i la càrrega manual del material desmuntat i restes d'obra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</si>
  <si>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01.02.25</t>
  </si>
  <si>
    <t xml:space="preserve">Partida</t>
  </si>
  <si>
    <t xml:space="preserve">u</t>
  </si>
  <si>
    <t xml:space="preserve">DESMUNTATGE ESCALFADOR ELÈCTRIC</t>
  </si>
  <si>
    <t xml:space="preserve">Desmuntatge d’escalfador elèctric, amb mitjans manuals, i càrrega manual sobre camió o contenidor. S'inclouen els treballs de desmuntatge de l'element, obturació de les conduccions connectades a l'element, retirada i apilament del material desmuntat, neteja de les restes d'obra i la càrrega manual del material desmuntat i restes d'obra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</si>
  <si>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01.02.26</t>
  </si>
  <si>
    <t xml:space="preserve">Partida</t>
  </si>
  <si>
    <t xml:space="preserve">pa</t>
  </si>
  <si>
    <t xml:space="preserve">ELIMINACIÓ ELEMENTS IMPROPIS</t>
  </si>
  <si>
    <t xml:space="preserve">Desmuntatge de tots aquells elements impropis situats en façana que entorpeixin, tals com cables, claus, armelles…, amb mitjans manuals i càrrega manual sobre camió o contenidor. Aquesta partida inclou els treballs de desmuntatge dels elements, classificació i etiquetatge, apilament dels materials a reutilitzar, retirada i apilament de les restes d'obra i càrrega manual de les restes d'obra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</si>
  <si>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01.02.27</t>
  </si>
  <si>
    <t xml:space="preserve">Partida</t>
  </si>
  <si>
    <t xml:space="preserve">u</t>
  </si>
  <si>
    <t xml:space="preserve">RETIRADA INSTAL·LACIONS OBSOLETES</t>
  </si>
  <si>
    <t xml:space="preserve">Desmuntatge de les diferents xarxes d'instal·lacions (fontaneria, sanejament i electricitat). Treballs realitzats amb mitjans manuals, i càrrega manual sobre camió o contenidor. Aquesta partida inclou els treballs de retirada i apilament del material desmuntat, neteja de les restes d'obra, càrrega manual del material desmuntat i restes d'obra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</si>
  <si>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01.02.28</t>
  </si>
  <si>
    <t xml:space="preserve">Partida</t>
  </si>
  <si>
    <t xml:space="preserve">u</t>
  </si>
  <si>
    <t xml:space="preserve">DEMOLICIÓ PICA EXTERIOR</t>
  </si>
  <si>
    <t xml:space="preserve">Demolició de pica exterior d'aigua, amb mitjans manuals, instal·lada al costat de l'edifici, i càrrega sobre camió o contenidor dels residus generats, inclosa la part proporcional d'instal·lació de lampisteria i sanejament. Aquesta partida inclou els treballs de desmuntatge de la pica, fragmentació dels enderrocs en peces manejables, retirada i apilament d'enderrocs, neteja de les restes d'obra i càrrega manual d'enderrocs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</si>
  <si>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01.02.29</t>
  </si>
  <si>
    <t xml:space="preserve">Partida</t>
  </si>
  <si>
    <t xml:space="preserve">u</t>
  </si>
  <si>
    <t xml:space="preserve">CALES DE PINTURA</t>
  </si>
  <si>
    <t xml:space="preserve">Execució de cala de prospecció pictòrica amb unes dimensions mínimes de 30x30 cm, en revestiment d’envà, amb gratat amb bisturí fins a determinar la possible existència de restes pictòriques. Fins i tot neteja, retirada i càrrega manual de residus generats sobre contenidor. Treballs realitzats per tècnic especialista en restauració i seguint les indicacions i criteri de la Direcció Facultativa. Aquesta partida inclou la part proporcional de mitjans auxiliars, equips i eines necessàries per a dur a terme la totalitat dels treballs als quals fa referència.</t>
  </si>
  <si>
    <t xml:space="preserve">01.02</t>
  </si>
  <si>
    <t xml:space="preserve">01.03</t>
  </si>
  <si>
    <t xml:space="preserve">Capítulo</t>
  </si>
  <si>
    <t xml:space="preserve">NETEJA</t>
  </si>
  <si>
    <t xml:space="preserve">01.03.01</t>
  </si>
  <si>
    <t xml:space="preserve">Partida</t>
  </si>
  <si>
    <t xml:space="preserve">u</t>
  </si>
  <si>
    <t xml:space="preserve">DESMUNTATGE I TRASLLAT DE MOBILIARI</t>
  </si>
  <si>
    <t xml:space="preserve">Realització de desmuntatge i trasllat de tot el mobiliari a conservar en l'edifici a intervenir. Inclosa la neteja, embalat, protecció contra cops i càrrega manual d'elements en camió.</t>
  </si>
  <si>
    <t xml:space="preserve">01.03.02</t>
  </si>
  <si>
    <t xml:space="preserve">Partida</t>
  </si>
  <si>
    <t xml:space="preserve">m2</t>
  </si>
  <si>
    <t xml:space="preserve">NETEJA DE FAÇANES</t>
  </si>
  <si>
    <t xml:space="preserve">Neteja dels paraments exteriors contemplant els següents treballs:
- Extracció manual de la vegetació existent (herbes i arrels) i injecció de biocida en l'espai resultant.
- Extracció manual de biofilms (molses) amb tractament inicial de les superfícies afectades amb biocida d'ampli espectre, eliminant posteriorment els residus amb rasclet i/o raspall de pues naturals.
- Neteja superficial de tots els paraments de façana amb aplicació d'aigua desmineralitzada i detergents neutres a baixa pressió (màxim una atm.) amb ajuda d'un raspallat suau amb raspall de pues naturals.
Tots aquests treballs seran realitzats per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</si>
  <si>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</si>
  <si>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</si>
  <si>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</si>
  <si>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</si>
  <si>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</si>
  <si>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</si>
  <si>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C01</t>
  </si>
  <si>
    <t xml:space="preserve">a deduir</t>
  </si>
  <si>
    <t xml:space="preserve">C02</t>
  </si>
  <si>
    <t xml:space="preserve">a deduir</t>
  </si>
  <si>
    <t xml:space="preserve">C03</t>
  </si>
  <si>
    <t xml:space="preserve">a deduir</t>
  </si>
  <si>
    <t xml:space="preserve">C04</t>
  </si>
  <si>
    <t xml:space="preserve">C05</t>
  </si>
  <si>
    <t xml:space="preserve">a deduir</t>
  </si>
  <si>
    <t xml:space="preserve">C06</t>
  </si>
  <si>
    <t xml:space="preserve">a deduir</t>
  </si>
  <si>
    <t xml:space="preserve">C07</t>
  </si>
  <si>
    <t xml:space="preserve">a deduir</t>
  </si>
  <si>
    <t xml:space="preserve">C08</t>
  </si>
  <si>
    <t xml:space="preserve">a deduir</t>
  </si>
  <si>
    <t xml:space="preserve">C09</t>
  </si>
  <si>
    <t xml:space="preserve">C10-C11-C12</t>
  </si>
  <si>
    <t xml:space="preserve">a deduir</t>
  </si>
  <si>
    <t xml:space="preserve">C13-C14-C15</t>
  </si>
  <si>
    <t xml:space="preserve">01.03.03</t>
  </si>
  <si>
    <t xml:space="preserve">Partida</t>
  </si>
  <si>
    <t xml:space="preserve">m2</t>
  </si>
  <si>
    <t xml:space="preserve">NETEJA DE COBERTES</t>
  </si>
  <si>
    <t xml:space="preserve">Neteja de les cobertes contemplant els següents treballs:
- Extracció manual de la vegetació existent (herbes i arrels) i injecció de biocida en l'espai resultant.
- Extracció manual de biofilms (molses) amb tractament inicial de les superfícies afectades amb biocida d'ampli espectre, eliminant posteriorment els residus amb rasclet i/o raspall de pues naturals.
- Neteja superficial de totes les cobertes amb aplicació d'aigua desmineralitzada i detergents neutres a baixa pressió (màxim una atm.) amb ajuda d'un raspallat suau amb raspall de pues naturals.
Tots aquests treballs seran realitzats per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</si>
  <si>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</si>
  <si>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</si>
  <si>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</si>
  <si>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</si>
  <si>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</si>
  <si>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</si>
  <si>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Coberta</t>
  </si>
  <si>
    <t xml:space="preserve">01.03.04</t>
  </si>
  <si>
    <t xml:space="preserve">Partida</t>
  </si>
  <si>
    <t xml:space="preserve">m2</t>
  </si>
  <si>
    <t xml:space="preserve">NETEJA PARAMENTS INTERIORS</t>
  </si>
  <si>
    <t xml:space="preserve">Neteja dels paraments interiors contemplant els següents treballs:
- Neteja detallada amb eliminació de restes de capes superposades emprant bisturí, brotxes,  llapis de fibra de vidre, gomes wishab, etc.
- Neteja humida per a retirar la pols en superfície tamponant-la amb aigua i alcohol al 50%.
Tots aquests treballs seran realitzats per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</si>
  <si>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</si>
  <si>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</si>
  <si>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</si>
  <si>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</si>
  <si>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</si>
  <si>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</si>
  <si>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Sala A PB</t>
  </si>
  <si>
    <t xml:space="preserve">Sostre</t>
  </si>
  <si>
    <t xml:space="preserve">Sala B PB</t>
  </si>
  <si>
    <t xml:space="preserve">Sostre</t>
  </si>
  <si>
    <t xml:space="preserve">Escala</t>
  </si>
  <si>
    <t xml:space="preserve">Sala central</t>
  </si>
  <si>
    <t xml:space="preserve">Cúpula</t>
  </si>
  <si>
    <t xml:space="preserve">Sala A P1</t>
  </si>
  <si>
    <t xml:space="preserve">Sostre</t>
  </si>
  <si>
    <t xml:space="preserve">Sala B P1</t>
  </si>
  <si>
    <t xml:space="preserve">Sostre</t>
  </si>
  <si>
    <t xml:space="preserve">Passadís P1</t>
  </si>
  <si>
    <t xml:space="preserve">01.03.05</t>
  </si>
  <si>
    <t xml:space="preserve">Partida</t>
  </si>
  <si>
    <t xml:space="preserve">m2</t>
  </si>
  <si>
    <t xml:space="preserve">DECAPATGE I NETEJA DE MAONS EN XEMENEIA</t>
  </si>
  <si>
    <t xml:space="preserve">Eliminació de capa de pintura plàstica, acabat llis, aplicada sobre qualsevol tipus de parament, amb mitjans manuals, aplicació amb brotxa de 0,18 l/m² de decapant universal d'alta eficiència, color blau, impregnant la pintura existent, eliminant-la amb espàtula una vegada estovada o amb ajuda de raspall de pues naturals i rentada posterior amb doll d'aigua calenta a pressió mínima controlada (màx. 1 atm) fins a eliminar les restes de decapant. Queden inclosos els treballs de protecció dels elements de l'entorn que puguin veure's afectats durant els treballs, aplicació del decapant, eliminació amb espàtula del material decapat, rentat de la superfície, recollida i eliminació de l'aigua de neteja, retirada i apilament de les restes generades i càrrega de les restes generades sobre camió o contenidor. Tots aquests treballs seran realitzats per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</si>
  <si>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</si>
  <si>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</si>
  <si>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</si>
  <si>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</si>
  <si>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</si>
  <si>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</si>
  <si>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Front xemeneia</t>
  </si>
  <si>
    <t xml:space="preserve">Caixa desguàs evacuació d’aigua</t>
  </si>
  <si>
    <t xml:space="preserve">01.03.06</t>
  </si>
  <si>
    <t xml:space="preserve">Partida</t>
  </si>
  <si>
    <t xml:space="preserve">m2</t>
  </si>
  <si>
    <t xml:space="preserve">DECAPATGE PANELLS ORIGINALS FAÇANA</t>
  </si>
  <si>
    <t xml:space="preserve">Eliminació de capa de pintura, aplicada sobre els panells originaris de l'aplacat de morter de calç sobre base doble de rajola comuna ceràmica, amb mitjans manuals, aplicació amb brotxa de decapant, impregnant la pintura existent, eliminant-la amb espàtula una vegada estovada i rentada posterior amb doll d'aigua calenta a pressió fins a eliminar les restes de decapant, fins a eliminar totes les capes afegides existents (dues o tres) i arribar a la capa d'acabat inicial. Aquesta partida inclou els treballs de protecció dels elements de l'entorn que puguin veure's afectats durant els treballs, l'aplicació del decapant, l'eliminació amb espàtula del material decapat, la rentada de la superfície, la recollida i eliminació de l'aigua de neteja, la retirada i apilament de les restes generades i la càrrega de les restes generades sobre camió o contenidor. Tots aquests treballs seran realitzats per personal especialitzat en treballs de neteja de paraments amb càrrega històrica.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</si>
  <si>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</si>
  <si>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</si>
  <si>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</si>
  <si>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</si>
  <si>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</si>
  <si>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</si>
  <si>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Panells originals de Gaudí</t>
  </si>
  <si>
    <t xml:space="preserve">01.03.07</t>
  </si>
  <si>
    <t xml:space="preserve">Partida</t>
  </si>
  <si>
    <t xml:space="preserve">m2</t>
  </si>
  <si>
    <t xml:space="preserve">DECAPATGE PANELLS NOUS FAÇANA</t>
  </si>
  <si>
    <t xml:space="preserve">Eliminació de capa de pintura, aplicada sobre els panells substituïts de l'aplacat de morter de calç hidràulica, amb mitjans manuals, aplicació amb brotxa de decapant, impregnant la pintura existent, eliminant-la amb espàtula una vegada estovada i rentada posterior amb doll d'aigua calenta a pressió fins a eliminar les restes de decapant, fins a eliminar totes les capes afegides existents (dues o tres) i arribar a la capa d'acabat inicial. Aquesta partida inclou els treballs de protecció dels elements de l'entorn que puguin veure's afectats durant els treballs, l'aplicació del decapant, l'eliminació amb espàtula del material decapat, la rentada de la superfície, la recollida i eliminació de l'aigua de neteja, la retirada i apilament de les restes generades i la càrrega de les restes generades sobre camió o contenidor. Tots aquests treballs seran realitzats per personal especialitzat en treballs de neteja de paraments amb càrrega històrica.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</si>
  <si>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</si>
  <si>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</si>
  <si>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</si>
  <si>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</si>
  <si>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</si>
  <si>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</si>
  <si>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Panells intervenció de Bassegoda</t>
  </si>
  <si>
    <t xml:space="preserve">01.03.08</t>
  </si>
  <si>
    <t xml:space="preserve">Partida</t>
  </si>
  <si>
    <t xml:space="preserve">m2</t>
  </si>
  <si>
    <t xml:space="preserve">NETEJA PAVIMENT RECUPERAT</t>
  </si>
  <si>
    <t xml:space="preserve">Neteja de rajoles ceràmiques i rajoles encàustiques recuperades, mitjançant l'aplicació sobre la superfície de la peça d'una dissolució d'aigua, sabons neutres i vinagre, prèvia prova de neteja per a comprovar eficàcia i bon resultat, raspallat de les rajoles i aclarit amb aigua clara abundant, repetint el tractament fins a eliminar totalment el morter i el possible salnitre de la superfície. Inclosa p/p de protecció dels elements de l'entorn que no són objecte de la neteja, eliminació mecànica d'incrustacions, assecat de l'aigua sobrant, retirada i apilament de les restes generades; considerant un grau de complexitat mitjà. Aquesta partida inclou els treballs de protecció dels elements de l'entorn, aplicació del producte de neteja, raspallat de la superfície, aclarit, neteja, retirada i apilament de l'aigua i les restes generades.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</si>
  <si>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</si>
  <si>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</si>
  <si>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</si>
  <si>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</si>
  <si>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</si>
  <si>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</si>
  <si>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Escala</t>
  </si>
  <si>
    <t xml:space="preserve">Pav. PB</t>
  </si>
  <si>
    <t xml:space="preserve">Pav. Sala B P1</t>
  </si>
  <si>
    <t xml:space="preserve">Pav. Sala A P1</t>
  </si>
  <si>
    <t xml:space="preserve">Espai sota escala</t>
  </si>
  <si>
    <t xml:space="preserve">01.03</t>
  </si>
  <si>
    <t xml:space="preserve">01.04</t>
  </si>
  <si>
    <t xml:space="preserve">Capítulo</t>
  </si>
  <si>
    <t xml:space="preserve">MOVIMENT DE TERRES</t>
  </si>
  <si>
    <t xml:space="preserve">01.04.01</t>
  </si>
  <si>
    <t xml:space="preserve">Partida</t>
  </si>
  <si>
    <t xml:space="preserve">u</t>
  </si>
  <si>
    <t xml:space="preserve">PODA D'ARBRE</t>
  </si>
  <si>
    <t xml:space="preserve">Poda d'arbre de fins a 5 m d'altura, de fins a 20 cm de diàmetre de tronc i copa poc frondosa. Treballs realitzats per jardiner extremant la cura. Aquesta partida inclou els treballs de poda, perfilat de brancatge, retirada de restes i deixalles i càrrega a camió.</t>
  </si>
  <si>
    <t xml:space="preserve">01.04.02</t>
  </si>
  <si>
    <t xml:space="preserve">Partida</t>
  </si>
  <si>
    <t xml:space="preserve">m3</t>
  </si>
  <si>
    <t xml:space="preserve">DESBROSSAMENT I NETEJA</t>
  </si>
  <si>
    <t xml:space="preserve">Desbrossament, neteja i anivellament del terreny de l’entorn del pavelló amb mitjans mecànics. Comprèn els treballs necessaris per a retirar petites plantes, males herbes i/o brossa, fins a una profunditat aproximada a 10 cm. Se seguiran les indicacions i criteri de la Direcció Facultativa i tots els treballs seran supervisats per equip arqueològic.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</si>
  <si>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</si>
  <si>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</si>
  <si>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</si>
  <si>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</si>
  <si>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</si>
  <si>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</si>
  <si>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Perímetre</t>
  </si>
  <si>
    <t xml:space="preserve">01.04.03</t>
  </si>
  <si>
    <t xml:space="preserve">Partida</t>
  </si>
  <si>
    <t xml:space="preserve">m3</t>
  </si>
  <si>
    <t xml:space="preserve">EXCAVACIÓ MECÀNICA</t>
  </si>
  <si>
    <t xml:space="preserve">Excavació de rases i pous, amb mitjans mecànics, i càrrega a camió. Aquesta partida inclou els treballs de replanteig general i fixació dels punts i nivells de referència, col·locació de les lliteres a les cantonades i extrems de les alineacions, refinat de fons i laterals a mà, amb extracció de les terres i càrrega a camió dels materials excavats. El preu no inclou el transport dels materials excavats i tots els treballs seran supervisat per equip arqueològic. Queda inclosa la part proporcional de mitjans auxiliars, equips i eines necessàries per a dur a terme la totalitat dels treballs als quals fa referència aquesta partida.</t>
  </si>
  <si>
    <t xml:space="preserve">Uds.</t>
  </si>
  <si>
    <t xml:space="preserve">Largo</t>
  </si>
  <si>
    <t xml:space="preserve">Ancho</t>
  </si>
  <si>
    <t xml:space="preserve">Alto</t>
  </si>
  <si>
    <t xml:space="preserve">Parcial</t>
  </si>
  <si>
    <t xml:space="preserve">Subtotal</t>
  </si>
  <si>
    <t xml:space="preserve">Xarxa de recollida d'aigües</t>
  </si>
  <si>
    <t xml:space="preserve">01.04.04</t>
  </si>
  <si>
    <t xml:space="preserve">Partida</t>
  </si>
  <si>
    <t xml:space="preserve">m3</t>
  </si>
  <si>
    <t xml:space="preserve">FARCIMENT I COMPACTACIÓ DE TERRENY</t>
  </si>
  <si>
    <t xml:space="preserve">Farciment i compactació de rases i pous, mitjançant l'estès en tongades de gruix no superior a 30 cm i posterior compactació amb mitjans mecànics fins a aconseguir una densitat seca no inferior al 95% de la màxima obtinguda en l'assaig Proctor Modificat, realitzat segons UNE 103501, quantes vegades sigui necessari fins a aconseguir la cota indicada en projecte i supervisada per la Direcció Facultativa.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</si>
  <si>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</si>
  <si>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</si>
  <si>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</si>
  <si>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</si>
  <si>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</si>
  <si>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</si>
  <si>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Xarxa de recollida d'aigües</t>
  </si>
  <si>
    <t xml:space="preserve">01.04.05</t>
  </si>
  <si>
    <t xml:space="preserve">Partida</t>
  </si>
  <si>
    <t xml:space="preserve">m3</t>
  </si>
  <si>
    <t xml:space="preserve">SOTA BASE DE GRAVES</t>
  </si>
  <si>
    <t xml:space="preserve">Formació de sota base, mitjançant l'estès de graves i posterior compactació amb mitjans mecànics fins a aconseguir una densitat seca no inferior al 95% de la màxima obtinguda en l'assaig Proctor Modificat, realitzat segons UNE 103501, quantes vegades sigui necessari, fins a aconseguir un gruix de 15 cm. Se seguiran les indicacions i criteri de la Direcció Facultativa del projecte.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</si>
  <si>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</si>
  <si>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</si>
  <si>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</si>
  <si>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</si>
  <si>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</si>
  <si>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</si>
  <si>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Xarxa de recollida d'aigües</t>
  </si>
  <si>
    <t xml:space="preserve">01.04.06</t>
  </si>
  <si>
    <t xml:space="preserve">Partida</t>
  </si>
  <si>
    <t xml:space="preserve">m3</t>
  </si>
  <si>
    <t xml:space="preserve">"SAULÓ" COMPACTAT</t>
  </si>
  <si>
    <t xml:space="preserve">Formació de paviment de sorra de sauló (o similar) compactada, mitjançant l'estès de la sorra i la seva posterior compactació amb mitjans mecànics fins a aconseguir una densitat seca no inferior al 98% de la màxima obtinguda en l'assaig Proctor Modificat, realitzat segons UNE 103501, quantes vegades sigui necessari, fins a aconseguir un gruix de 10 cm.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</si>
  <si>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</si>
  <si>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</si>
  <si>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</si>
  <si>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</si>
  <si>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</si>
  <si>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</si>
  <si>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Xarxa de recollida d'aigües</t>
  </si>
  <si>
    <t xml:space="preserve">01.04</t>
  </si>
  <si>
    <t xml:space="preserve">01</t>
  </si>
  <si>
    <t xml:space="preserve">02</t>
  </si>
  <si>
    <t xml:space="preserve">Capítulo</t>
  </si>
  <si>
    <t xml:space="preserve">OBRA DE PALETA</t>
  </si>
  <si>
    <t xml:space="preserve">02.01</t>
  </si>
  <si>
    <t xml:space="preserve">Capítulo</t>
  </si>
  <si>
    <t xml:space="preserve">COBERTA</t>
  </si>
  <si>
    <t xml:space="preserve">02.01.01</t>
  </si>
  <si>
    <t xml:space="preserve">Partida</t>
  </si>
  <si>
    <t xml:space="preserve">m2</t>
  </si>
  <si>
    <t xml:space="preserve">IMPERMEABILITZACIÓ COBERTES</t>
  </si>
  <si>
    <t xml:space="preserve">Impermeabilització de terrats, realitzada mitjançant revestiment continu elàstic impermeabilitzant a base de polímers acrílics en emulsió aquosa, color a triar per la Direcció Facultativa, amb un rendiment de 1,5 l/m², i col·locació de malla de fibra de vidre, de 60 g/m² de massa superficial. Aquesta partida inclou la col·locació de la malla i l'aplicació del impermeabilitzant.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</si>
  <si>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</si>
  <si>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</si>
  <si>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</si>
  <si>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</si>
  <si>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</si>
  <si>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</si>
  <si>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Passarel·la en cúpula central</t>
  </si>
  <si>
    <t xml:space="preserve">02.01.02</t>
  </si>
  <si>
    <t xml:space="preserve">Partida</t>
  </si>
  <si>
    <t xml:space="preserve">m</t>
  </si>
  <si>
    <t xml:space="preserve">CANALETA</t>
  </si>
  <si>
    <t xml:space="preserve">Subministrament i col·locació sota paviment de coberta, en tram continu, de canaleta de polipropilè per a recollida d'aigües pluvials i adreçar-la a la xarxa de desguàs del terrat, amb un pendent mínim del 5%. Inclosos accessoris de muntatge, peces especials i elements de subjecció. Totalment muntada, establerta connexió a la xarxa general de desguàs i provada. Inclou el replanteig del recorregut de la canaleta de drenatge, muntatge de les peces prefabricades, formació de forats per a connexió de tubs, entroncament i rejuntat dels col·lectors a la canaleta de drenatge. Se seguiran les indicacions i criteri de la Direcció Facultativa. Aquesta partida inclou la part proporcional de mitjans auxiliars, equips i eines necessàries per a dur a terme la totalitat dels treballs als quals fa referència.</t>
  </si>
  <si>
    <t xml:space="preserve">02.01.03</t>
  </si>
  <si>
    <t xml:space="preserve">Partida</t>
  </si>
  <si>
    <t xml:space="preserve">m2</t>
  </si>
  <si>
    <t xml:space="preserve">FORMACIÓ DE PENDENTS</t>
  </si>
  <si>
    <t xml:space="preserve">Formació de pendents mitjançant encintat de careneres, aiguafons i juntes, amb mestres i capa de 5 cm de gruix mitjà a base de morter de calç hidràulica (NHL-3,5), àrids seleccionats, amb acabat superficial remolinat aprovat per la Direcció Facultativa. Inclosa p/p de saturació del suport amb aigua a baixa pressió i eliminació de l'aigua sobrant amb aire comprimit, col·locació de malla de fibra de vidre antiàlcalis, mestres amb separació entre elles no superior a tres metres, arestes, rematades en les trobades amb paraments, revestiments o altres elements rebuts en la seva superfície. Aquesta partida inclou la saturació del suport amb aigua, l'eliminació de l'aigua sobrant, la col·locació de la malla entre diferents materials, la realització de mestres, la preparació i aplicació de les successives capes, la realització de juntes i trobades i l'acabat superficial. Tots el treballs es faran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</si>
  <si>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</si>
  <si>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</si>
  <si>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</si>
  <si>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</si>
  <si>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</si>
  <si>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</si>
  <si>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Coberta zona Sala A</t>
  </si>
  <si>
    <t xml:space="preserve">Coberta zona Sala B</t>
  </si>
  <si>
    <t xml:space="preserve">02.01.04</t>
  </si>
  <si>
    <t xml:space="preserve">Partida</t>
  </si>
  <si>
    <t xml:space="preserve">u</t>
  </si>
  <si>
    <t xml:space="preserve">EMBORNAL BAIXANT COBERTA</t>
  </si>
  <si>
    <t xml:space="preserve">Formació d'embornal en coberta plana per a evacuar aigües pluvials a través de baixant, de sortida vertical de diàmetre adaptat al forat existent, amb reixeta metàl·lica, per a recollida d'aigües pluvials. Inclosos accessoris de muntatge, peces especials i elements de subjecció. Aquesta partida inclou els treballs de replanteig i traçat, muntatge, connexió i comprovació del correcte funcionament. Inclosa la càrrega manual d'enderrocs generats sobre camió o contenidor. Se seguiran les indicacions i criteri de la Direcció Facultativa. Aquesta partida inclou la part proporcional de mitjans auxiliars, equips i eines necessàries per a dur a terme la totalitat dels treballs als quals fa referència.</t>
  </si>
  <si>
    <t xml:space="preserve">02.01.05</t>
  </si>
  <si>
    <t xml:space="preserve">Partida</t>
  </si>
  <si>
    <t xml:space="preserve">m</t>
  </si>
  <si>
    <t xml:space="preserve">BAIXANT DE ZINC</t>
  </si>
  <si>
    <t xml:space="preserve">Subministrament i col·locació de tub baixant circular de zinc, de Ø 80 mm, gruix 0,65 mm, per arreplegat d'aigües pluvials arreplegades en cobertes, formada per peces preformades, amb sistema d'unió mitjançant atrompetat, col·locades amb suports especials col·locats cada 50 cm, instal·lada en l'exterior de l'edifici. Inclosa la part proporcional de col·locació de caldereta amb bonera de recollida d'aigües. Aquesta partida inclou el replanteig del recorregut de la baixant i de la situació dels elements de subjecció, la presentació en sec dels tubs la fixació del material auxiliar per a muntatge i subjecció a l'obra, el muntatge, connexió i comprovació del correcte funcionament. Realització de proves de servei.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</si>
  <si>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</si>
  <si>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</si>
  <si>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</si>
  <si>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</si>
  <si>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</si>
  <si>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</si>
  <si>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02.01.06</t>
  </si>
  <si>
    <t xml:space="preserve">Partida</t>
  </si>
  <si>
    <t xml:space="preserve">u</t>
  </si>
  <si>
    <t xml:space="preserve">SUBSTITUCIÓ EMBORNAL</t>
  </si>
  <si>
    <t xml:space="preserve">Substitució d'embornal deteriorat en coberta plana. Inclosa p/p de retirada de l'embornal deteriorat, connexió a la xarxa de sanejament de l'edifici, reparació dels desperfectes que es puguin ocasionar en els elements de l'entorn que hagin de mantenir-se, neteja, apilament, retirada i càrrega manual d'enderrocs sobre camió o contenidor. Totalment acabat, connexió i provat. Se seguiran les indicacions i criteri de la Direcció Facultativa. Aquesta partida inclou la part proporcional de mitjans auxiliars, equips i eines necessàries per a dur a terme la totalitat dels treballs als quals fa referència.</t>
  </si>
  <si>
    <t xml:space="preserve">02.01.07</t>
  </si>
  <si>
    <t xml:space="preserve">Partida</t>
  </si>
  <si>
    <t xml:space="preserve">u</t>
  </si>
  <si>
    <t xml:space="preserve">NOVA XEMENEIA CUINA</t>
  </si>
  <si>
    <t xml:space="preserve">Subministrament i col·locació de xemeneia de ventilació tipus "Vilanova" de característiques similars a l'original, segons documentació gràfica històrica (fotografies històriques), inclosa la part proporcional de motor d'extracció ultrasilenciós gamma alta. Aquests treballs es duran a terme tenint en compte les indicacions i criteri de la Direcció Facultativa. Aquesta partida inclou la part proporcional de mitjans auxiliars, equips i eines necessàries per a dur a terme la totalitat dels treballs als quals fa referència.</t>
  </si>
  <si>
    <t xml:space="preserve">02.01</t>
  </si>
  <si>
    <t xml:space="preserve">02.02</t>
  </si>
  <si>
    <t xml:space="preserve">Capítulo</t>
  </si>
  <si>
    <t xml:space="preserve">ACABATS</t>
  </si>
  <si>
    <t xml:space="preserve">02.02.01</t>
  </si>
  <si>
    <t xml:space="preserve">Capítulo</t>
  </si>
  <si>
    <t xml:space="preserve">EXTERIOR</t>
  </si>
  <si>
    <t xml:space="preserve">02.02.01.01</t>
  </si>
  <si>
    <t xml:space="preserve">Partida</t>
  </si>
  <si>
    <t xml:space="preserve">m2</t>
  </si>
  <si>
    <t xml:space="preserve">ESQUERDEJAT MORTER DE CALÇ</t>
  </si>
  <si>
    <t xml:space="preserve">Formació d'esquerdejat a bona vista de morter de calç aèria, àrids seleccionats, amb acabat superficial rugós aprovat per la Direcció Facultativa, aplicat en una mà de 20 mm de gruix, sobre un parament vertical. Inclosa p/p de saturació del suport amb aigua a baixa pressió i eliminació de l'aigua sobrant amb aire comprimit, col·locació de malla de fibra de vidre antiàlcalis, reglades amb separació entre elles no superior a tres metres, arestes, rematades en les trobades amb paraments, revestiments o altres elements rebuts en la seva superfície. Aquesta partida inclou la saturació del suport amb aigua, l'eliminació de l'aigua sobrant, la col·locació de la malla entre diferents materials, la realització de mestres, la preparació i aplicació de les successives capes, la realització de juntes i trobades i l'acabat superficial. Tots els treballs es duran a terme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</si>
  <si>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</si>
  <si>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</si>
  <si>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</si>
  <si>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</si>
  <si>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</si>
  <si>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</si>
  <si>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C07</t>
  </si>
  <si>
    <t xml:space="preserve">C06</t>
  </si>
  <si>
    <t xml:space="preserve">C13 cubierta</t>
  </si>
  <si>
    <t xml:space="preserve">C15 cubierta</t>
  </si>
  <si>
    <t xml:space="preserve">02.02.01.02</t>
  </si>
  <si>
    <t xml:space="preserve">Partida</t>
  </si>
  <si>
    <t xml:space="preserve">m2</t>
  </si>
  <si>
    <t xml:space="preserve">REJUNTAT</t>
  </si>
  <si>
    <t xml:space="preserve">Farciment i reparació de juntes en façana, amb aplicació manual mitjançant paleta de morter compost per morter de calç hidràulic NHL-2 (Natural Hydraulic Lime) entonat en massa amb pigments naturals i amb àrids triats de característiques anàlogues al morter original, comptant amb l'aprovació de la Direcció Facultativa. Una vegada el suport estigui sanejat i lliure de restes de treballs anteriors. Aquesta partida inclou els treballs de neteja prèvia de la superfície, saturació del suport amb aigua a baixa pressió, eliminació de l'aigua sobrant amb aire comprimit, aplicació del morter, eventual filetejat, neteja final de l'element. Tots aquests treballs seran realitzats per equip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</si>
  <si>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</si>
  <si>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</si>
  <si>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</si>
  <si>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</si>
  <si>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</si>
  <si>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</si>
  <si>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C01</t>
  </si>
  <si>
    <t xml:space="preserve">C02</t>
  </si>
  <si>
    <t xml:space="preserve">C03</t>
  </si>
  <si>
    <t xml:space="preserve">C04</t>
  </si>
  <si>
    <t xml:space="preserve">C05</t>
  </si>
  <si>
    <t xml:space="preserve">C06</t>
  </si>
  <si>
    <t xml:space="preserve">C07</t>
  </si>
  <si>
    <t xml:space="preserve">C08</t>
  </si>
  <si>
    <t xml:space="preserve">C09</t>
  </si>
  <si>
    <t xml:space="preserve">C10-C11-C12</t>
  </si>
  <si>
    <t xml:space="preserve">C13-C14-C15</t>
  </si>
  <si>
    <t xml:space="preserve">02.02.01.03</t>
  </si>
  <si>
    <t xml:space="preserve">Partida</t>
  </si>
  <si>
    <t xml:space="preserve">m2</t>
  </si>
  <si>
    <t xml:space="preserve">CONSOLIDACIÓ HIDROFUGANT</t>
  </si>
  <si>
    <t xml:space="preserve">Aplicació de tractament superficial de protecció hidròfuga per a façanes de superfície llisa, mitjançant impregnació hidròfuga incolora, a base de siloxans, permeable al vapor d'aigua, repel·lent de l'aigua i la brutícia, anticarbonatació, flexible i de gran adherència, aplicada en mans successives fins a la saturació de l'element. Inclosa p/p de neteja de la superfície de suport. S'aplicaran dues capes que saturin completament la superfície. La segona s'aplica quan s'hagi absorbit bé la primera (aproximadament 1/2 hora després de la primera capa). Aquesta partida inclou els treballs de neteja general del suport i l'aplicació de l’hidrofugant.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</si>
  <si>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</si>
  <si>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</si>
  <si>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</si>
  <si>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</si>
  <si>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</si>
  <si>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</si>
  <si>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C01</t>
  </si>
  <si>
    <t xml:space="preserve">C02</t>
  </si>
  <si>
    <t xml:space="preserve">C03</t>
  </si>
  <si>
    <t xml:space="preserve">C04</t>
  </si>
  <si>
    <t xml:space="preserve">C05</t>
  </si>
  <si>
    <t xml:space="preserve">C06</t>
  </si>
  <si>
    <t xml:space="preserve">C07</t>
  </si>
  <si>
    <t xml:space="preserve">C08</t>
  </si>
  <si>
    <t xml:space="preserve">C09</t>
  </si>
  <si>
    <t xml:space="preserve">C10-C11-C12</t>
  </si>
  <si>
    <t xml:space="preserve">C13-C14-C15</t>
  </si>
  <si>
    <t xml:space="preserve">Cubierta</t>
  </si>
  <si>
    <t xml:space="preserve">02.02.01.04</t>
  </si>
  <si>
    <t xml:space="preserve">Partida</t>
  </si>
  <si>
    <t xml:space="preserve">m2</t>
  </si>
  <si>
    <t xml:space="preserve">CONSOLIDACIÓ HIDROFUGANT SUPERFÍCIES POROSES</t>
  </si>
  <si>
    <t xml:space="preserve">Aplicació de tractament superficial de protecció hidròfuga per a façanes de superfície porosa, mitjançant impregnació hidròfuga incolora, a base de siloxans, permeable al vapor d'aigua, repel·lent de l'aigua i la brutícia, anticarbonatació, flexible i de gran adherència, aplicada en mans successives fins a la saturació de l'element. Inclosa p/p de neteja de la superfície de suport. S'aplicaran dues capes que saturin completament la superfície. La segona s'aplica quan s'hagi absorbit bé la primera (aproximadament 1/2 hora després de la primera capa). Aquesta partida inclou els treballs de neteja general del suport i l'aplicació del hidrofugant.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</si>
  <si>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</si>
  <si>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</si>
  <si>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</si>
  <si>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</si>
  <si>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</si>
  <si>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</si>
  <si>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Aplacado Gaudí</t>
  </si>
  <si>
    <t xml:space="preserve">Aplacado Bassegoda</t>
  </si>
  <si>
    <t xml:space="preserve">Aplacado nuevo</t>
  </si>
  <si>
    <t xml:space="preserve">02.02.01.05</t>
  </si>
  <si>
    <t xml:space="preserve">Partida</t>
  </si>
  <si>
    <t xml:space="preserve">m2</t>
  </si>
  <si>
    <t xml:space="preserve">TRACTAMENT FUNGICIDA</t>
  </si>
  <si>
    <t xml:space="preserve">Tractament fungicida amb caràcter preventiu sobre qualsevol mena de parament, mitjançant l'aplicació, amb brotxa, corró o pistola de baixa pressió, d'una capa de imprimació fungicida per a l'eliminació de floridures, fongs i algues, diluïda en aigua del 20% al 30%, amb 0,15 l/m² de consum mitjà. Inclosa la part proporcional de protecció de les superfícies contigües i neteja final. Queda inclosa la protecció de les superfícies contigües, l'aplicació del producte fungicida i la neteja final.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</si>
  <si>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</si>
  <si>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</si>
  <si>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</si>
  <si>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</si>
  <si>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</si>
  <si>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</si>
  <si>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C01</t>
  </si>
  <si>
    <t xml:space="preserve">C02</t>
  </si>
  <si>
    <t xml:space="preserve">C03</t>
  </si>
  <si>
    <t xml:space="preserve">C04</t>
  </si>
  <si>
    <t xml:space="preserve">C05</t>
  </si>
  <si>
    <t xml:space="preserve">C06</t>
  </si>
  <si>
    <t xml:space="preserve">C07</t>
  </si>
  <si>
    <t xml:space="preserve">C08</t>
  </si>
  <si>
    <t xml:space="preserve">C09</t>
  </si>
  <si>
    <t xml:space="preserve">C10-C11-C12</t>
  </si>
  <si>
    <t xml:space="preserve">C13-C14-C15</t>
  </si>
  <si>
    <t xml:space="preserve">Cubierta</t>
  </si>
  <si>
    <t xml:space="preserve">02.02.01</t>
  </si>
  <si>
    <t xml:space="preserve">02.02.02</t>
  </si>
  <si>
    <t xml:space="preserve">Capítulo</t>
  </si>
  <si>
    <t xml:space="preserve">INTERIOR</t>
  </si>
  <si>
    <t xml:space="preserve">02.02.02.01</t>
  </si>
  <si>
    <t xml:space="preserve">Partida</t>
  </si>
  <si>
    <t xml:space="preserve">m2</t>
  </si>
  <si>
    <t xml:space="preserve">RECOMPOSICIÓ O RESTITUCIÓ D'ARREBOSSATS HISTÒRICS AMB MORT. DE CALÇ</t>
  </si>
  <si>
    <t xml:space="preserve">Recomposició o restitució d'arrebossats històrics utilitzant morter de calç aèria amb àrid de característiques anàlogues a l'existent entonat en massa amb l'ajuda de terres naturals fins a equiparar-se al desitjat. Inclosos els treballs de texturitzat de la superfície gràcies a l'ajuda d'esponges i raspalls de pues animals toves. S'estima una superfície del 30% dels paraments interiors. Aquests treballs seran realitzats per restaurador i respectant el criteri de la Direcció Facultativa. En aquesta partida queden inclosos els treballs de neteja prèvia de la superfície, saturació del suport amb aigua, aplicació del morter, treballs de texturitzat de l'acabat final i neteja de l'element una vegada finalitzat el treball. Tots aquests treballs seran realitzats per equip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</si>
  <si>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</si>
  <si>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</si>
  <si>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</si>
  <si>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</si>
  <si>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</si>
  <si>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</si>
  <si>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Sala A PB</t>
  </si>
  <si>
    <t xml:space="preserve">Techo</t>
  </si>
  <si>
    <t xml:space="preserve">Sala B PB</t>
  </si>
  <si>
    <t xml:space="preserve">Techo</t>
  </si>
  <si>
    <t xml:space="preserve">Escalera</t>
  </si>
  <si>
    <t xml:space="preserve">Sala central</t>
  </si>
  <si>
    <t xml:space="preserve">Cúpula</t>
  </si>
  <si>
    <t xml:space="preserve">Sala A P1</t>
  </si>
  <si>
    <t xml:space="preserve">Techo</t>
  </si>
  <si>
    <t xml:space="preserve">Sala B P1</t>
  </si>
  <si>
    <t xml:space="preserve">Techo</t>
  </si>
  <si>
    <t xml:space="preserve">Pasillo P1</t>
  </si>
  <si>
    <t xml:space="preserve">02.02.02.02</t>
  </si>
  <si>
    <t xml:space="preserve">Partida</t>
  </si>
  <si>
    <t xml:space="preserve">m2</t>
  </si>
  <si>
    <t xml:space="preserve">PAVIMENT ESPINA DE PEIX</t>
  </si>
  <si>
    <t xml:space="preserve">Subministrament i execució de paviment col·locat a espina de peix, realitzat amb rajoles de fang cuit d'elaboració manual de característiques anàlogues a les originals, de 14,5x29 cm, rebudes amb maça de goma sobre una capa semiseca de morter de calç hidràulica natural (NHL-3,5) i rejuntades amb morter de les mateixes característiques. Estimant que és necessari pavimentar el 50% de la superfície. Inclosa part proporcional de replantejos, talls, creueres, formació de juntes perimetrals contínues, d'amplària no menor de 5 mm, eliminació del material sobrant del rejuntat, neteja del paviment, aplicació amb corró de producte impermeabilitzant per al segellament de porus i posterior aplicació de ceres naturals i abrillantat amb drap sec i neteja final. S'inclouen els treballs de replanteig dels nivells d'acabat, replanteig de la disposició de les rajoles, estès de la capa de morter. Empolvoro amb ciment de la superfície de la capa de morter si així ho considerés la Direcció Facultativa, la col·locació de les creueres, la col·locació de les rajoles, el rejuntat, l'eliminació i neteja del material sobrant, la neteja final del paviment i l'aplicació d'olis protectors i ceres per a la seva conservació. Se seguiran les indicacions i criteri de la Direcció Facultativa del projecte.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</si>
  <si>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</si>
  <si>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</si>
  <si>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</si>
  <si>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</si>
  <si>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</si>
  <si>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</si>
  <si>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Escalera</t>
  </si>
  <si>
    <t xml:space="preserve">Pav. PB</t>
  </si>
  <si>
    <t xml:space="preserve">Pav. corcho</t>
  </si>
  <si>
    <t xml:space="preserve">Pav. textil</t>
  </si>
  <si>
    <t xml:space="preserve">02.02.02.03</t>
  </si>
  <si>
    <t xml:space="preserve">Partida</t>
  </si>
  <si>
    <t xml:space="preserve">m</t>
  </si>
  <si>
    <t xml:space="preserve">ENTORNPEU</t>
  </si>
  <si>
    <t xml:space="preserve">Subministrament i col·locació d’entornpeu realitzat amb peces de fang cuit d'elaboració manual de característiques anàlogues al paviment emprat, rebudes amb maça de goma sobre una capa semiseca de morter de Calç Hidràulic Natural (NHL-3,5) i rejuntades amb morter de les mateixes característiques. Inclosa part proporcional de replantejos, talls, creueres, eliminació del material sobrant del rejuntat, neteja del paviment, aplicació amb corró de producte impermeabilitzant per al segellament de porus i posterior aplicació de ceres naturals i abrillantat amb drap sec i neteja final. S'inclouen els treballs de replanteig dels nivells d'acabat, replanteig de la disposició de les peces, estès de la capa de morter, la col·locació de les creueres, la col·locació de les peces, el rejuntat, l'eliminació i neteja del material sobrant, la neteja final i l'aplicació d'olis protectors i ceres per a la seva conservació.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</si>
  <si>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</si>
  <si>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</si>
  <si>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</si>
  <si>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</si>
  <si>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</si>
  <si>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</si>
  <si>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Sala A PB</t>
  </si>
  <si>
    <t xml:space="preserve">Sala B PB</t>
  </si>
  <si>
    <t xml:space="preserve">Sala central PB</t>
  </si>
  <si>
    <t xml:space="preserve">Sala A P1</t>
  </si>
  <si>
    <t xml:space="preserve">Sala B P1</t>
  </si>
  <si>
    <t xml:space="preserve">Pasarela P1</t>
  </si>
  <si>
    <t xml:space="preserve">02.02.02</t>
  </si>
  <si>
    <t xml:space="preserve">02.02</t>
  </si>
  <si>
    <t xml:space="preserve">02.03</t>
  </si>
  <si>
    <t xml:space="preserve">Capítulo</t>
  </si>
  <si>
    <t xml:space="preserve">CARPINTERIA I SERRALLERIA</t>
  </si>
  <si>
    <t xml:space="preserve">02.03.01</t>
  </si>
  <si>
    <t xml:space="preserve">Partida</t>
  </si>
  <si>
    <t xml:space="preserve">u</t>
  </si>
  <si>
    <t xml:space="preserve">PORTA DE VIDRE</t>
  </si>
  <si>
    <t xml:space="preserve">Subministrament i col·locació de porta abatible de vidre temperat extraclar de 10 mm de gruix, de disseny i dimensions segons documentació gràfica del projecte. Col·locada amb un mínim de tres frontisses. En aquesta partida queda inclosa la col·locació dels ferratges de pengat i la col·locació de la porta. Treballs realitzats sota la supervisió, seguint les indicacions i criteri de la Direcció Facultativa. Aquesta partida inclou la part proporcional de mitjans auxiliars, equips i eines necessàries per a dur a terme la totalitat dels treballs als quals fa referència.</t>
  </si>
  <si>
    <t xml:space="preserve">02.03.02</t>
  </si>
  <si>
    <t xml:space="preserve">Partida</t>
  </si>
  <si>
    <t xml:space="preserve">u</t>
  </si>
  <si>
    <t xml:space="preserve">VIDRE ADAPTAT AL BUIIT</t>
  </si>
  <si>
    <t xml:space="preserve">Subministrament i col·locació de fix de cristall adaptat en forma al buit existent en façana compost per vidre temperat extraclar de 10 mm de gruix, de disseny i dimensions segons documentació gràfica del projecte. En aquesta partida queda inclosa la col·locació dels ferratges de topall i la col·locació del fix de cristall. Treballs realitzats sota la supervisió, seguint les indicacions i criteri de la Direcció Facultativa. Aquesta partida inclou la part proporcional de mitjans auxiliars, equips i eines necessàries per a dur a terme la totalitat dels treballs als quals fa referència. Inclosa l'elaboració de plantilles individuals de cadascun dels buits.</t>
  </si>
  <si>
    <t xml:space="preserve">Uds.</t>
  </si>
  <si>
    <t xml:space="preserve">Largo</t>
  </si>
  <si>
    <t xml:space="preserve">Ancho</t>
  </si>
  <si>
    <t xml:space="preserve">Alto</t>
  </si>
  <si>
    <t xml:space="preserve">Parcial</t>
  </si>
  <si>
    <t xml:space="preserve">Subtotal</t>
  </si>
  <si>
    <t xml:space="preserve">02.03.03</t>
  </si>
  <si>
    <t xml:space="preserve">Partida</t>
  </si>
  <si>
    <t xml:space="preserve">u</t>
  </si>
  <si>
    <t xml:space="preserve">BARRET ULL LLANTERNA</t>
  </si>
  <si>
    <t xml:space="preserve">Subministrament i col·locació de conjunt de tancament d'ull de llanterna de 60/70 cm de diàmetre, amb rematada exterior cònica translúcida de cristall, subjectat amb cèrcols practicables de perfils metàl·lics. El disseny i configuració del conjunt de tancament seguirà les indicacions i dimensions marcades en la documentació gràfica del projecte. En aquesta partida queden incloses la col·locació dels ferratges de pengat i la col·locació de la porta. Treballs realitzats sota la supervisió, seguint les indicacions i criteri de la Direcció Facultativa. Aquesta partida inclou la part proporcional de mitjans auxiliars, equips i eines necessàries per a dur a terme la totalitat dels treballs als quals fa referència.</t>
  </si>
  <si>
    <t xml:space="preserve">02.03.04</t>
  </si>
  <si>
    <t xml:space="preserve">Partida</t>
  </si>
  <si>
    <t xml:space="preserve">u</t>
  </si>
  <si>
    <t xml:space="preserve">REMAT BARRET XEMENEIA CONJUNT</t>
  </si>
  <si>
    <t xml:space="preserve">Subministrament i col·locació de conjunt de tancament d'ull de llanterna de 60/70 cm de diàmetre, amb rematada exterior cònica de zinc, subjectat amb cèrcols practicables de perfils metàl·lics. El disseny i configuració del conjunt de tancament seguirà les indicacions i dimensions marcades en la documentació gràfica del projecte. En aquesta partida queden incloses la col·locació dels ferratges de pengat i la col·locació de la porta. Treballs realitzats sota la supervisió, seguint les indicacions i criteri de la Direcció Facultativ. Aquesta partida inclou la part proporcional de mitjans auxiliars, equips i eines necessàries per a dur a terme la totalitat dels treballs als quals fa referència.</t>
  </si>
  <si>
    <t xml:space="preserve">02.03</t>
  </si>
  <si>
    <t xml:space="preserve">02</t>
  </si>
  <si>
    <t xml:space="preserve">03</t>
  </si>
  <si>
    <t xml:space="preserve">Capítulo</t>
  </si>
  <si>
    <t xml:space="preserve">RESTAURACIÓ</t>
  </si>
  <si>
    <t xml:space="preserve">03.01</t>
  </si>
  <si>
    <t xml:space="preserve">Capítulo</t>
  </si>
  <si>
    <t xml:space="preserve">FAÇANA</t>
  </si>
  <si>
    <t xml:space="preserve">03.01.01</t>
  </si>
  <si>
    <t xml:space="preserve">Partida</t>
  </si>
  <si>
    <t xml:space="preserve">u</t>
  </si>
  <si>
    <t xml:space="preserve">COL·LOCACIÓ DE CARREUONS</t>
  </si>
  <si>
    <t xml:space="preserve">Subministrament i col·locació de peça de pedra calcària en sòcol de façana, de característiques anàlogues als existents, recolzats sobre uns altres amb la interposició de morter de calç hidràulica que serveixi de llit. Inclosa preparació del suport eliminant restes de morters de ciment espuris, anivellat i aplomat de la pedra i rejuntat amb morter de calç hidràulica natural (NHL-3,5), amb àrid de sorra de riu rentada seleccionat per a imitar el cromatisme original. Aquesta partida inclou el replanteig dels treballs a realitzar, la col·locació i aplomat de mires de referència, la neteja i humectació del llit, l'estesa de morter i col·locació de tascons, la col·locació de la pedra, el tanteig amb regla, nivell i plomada, rectificant la seva posició mitjançant el colpejat, el farciment de juntes verticals, la neteja del parament. Tots aquests treballs seran realitzats per personal especialitzat en restauració. Es duran a terme en aquelles zones que determini la Direcció Facultativa i sempre se seguiran les seves indicacions i criteri.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</si>
  <si>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</si>
  <si>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</si>
  <si>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</si>
  <si>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</si>
  <si>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</si>
  <si>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</si>
  <si>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C12</t>
  </si>
  <si>
    <t xml:space="preserve">03.01.02</t>
  </si>
  <si>
    <t xml:space="preserve">Partida</t>
  </si>
  <si>
    <t xml:space="preserve">u</t>
  </si>
  <si>
    <t xml:space="preserve">RESTITUCIÓ DE MAONS DEGRADATS</t>
  </si>
  <si>
    <t xml:space="preserve">Conjunt de treballs que impliquen la restitució de maons degradats en paraments de façana d'obra vista, consistent en reparació i/o substitució local dels elements deteriorats o no corresponents, retornant-los al seu aspecte original. S'utilitzaran maons massissos vermells o grocs com els originals o morter de calç (depenent del volum a restituir). Els morters de junta a utilitzar seran de Calç Hidràulica Natural (NHL-3,5), amb àrid de sorra de riu rentat i seleccionat per a imitar el cromatisme original. Si escau s'utilitzarà morter de reparació. Aquesta partida inclou el sanejat o eliminació de la peça danyada, la neteja i humectació del buit existent, l'estesa de morter, la col·locació de la nova peça, el tanteig amb regla, nivell i plomada, rectificant la seva posició mitjançant el colpejat, el farciment de juntes verticals, la neteja del parament. Tots aquests treballs seran realitzats per personal especialitzat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</si>
  <si>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</si>
  <si>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</si>
  <si>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</si>
  <si>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</si>
  <si>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</si>
  <si>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</si>
  <si>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C08</t>
  </si>
  <si>
    <t xml:space="preserve">C06</t>
  </si>
  <si>
    <t xml:space="preserve">Estimacio façanes</t>
  </si>
  <si>
    <t xml:space="preserve">03.01.03</t>
  </si>
  <si>
    <t xml:space="preserve">Partida</t>
  </si>
  <si>
    <t xml:space="preserve">m2</t>
  </si>
  <si>
    <t xml:space="preserve">RESTAURACIÓ FAÇANA APLACAT GAUDÍ</t>
  </si>
  <si>
    <t xml:space="preserve">Conjunt de treballs que impliquen la restitució o substitució d'aplacats originals existents en façana de 15x75x6 cm aproximadament (realitzades per A. Gaudí), comprenent els treballs d'obtenció d'un motlle que permeti reproduir una peça de característiques geomètriques idèntica a les peces originals i la reproducció de noves peces de pedra artificial utilitzant com a materials morter de calç hidràulica natural (NHL-3,5) i àrid similar sobre una base de doble rajola ceràmica. Una vegada detectada la peça a substituir es procedirà a l'extracció acurada dels seus fragments junt el morter corresponent per tal què, una vegada neta la superfície i sense elements disgregats, es col·loqui la peça “nova” presa amb guix o morter de calç. S'inclouen els treballs d'obtenció de mostres i la realització dels motlles, execució de peces noves, extracció de peces a substituir, neteja de superfícies, col·locació de noves peces, el rejuntat, l'eliminació i neteja del material sobrant, la neteja final del parament. Tots aquests treballs seran realitzats per personal especialitzat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</si>
  <si>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</si>
  <si>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</si>
  <si>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</si>
  <si>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</si>
  <si>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</si>
  <si>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</si>
  <si>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Aplacat Gaudí</t>
  </si>
  <si>
    <t xml:space="preserve">03.01.04</t>
  </si>
  <si>
    <t xml:space="preserve">Partida</t>
  </si>
  <si>
    <t xml:space="preserve">m2</t>
  </si>
  <si>
    <t xml:space="preserve">RESTAURACIÓ FAÇANA APLACAT BASSEGODA</t>
  </si>
  <si>
    <t xml:space="preserve">Conjunt de treballs que impliquen la restitució o substitució d'aplacats de 30x60x6 cm aproximadament, existents en façana (col·locats durant la intervenció de Bassegoda), comprenent els treballs d'obtenció d'un motlle que permeti reproduir una peça de característiques geomètriques idèntica a les peces originals i la reproducció de noves peces de pedra artificial utilitzant com a materials morter de calç hidràulica natural (NHL-3,5) i àrid similar sobre una base de doble rajola ceràmica. Una vegada detectada la peça a substituir es procedirà a l'extracció acurada dels seus fragments junt el morter corresponent per tal què, una vegada neta la superfície i sense elements disgregats, es col·loqui la peça “nova” presa amb guix o morter de calç. S'inclouen els treballs d'obtenció de mostres i la realització dels motlles, execució de peces noves, extracció de peces a substituir, neteja de superfícies, col·locació de noves peces, el rejuntat, l'eliminació i neteja del material sobrant, la neteja final del parament. Tots aquests treballs seran realitzats per personal especialitzat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</si>
  <si>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</si>
  <si>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</si>
  <si>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</si>
  <si>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</si>
  <si>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</si>
  <si>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</si>
  <si>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Aplacat Bassegoda</t>
  </si>
  <si>
    <t xml:space="preserve">03.01.05</t>
  </si>
  <si>
    <t xml:space="preserve">Partida</t>
  </si>
  <si>
    <t xml:space="preserve">m2</t>
  </si>
  <si>
    <t xml:space="preserve">RESTAURACIÓ FAÇANA APLACAT NOU</t>
  </si>
  <si>
    <t xml:space="preserve">Conjunt de treballs que impliquen un nou aplacat sobre murs de façana, utilitzant plaques reproduïdes prenent com a exemple les peces originals de l'edifici, comprenent els treballs d'obtenció de dos motlles que permetin reproduir peces de característiques geomètriques idèntiques a les peces originals i la reproducció de noves peces de pedra artificial utilitzant com a materials morter de calç hidràulica natural (NHL-3,5) i àrid similar sobre una base de doble rajola ceràmica. Una vegada detectada la peça a substituir es procedirà a l'extracció acurada dels seus fragments junt al morter corresponent per tal què, una vegada neta la superfície i sense elements disgregats, es col·loqui la peça “nova” presa amb guix o morter de calç. Aquesta partida inclou la preparació de la superfície, la neteja i humectació de la peça a col·locar, l'estesa de morter, la col·locació de la nova peça, el tanteig amb regla, nivell i plomada, rectificant la seva posició mitjançant colpejat, el farciment de juntes verticals, la neteja del parament. Tots aquests treballs seran realitzats per personal especialitzat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 a més de proves i assajos previs.</t>
  </si>
  <si>
    <t xml:space="preserve">Uds.</t>
  </si>
  <si>
    <t xml:space="preserve">Largo</t>
  </si>
  <si>
    <t xml:space="preserve">Ancho</t>
  </si>
  <si>
    <t xml:space="preserve">Alto</t>
  </si>
  <si>
    <t xml:space="preserve">Parcial</t>
  </si>
  <si>
    <t xml:space="preserve">Subtotal</t>
  </si>
  <si>
    <t xml:space="preserve">Aplacat nou</t>
  </si>
  <si>
    <t xml:space="preserve">03.01.06</t>
  </si>
  <si>
    <t xml:space="preserve">Partida</t>
  </si>
  <si>
    <t xml:space="preserve">m2</t>
  </si>
  <si>
    <t xml:space="preserve">VELADURA ACABAT FAÇANA</t>
  </si>
  <si>
    <t xml:space="preserve">Aplicació manual d'una pàtina amb base de calç i pigments naturalesa a mode de veladura; en superfícies de la façana, prèvia aplicació d'una mà de imprimació reguladora de l'absorció a base de solucions de silicat potàssic i emulsions acríliques, sobre parament exterior de morter. Aquesta partida inclou els treballs de preparació i neteja prèvia del suport, preparació de la mescla, aplicació d'una mà de fons, aplicació de dues mans d'acabat i neteja una vegada finalitzats els treballs. Tots aquests treballs seran realitzats per equip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</si>
  <si>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</si>
  <si>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</si>
  <si>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</si>
  <si>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</si>
  <si>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</si>
  <si>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</si>
  <si>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Aplacat Gaudí</t>
  </si>
  <si>
    <t xml:space="preserve">Aplacat nuevas</t>
  </si>
  <si>
    <t xml:space="preserve">03.01.07</t>
  </si>
  <si>
    <t xml:space="preserve">Partida</t>
  </si>
  <si>
    <t xml:space="preserve">m2</t>
  </si>
  <si>
    <t xml:space="preserve">PINTURA PANELLS FAÇANA</t>
  </si>
  <si>
    <t xml:space="preserve">Aplicació manual de dues mans de pintura al silicat amb color, acabat i textura a triar per la Direcció Facultativa, la primera mà diluïda amb un 10% d'aigua i la següent diluïda amb un 5% d'aigua, (rendiment: 0,14 l/m² cada mà); prèvia aplicació d'una mà de fons, sobre parament aplacat existent en façana. Aquesta partida inclou els treballs de preparació i neteja prèvia del suport, preparació de la mescla, aplicació d'una mà de fons, aplicació de dues mans d'acabat i neteja una vegada finalitzats els treballs.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</si>
  <si>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</si>
  <si>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</si>
  <si>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</si>
  <si>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</si>
  <si>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</si>
  <si>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</si>
  <si>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Aplacat Bassegoda</t>
  </si>
  <si>
    <t xml:space="preserve">Esquines altas</t>
  </si>
  <si>
    <t xml:space="preserve">Esquines bajas</t>
  </si>
  <si>
    <t xml:space="preserve">REVESTIMENT EXTERIOR (Nou)</t>
  </si>
  <si>
    <t xml:space="preserve">0</t>
  </si>
  <si>
    <t xml:space="preserve">C07</t>
  </si>
  <si>
    <t xml:space="preserve">C06</t>
  </si>
  <si>
    <t xml:space="preserve">C13</t>
  </si>
  <si>
    <t xml:space="preserve">C15</t>
  </si>
  <si>
    <t xml:space="preserve">03.01.08</t>
  </si>
  <si>
    <t xml:space="preserve">Partida</t>
  </si>
  <si>
    <t xml:space="preserve">m2</t>
  </si>
  <si>
    <t xml:space="preserve">ADECUACIÓ CROMÀTICA DE PARAMENTS</t>
  </si>
  <si>
    <t xml:space="preserve">Adequació cromàtica general mitjançant l'aplicació de estergit i/o veladures de calç sobre superfícies de paraments tant exteriors com interiors, mitjançant l'aplicació de pàtina amb pigments, sobre la superfície per a la integració dins del conjunt constructiu, fins a aconseguir el color desitjat. Aquesta partida inclou els treballs de preparació i neteja prèvia de la superfície a tractar, preparació dels productes a utilitzar, aplicació de les pàtines i neteja una vegada finalitzats els treballs. Tots aquests treballs seran realitzats per personal especialitzat en restauració.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</si>
  <si>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</si>
  <si>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</si>
  <si>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</si>
  <si>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</si>
  <si>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</si>
  <si>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</si>
  <si>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Sala A PB</t>
  </si>
  <si>
    <t xml:space="preserve">Sostre</t>
  </si>
  <si>
    <t xml:space="preserve">Sala B PB</t>
  </si>
  <si>
    <t xml:space="preserve">Sostre</t>
  </si>
  <si>
    <t xml:space="preserve">Escala</t>
  </si>
  <si>
    <t xml:space="preserve">Sala central</t>
  </si>
  <si>
    <t xml:space="preserve">Cúpula</t>
  </si>
  <si>
    <t xml:space="preserve">Sala A P1</t>
  </si>
  <si>
    <t xml:space="preserve">Sostre</t>
  </si>
  <si>
    <t xml:space="preserve">Sala B P1</t>
  </si>
  <si>
    <t xml:space="preserve">Sostre</t>
  </si>
  <si>
    <t xml:space="preserve">Passadis P1</t>
  </si>
  <si>
    <t xml:space="preserve">coberta</t>
  </si>
  <si>
    <t xml:space="preserve">03.01.09</t>
  </si>
  <si>
    <t xml:space="preserve">Partida</t>
  </si>
  <si>
    <t xml:space="preserve">m</t>
  </si>
  <si>
    <t xml:space="preserve">RASA VENTILACIÓ TÀPIA</t>
  </si>
  <si>
    <t xml:space="preserve">Conjunt de treballs per a la creació de sistema de ventilació en mur de tàpia. Comprenent els treballs d'aixecat de paviment amb recuperació de peces per a la seva reutilització, realització d'una rasa perimetral a l'habitació (amb un ample mínim de 14,5 cm) i retirada de maons i morter amb mitjans manuals fins a accedir a l'espai existent entre el pla del paviment i l’extradós de la cúpula, col·locació de reixetes que permetin la ventilació de la tàpia, col·locació del paviment i la part proporcional de registres per a permetre l'accés. L'execució d'aquests treballs es farà concorde als detalls de la documentació gràfica del projecte. Inclosa la part proporcional de perforacions en la façana que permeti la correcta ventilació i la col·locació de les seves respectives reixetes. Aquesta partida inclou els treballs de replanteig dels treballs a realitzar, retirada del paviment, excavació en successives franges horitzontals i extracció de maó i morter, col·locació de reixetes, pavimentació i càrrega manual a camió dels materials excavats. Tots aquests treballs seran realitzats per personal especialitzat en restauració.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</si>
  <si>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</si>
  <si>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</si>
  <si>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</si>
  <si>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</si>
  <si>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</si>
  <si>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</si>
  <si>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Sala A P1</t>
  </si>
  <si>
    <t xml:space="preserve">Sala B P1</t>
  </si>
  <si>
    <t xml:space="preserve">03.01</t>
  </si>
  <si>
    <t xml:space="preserve">03.02</t>
  </si>
  <si>
    <t xml:space="preserve">Capítulo</t>
  </si>
  <si>
    <t xml:space="preserve">COBERTES</t>
  </si>
  <si>
    <t xml:space="preserve">03.02.01</t>
  </si>
  <si>
    <t xml:space="preserve">Partida</t>
  </si>
  <si>
    <t xml:space="preserve">m</t>
  </si>
  <si>
    <t xml:space="preserve">ACABAT REMATADA MERLETS I ELEMENTS SINGULARS</t>
  </si>
  <si>
    <t xml:space="preserve">Recuperació de merlets, cresteries i elements singulars, comprenent els treballs de retirada de totes les superfícies afegides i/o sobreposades de morters de calç hidràulica, fins a arribar a la capa original/inicial de morter de calç hidràulica. Aquesta capa se sanejarà i restaurarà utilitzant un morter de calç hidràulica natural (NHL-3,5), de característiques anàlogues en color i textura a l'original, efectuant proves fins a obtenir color i textura adequats a criteri de la Direcció Facultatives. Aquesta partida inclou el sanejat o eliminació de les zones danyades, la neteja i humectació de l'element a restaurar, l'estesa de morter, el tanteig amb regla, nivell i plomada, treballs d'arrebossat i neteja del parament. Injecció en fissures i esquerdes amb readhesió de fragments solts de resina acrílica i morter de farciment (tipus PLM). Tots aquests treballs seran realitzats per personal especialitzat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</si>
  <si>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</si>
  <si>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</si>
  <si>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</si>
  <si>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</si>
  <si>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</si>
  <si>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</si>
  <si>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C01</t>
  </si>
  <si>
    <t xml:space="preserve">C02</t>
  </si>
  <si>
    <t xml:space="preserve">C03</t>
  </si>
  <si>
    <t xml:space="preserve">C04</t>
  </si>
  <si>
    <t xml:space="preserve">C05</t>
  </si>
  <si>
    <t xml:space="preserve">C06</t>
  </si>
  <si>
    <t xml:space="preserve">C07</t>
  </si>
  <si>
    <t xml:space="preserve">C08</t>
  </si>
  <si>
    <t xml:space="preserve">C09</t>
  </si>
  <si>
    <t xml:space="preserve">C10</t>
  </si>
  <si>
    <t xml:space="preserve">coberta</t>
  </si>
  <si>
    <t xml:space="preserve">03.02.02</t>
  </si>
  <si>
    <t xml:space="preserve">Partida</t>
  </si>
  <si>
    <t xml:space="preserve">u</t>
  </si>
  <si>
    <t xml:space="preserve">RESTAURACIÓ LLANTERNA</t>
  </si>
  <si>
    <t xml:space="preserve">Conjunt de treballs que impliquen la restauració de les llanternes existents en la coberta, consistents en reparació i/o substitució dels elements deteriorats o no originals, assegurant la seva continuïtat amb la fàbrica i retornant-los al seu aspecte original, utilitzant els mateixos materials i, si escau, morters de reparació. Les peces decoratives de maó vitrificat que estiguin deteriorades, siguin inadequades, o hagin desaparegut, seran substituïdes per altres de característiques anàlogues a les originals, reproduint forma, color i esmaltat. Per a la seva col·locació s'utilitzarà morter de calç hidràulica similar en color i textura a l'original. Les peces del trencadís que es mantenen es netejaran mitjançant l'aplicació manual d'una dissolució aquosa d'àcid acètic amb cotó, deixant-la assecar, repetint el tractament a fi de llevar les taques de brutícia. Les juntes obertes que es detectin, se sanejaran i emplenaran utilitzant el morter de calç adequat per a adaptar-se a la textura i color similar a l'original existent. També queden inclosos els treballs de neteja de peça de morter en la coronacions de llanterna; aquesta neteja es realitzarà mitjançant el gratat superficial amb bisturí de la crosta de brutícia fins a aconseguir l'aparença original. Aquesta partida inclou la protecció dels elements de l'entorn, la preparació del suport mitjançant la neteja de pols i elements disgregats, el subministrament i la col·locació o substitució de noves peces ceràmiques que figuren en el mosaic ceràmic, neteja de les peces de trencadís que es conservin, el rejuntat amb morter de calç hidràulica, la neteja una vegada finalitzats els treballs i la recollida d'enderrocs restes generades i la seva càrrega en contenidor o camió. Tots aquests treballs seran realitzats per personal especialitzat en restauració.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</si>
  <si>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03.02.03</t>
  </si>
  <si>
    <t xml:space="preserve">Partida</t>
  </si>
  <si>
    <t xml:space="preserve">m2</t>
  </si>
  <si>
    <t xml:space="preserve">REHABILITACIÓ BARANDA OBRA CALADA</t>
  </si>
  <si>
    <t xml:space="preserve">Restauració de les baranes d'obra de maó calat, consistent en reparació i/o substitució dels elements deteriorats o no corresponents: maons, taulells, peces de ceràmica vitrificada o juntes de morter, etc. retornant-los al seu aspecte original, utilitzant materials de característiques anàlogues als originals. En les zones on es localitzin esquerdes, se substituiran les peces trencades per peces idèntiques a les originals i s'emplenaran les juntes mitjançant injeccions de morter de calç amb àrid impalpable. Els maons o rajoles trencades en les zones on hi ha buits o calats se substituiran per uns altres d'idèntiques característiques en color i dimensions. Per a la seva col·locació s'utilitzarà morter de calç hidràulica natural (NHL-3,5), d'idèntic color i textura a l'original. Les peces decoratives de maó vitrificat que estiguin deteriorades i siguin inadequades o hagin desaparegut seran substituïdes per altres d'idèntiques característiques a les originals, tenint en compte la seva forma, color i esmaltat. Les juntes obertes que es detectin se sanejaran i emplenaran utilitzant el morter de calç adequat per a adaptar-se a la textura i color similar a l'original existent i entre elles es crearà un armat realitzat amb varetes de fibra de vidre corrugades o d'acer inoxidable. S'inclouen els treballs de realització de mostres de morter per a determinar el dosatge desitjat per la direcció Facultativa, subministrament de noves peces de maó necessàries per a la realització dels treballs, extracció o eliminació de peces i morters a substituir, neteja de superfícies, col·locació de noves peces, el rejuntat, l'eliminació i neteja del material sobrant, la neteja final de l'element constructiu. Tots aquests treballs seran realitzats per personal especialitzat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</si>
  <si>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</si>
  <si>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</si>
  <si>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</si>
  <si>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</si>
  <si>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</si>
  <si>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</si>
  <si>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C03</t>
  </si>
  <si>
    <t xml:space="preserve">C04</t>
  </si>
  <si>
    <t xml:space="preserve">C05</t>
  </si>
  <si>
    <t xml:space="preserve">C06</t>
  </si>
  <si>
    <t xml:space="preserve">C07</t>
  </si>
  <si>
    <t xml:space="preserve">C11</t>
  </si>
  <si>
    <t xml:space="preserve">03.02.04</t>
  </si>
  <si>
    <t xml:space="preserve">Partida</t>
  </si>
  <si>
    <t xml:space="preserve">m2</t>
  </si>
  <si>
    <t xml:space="preserve">REPASSADA MORTER EN COBERTA CÚPULA</t>
  </si>
  <si>
    <t xml:space="preserve">Revisió de l'estat del morter de protecció en l'intradós de la cúpula central, inclosos els treballs de recuperació de seccions perdudes i reforços en aquells llocs on la secció sigui insuficient, utilitzant per morter de calç aèria, àrids seleccionats, i proporcionant un acabat superficial llis aprovat per la Direcció Facultativa, aplicat en una mà de 20 mm de gruix. Una vegada finalitzats els treballs es realitzarà un estudi termogràfic que asseguri la correcta realització d'aquests treballs. Tots els treballs es realitzaran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</si>
  <si>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</si>
  <si>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</si>
  <si>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</si>
  <si>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</si>
  <si>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</si>
  <si>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</si>
  <si>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Cúpula central</t>
  </si>
  <si>
    <t xml:space="preserve">03.02</t>
  </si>
  <si>
    <t xml:space="preserve">03.03</t>
  </si>
  <si>
    <t xml:space="preserve">Capítulo</t>
  </si>
  <si>
    <t xml:space="preserve">INTERIOR</t>
  </si>
  <si>
    <t xml:space="preserve">03.03.01</t>
  </si>
  <si>
    <t xml:space="preserve">Partida</t>
  </si>
  <si>
    <t xml:space="preserve">m2</t>
  </si>
  <si>
    <t xml:space="preserve">RESTAURACIÓ TÀPIA</t>
  </si>
  <si>
    <t xml:space="preserve">Treballs de restauració i consolidació en tàpies existents, mitjançant l'obertura de buits en els envans extradossats en les tàpies i aplicacions d'aigua de calç emprada per a consolidar la superfície de la tàpia. Una vegada consolidada la superfície de la tàpia s'injectaran en els buits existents entre la tàpia i l'envà extradossat lletades de calç hidràulica amb càrrega d'àrid impalpable i una petita addició de resina acrílica en emulsió que afavoreix l'adherència. S'accedirà a aquests espais a través de fissures, esquerdes o petites esquerdes realitzades per operació d’especialistes en aquests treballs. Aquesta partida inclou els treballs d'obertura de buits, neteja de la zona a tractar eliminant pols o elements disgregats, aplicació d'aigua de calç i el seu corresponent assecat, massillat complet superficial de les juntes confrontants amb massilla tixòtropa de les diferents zones a tractar, col·locació de filtres d'injecció sobre el massillat i farcit de lletada mitjançant injecció a baixa pressió de manera que es rebleixin els buits, posterior desmassillat arrencant la pel·lícula desemmotllant, eliminació de restes i enderrocs, neteja de les restes d'obra, càrrega manual d'enderrocs sobre camió o contenidor. Treballs realitzats per oficial restaurador especialista en consolidacions de murs històrics i treballs de terra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</si>
  <si>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</si>
  <si>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</si>
  <si>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</si>
  <si>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</si>
  <si>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</si>
  <si>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</si>
  <si>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03.03.02</t>
  </si>
  <si>
    <t xml:space="preserve">Partida</t>
  </si>
  <si>
    <t xml:space="preserve">u</t>
  </si>
  <si>
    <t xml:space="preserve">RESTAURACIÓ DE RAJOLA DE VALÈNCIA TRENCADA</t>
  </si>
  <si>
    <t xml:space="preserve">Conjunt de treballs que impliquen la restauració de rajola de fang cuit d'elaboració manual que presenta un estat de deteriorament elevat i en alguns casos fracturades. Aquests treballs consisteixen la neteja de cadascuna de les peces utilitzant aigua amb sabons neutres i raspalls de pues animals toves. Una vegada assecades les peces es procedirà al pegat de cadascun dels fragments i es reforçarà la peça reconstruïda amb una malla de fibra de vidre pegat en l'advers de la rajola de fang, utilitzant per a això resines epoxídiques. Aquesta partida inclou la neteja de cadascuna de les peces, el pegat de les mateixes i la col·locació del reforç realitzat amb malla de fibra de vidre. Tots aquests treballs seran realitzats per personal especialitzat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</si>
  <si>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03.03.03</t>
  </si>
  <si>
    <t xml:space="preserve">Partida</t>
  </si>
  <si>
    <t xml:space="preserve">m</t>
  </si>
  <si>
    <t xml:space="preserve">REHABILITACIÓ SANEFA DENTADA</t>
  </si>
  <si>
    <t xml:space="preserve">Conjunt de treballs que implica la restauració de la sanefa denticulada en l'arrancada de la cúpula de la sala principal, comprenent els treballs eventuals de decapatge i l'eliminació de totes les capes de pintures i guixos sobreposades o en mal estat per a poder refer la base només si fos necessari, substituint les peces de maó que es trobin deteriorades per altres de les mateixes característiques, i refent l'acabat amb aplicació de morter de calç lleugerament hidràulica (NHL-2), amb àrid de sorra de riu rentada, de color i textura de característiques anàlogues a l'original. Aquesta partida inclou el sanejat o eliminació de les zones danyades, la neteja i humectació del buit existent, l'estesa de morter, la col·locació de la nova peça, el tanteig amb regla, nivell i plomada, treballs d'arrebossat i neteja del parament. Tots aquests treballs seran realitzats per personal especialitzat restaurador. Es duran a terme en aquelles zones que determini la Direcció Facultativa i sempre se seguiran les seves indicacions i criteri, recuperant rajoles de fins a 10 fragments. Aquesta partida inclou la part proporcional de mitjans auxiliars, equips i eines necessàries per a dur a terme la totalitat dels treballs als quals fa referència.</t>
  </si>
  <si>
    <t xml:space="preserve">03.03.04</t>
  </si>
  <si>
    <t xml:space="preserve">Partida</t>
  </si>
  <si>
    <t xml:space="preserve">m</t>
  </si>
  <si>
    <t xml:space="preserve">COSIT I SEGELLAT D'ESQUERDES</t>
  </si>
  <si>
    <t xml:space="preserve">Reparació d'esquerda en mur històric mitjançant el seu cosit estàtic amb varetes de fibra de vidre corrugades de 6 mm de diàmetre i llargària mínima de 40 cm, adherides mitjançant l'ús de resina epoxi, col·locades cada 20 cm, creuant transversalment l'esquerda. La totalitat dels treballs consistirà en la retirada d'elements disgregats en la superfície de la zona esquerdada (amb un àmbit de 15 cm a cada costat de l'eix de la lesió), neteja de l'interior de l'esquerda mitjançant injecció d'aire a pressió, consolidació de l'interior de l'esquerda amb silicat d'etil, perforació del mur en aquells llocs on estratègicament s'hagi triat amb la finalitat de col·locar les varetes, la recepció de les varetes en les perforacions i el farciment de les mateixes fins al nivell del parament amb resina epoxídica injectada a pressió controlada. Inclosa la part proporcional de segellament d'esquerda de mur històric amb morter de calç i àrid seleccionat de característiques anàlogues a l'original. Curat, retirada i càrrega manual d'enderrocs sobre camió o contenidor. Tots aquests treballs seran realitzats per personal especialista en restauració.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</si>
  <si>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03.03.05</t>
  </si>
  <si>
    <t xml:space="preserve">Partida</t>
  </si>
  <si>
    <t xml:space="preserve">u</t>
  </si>
  <si>
    <t xml:space="preserve">COSIT PUNTUAL</t>
  </si>
  <si>
    <t xml:space="preserve">Cosit puntual d'elements constructius mitjançant l'ús de varetes de fibra de vidre corrugades de 6 mm de diàmetre i de fins a 50 cm de longitud, adherides mitjançant l'ús de resina epoxi. La totalitat dels treballs consistirà en la retirada d'elements disgregats en la superfície a intervenir, neteja de l'interior de la possible esquerda, si així ho determinés la Direcció Facultativa, mitjançant injecció d'aire a pressió, perforació de l'element constructiu en aquells llocs on estratègicament s'hagi triat amb la finalitat de col·locar les varetes, la recepció de les varetes en les perforacions i el farciment de les mateixes fins al nivell del parament amb resina epoxídica injectada a pressió controlada. Inclosa la part proporcional de segellament d'esquerda en paredat amb morter de calç i àrid seleccionat de característiques anàlogues a l'original. Curat, retirada i càrrega manual d'enderrocs sobre camió o contenidor. Tots aquests treballs seran realitzats per personal especialista en restauració.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</si>
  <si>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03.03.06</t>
  </si>
  <si>
    <t xml:space="preserve">Partida</t>
  </si>
  <si>
    <t xml:space="preserve">m2</t>
  </si>
  <si>
    <t xml:space="preserve">READHESIÓ D'ARREBOSSAT SEMI-DESPRÉS AMB PLM</t>
  </si>
  <si>
    <t xml:space="preserve">Readhesió d'arrebossats mitjançant la injecció de morters de calç amb àrid impalpable tipus PLM i una petita addició de resina acrílica en emulsió que afavoreix l'adherència, s'accedirà a aquests espais a través de fissures, esquerdes o petites esquerdes realitzades mitjançant operació d’especialistes en aquests treballs. Aquesta partida inclou els treballs d'obertura d'esquerdes, neteja de la zona a tractar eliminant pols , massillat complet superficial de les juntes confrontants amb massilla tixòtropa de les diferents zones a tractar, col·locació de filtres d'injecció sobre el massillat i farcit de lletada mitjançant injecció a baixa pressió de manera que es rebleixin els buits espais buits, posterior desmassillat arrencant la pel·lícula desemmotllant, eliminació de restes i enderrocs, neteja de les restes d'obra, càrrega manual d'enderrocs sobre camió o contenidor. Treballs realitzats per oficial restaurador especialista en consolidacions de murs històrics i treballs de terra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</si>
  <si>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</si>
  <si>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</si>
  <si>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</si>
  <si>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</si>
  <si>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</si>
  <si>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</si>
  <si>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Estimacio</t>
  </si>
  <si>
    <t xml:space="preserve">03.03.07</t>
  </si>
  <si>
    <t xml:space="preserve">Partida</t>
  </si>
  <si>
    <t xml:space="preserve">m2</t>
  </si>
  <si>
    <t xml:space="preserve">PROTECCIÓ DE PAVIMENTS</t>
  </si>
  <si>
    <t xml:space="preserve">Tractament superficial protector mitjançant l'aplicació, amb brotxa, d'oli de mora o llinosa, incloent la realització de mostres per a poder determinar la idoneïtat del producte aplicat, comptant amb l'aprovació de la Direcció Facultativa. Inclosa p/p de protecció dels elements de l'entorn. Aquesta partida inclou la protecció dels elements de l'entorn i l'aplicació del tractament amb brotxa. Tots aquests treballs seran realitzats per personal especialitzat restaurador. Es duran a terme en aquelles zones que determini la Direcció Facultativa i sempre se seguiran les seves indicacions i criteri.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</si>
  <si>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</si>
  <si>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</si>
  <si>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</si>
  <si>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</si>
  <si>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</si>
  <si>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</si>
  <si>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Escala</t>
  </si>
  <si>
    <t xml:space="preserve">Pav. PB</t>
  </si>
  <si>
    <t xml:space="preserve">Pav. Sala B P1</t>
  </si>
  <si>
    <t xml:space="preserve">Pav. Sala A P1</t>
  </si>
  <si>
    <t xml:space="preserve">03.03</t>
  </si>
  <si>
    <t xml:space="preserve">03.04</t>
  </si>
  <si>
    <t xml:space="preserve">Capítulo</t>
  </si>
  <si>
    <t xml:space="preserve">CARPINTERIA I SERRALLERIA</t>
  </si>
  <si>
    <t xml:space="preserve">03.04.01</t>
  </si>
  <si>
    <t xml:space="preserve">Partida</t>
  </si>
  <si>
    <t xml:space="preserve">m2</t>
  </si>
  <si>
    <t xml:space="preserve">RESTAURACIÓ DE CARPINTERIES</t>
  </si>
  <si>
    <t xml:space="preserve">Restauració de porta o finestra original, contemplant el conjunt de treballs de trasllat a taller de les parts mòbils de fusta, neteja i eliminació amb bisturí de les pintures superposades de cadascun dels elements, a realitzar per restaurador, substitució dels elements deteriorats per altres nous utilitzant el mateix tipus de fusta de l’element original i seguint el disseny de les peces originals. Empelt, i només en últim terme, prèvia aprovació de la Direcció Facultativa, reposició de peces que manquin a les fusteries, tenint en compte el disseny original, utilitzant també el mateix tipus de fusta de l’element original i seguint el disseny de les peces originals. Neteja amb bisturí per a recuperar el color originari i eventual reparació i/o substitució dels ferratges de penjar i seguretat. Neteja i reparació dels elements deteriorats dels bastiments de base fixos en obra (en el cas que la fusteria els tingués). Una vegada restablerts els elements, es procedirà a tractar els components nous amb una imprimació antixilòfags. Finalment, la fusteria comptarà amb un acabat de pintura de color a determinar per la Direcció Facultativa, a realitzar per restaurador imitant la pintura existent en les fusteries antigues, mitjançant l'aplicació prèvia d'una mà de fons amb imprimació segelladora, a base de resines alcídiques i pigments seleccionats, com a fixador de superfície i dues mans d'acabat, evitant les tintes completament planes i imitant l'acabat històric. Inclosos els treballs de col·locació en el lloc d'origen de la fusteria. Aquesta partida inclou els treballs de neteja i decapatge, desmuntatge dels elements que presentin algun tipus de dany o patologia, substitució de peces, col·locació de peces noves (si escau), aplicació de massilles per tapar el porus, imprimació antixilòfags, tractament preventiu, col·locació de ferratges, preparació del suport mitjançant escatat de la seva superfície i posterior neteja, aplicació de la mà d’imprimació, encintat i tractament de juntes, acabat de pintura i col·locació de la fusteria. Treballs realitzats per restaurador especialista en treballs de fusta, seguint-se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</si>
  <si>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</si>
  <si>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</si>
  <si>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</si>
  <si>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</si>
  <si>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</si>
  <si>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</si>
  <si>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P3a</t>
  </si>
  <si>
    <t xml:space="preserve">P3b</t>
  </si>
  <si>
    <t xml:space="preserve">P5</t>
  </si>
  <si>
    <t xml:space="preserve">P6a</t>
  </si>
  <si>
    <t xml:space="preserve">P6b</t>
  </si>
  <si>
    <t xml:space="preserve">03.04.02</t>
  </si>
  <si>
    <t xml:space="preserve">Partida</t>
  </si>
  <si>
    <t xml:space="preserve">m2</t>
  </si>
  <si>
    <t xml:space="preserve">RESTAURACIÓ DE CARPINTERIES AMB VIDRE</t>
  </si>
  <si>
    <t xml:space="preserve">Restauració de porta o finestra original, contemplant el conjunt de treballs de trasllat a taller de les parts mòbils de fusta, neteja i eliminació amb bisturí de pintures superposades de cadascun dels elements a realitzar per restaurador, eventual substitució dels elements deteriorats (muntants, finestró, etc.) per altres nous, prèvia aprovació de la Direcció Facultativa, utilitzant el mateix tipus de fusta de l’element l'original i seguint el disseny de les peces originals. Empelt, i només en últim terme i prèvia aprovació de la Direcció Facultativa, reposició de peces que manquin de les fusteries tenint en compte el disseny original (posant l'accent principalment en els llistonets desapareguts en les finestres) utilitzant també el mateix tipus de fusta de l’element l'original i seguint el disseny de les peces originals. Neteja amb bisturí per a recuperar el color originari i eventual reparació i/o substitució dels ferratges de penjar i seguretat. Neteja, eliminació de pintures i reparació dels elements deteriorats dels bastiments de base fixats en obra (en el cas que la fusteria el tingués). Una vegada restablerts els elements, es procedirà a tractar els components nous amb una imprimació antixilòfags. Finalment, la fusteria comptarà amb un acabat de pintura de color a determinar per la Direcció Facultativa del projecte, a realitzar per restaurador imitant la pintura existent en les fusteries antigues, mitjançant l'aplicació prèvia d'una mà de fons amb imprimació segelladora, a base de resines alcídiques i pigments seleccionats, com a fixador de superfície i dues mans d'acabat, evitant les tintes completament planes i imitant l'acabat històric. Inclosos els treballs de col·locació en el lloc d'origen de la fusteria. Inclosa la part proporcional de substitució o col·locació de vidre segons indicacions de la D. F. Aquesta partida inclou els treballs de neteja i decapatge, desmuntatge dels elements que presentin algun tipus de dany o patologia, substitució de peces, col·locació de peces noves (si escau), aplicació de massilles per tapar el porus, imprimació antixilòfags, tractament preventiu, col·locació de ferratges, preparació del suport mitjançant escatat de la seva superfície i posterior neteja, aplicació de la mà d’imprimació, encintat i tractament de juntes, acabat de pintura i col·locació de la fusteria. Treballs realitzats per restaurador especialista en treballs de fusta, seguint-se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</si>
  <si>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</si>
  <si>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</si>
  <si>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</si>
  <si>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</si>
  <si>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</si>
  <si>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</si>
  <si>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P1</t>
  </si>
  <si>
    <t xml:space="preserve">P2</t>
  </si>
  <si>
    <t xml:space="preserve">V1a</t>
  </si>
  <si>
    <t xml:space="preserve">V1b</t>
  </si>
  <si>
    <t xml:space="preserve">V1c</t>
  </si>
  <si>
    <t xml:space="preserve">V3a</t>
  </si>
  <si>
    <t xml:space="preserve">V3b</t>
  </si>
  <si>
    <t xml:space="preserve">03.04.03</t>
  </si>
  <si>
    <t xml:space="preserve">Partida</t>
  </si>
  <si>
    <t xml:space="preserve">u</t>
  </si>
  <si>
    <t xml:space="preserve">RESTITUCIÓ FINESTRA AMB VIDRE</t>
  </si>
  <si>
    <t xml:space="preserve">Restitució de finestra de fusta, contemplant el conjunt de treballs de trasllat a taller de les parts mòbils de fusta, neteja realitzada per restaurador amb bisturí per a eliminar capes de pintures superposades de cadascun dels elements, substitució dels elements deteriorats per altres nous utilitzant el mateix tipus de fusta de l’element l'original i seguint el disseny de les peces originals. Reposició de peces que manquin de les fusteries tenint en compte el disseny original, utilitzant també el mateix tipus de fusta de l’element l'original i seguint el disseny de les peces originals. Neteja amb bisturí per a recuperar el color originari i eventual reparació i/o substitució dels ferratges de penjar i seguretat. Una vegada restablerts els elements, es procedirà a igualar components antics i nous amb l'aplicació d'una massilla per tapar el porus i una imprimació antixilòfags. Finalment la barana comptarà amb un acabat de pintura de color a determinar per la Direcció Facultativa, mitjançant l'aplicació d'una mà de fons amb imprimació segelladora, a base de resines alcídiques i pigments seleccionats, com a fixador de superfície i dues mans d'acabat. Inclosos els treballs de restauració de suport metàl·lic de reixa de fusta, comprenent els treballs de neteja de la superfície amb decapants, impregnant la pintura existent, eliminant-la amb espàtula o escata una vegada estovada, per a procedir a l'eliminació completa de rovell, inclosos raspats d'òxids amb llana d'acer de diversos calibres. Una vegada neta tota la seva superfície es reposaran les seccions perdudes i es procedirà a donar-li un tractament amb tanins sobre suport metàl·lic existent per a estabilitzar la corrosió amb intenció de deixar el seu color natural. Inclòs pintat de color a decidir per la Direcció Facultativa. Inclosos els treballs de col·locació del lloc d'origen de la fusteria i serralleria. Aquesta partida inclou els treballs de neteja i decapatge, desmuntatge dels elements que presentin algun tipus de dany o patologia, substitució de peces, col·locació de peces noves (si escau), aplicació de massilles per tapar el porus, imprimació antixilòfags, tractament preventiu, col·locació de ferratges, preparació del suport mitjançant escatat de la seva superfície i posterior neteja, aplicació de la mà d’imprimació, encintat i tractament de juntes, acabat de pintura i col·locació de la fusteria. Treballs realitzats per restaurador especialista en treballs de fusta, seguint-se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</si>
  <si>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</si>
  <si>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</si>
  <si>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</si>
  <si>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</si>
  <si>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</si>
  <si>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</si>
  <si>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V2</t>
  </si>
  <si>
    <t xml:space="preserve">03.04.04</t>
  </si>
  <si>
    <t xml:space="preserve">Partida</t>
  </si>
  <si>
    <t xml:space="preserve">m2</t>
  </si>
  <si>
    <t xml:space="preserve">RESTAURACIÓ CONJUNT BARANDA ESCALA</t>
  </si>
  <si>
    <t xml:space="preserve">Restauració de la barana de fusta en escala, contemplant el conjunt de treballs de trasllat a taller de les parts mòbils de fusta, neteja amb bisturí realitzada per restaurador per a eliminar capes de pintures superposades de cadascun dels elements, substitució dels elements deteriorats per altres nous utilitzant el mateix tipus de fusta de l’element original i seguint el disseny de les peces originals. Reposició de peces que manquin de les fusteries tenint en compte el disseny original, utilitzant també el mateix tipus de fusta de l’element l'original i seguint el disseny de les peces originals. Neteja amb bisturí per a recuperar el color originari i eventual reparació i/o substitució dels ferratges de penjar i seguretat. Una vegada restablerts els elements, es procedirà a igualar components antics i nous amb l'aplicació d'una massilla per tapar els porus i una imprimació antixilòfags. Finalment, la barana comptarà amb un acabat de pintura de color a determinar per la Direcció Facultativa, mitjançant l'aplicació d'una mà de fons amb imprimació segelladora, a base de resines alcídiques i pigments seleccionats, com a fixador de superfície i dues mans d'acabat. Inclosos els treballs de col·locació en el lloc d'origen de la fusteria. Aquesta partida inclou els treballs de neteja i decapatge, desmuntatge dels elements que presentin algun tipus de dany o patologia, substitució de peces, col·locació de peces noves (si escau), aplicació de massilles per tapar els porus, imprimació antixilòfags, tractament preventiu, col·locació de ferratges, preparació del suport mitjançant escatat de la seva superfície i posterior neteja, aplicació de la mà d’imprimació, encintat i tractament de juntes, acabat de pintura i col·locació de la fusteria. Treballs realitzats per restaurador especialista en treballs de fusta, seguint-se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</si>
  <si>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</si>
  <si>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</si>
  <si>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</si>
  <si>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</si>
  <si>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</si>
  <si>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</si>
  <si>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03.04.05</t>
  </si>
  <si>
    <t xml:space="preserve">Partida</t>
  </si>
  <si>
    <t xml:space="preserve">m2</t>
  </si>
  <si>
    <t xml:space="preserve">RESTAURACIÓ CONJUNT BARANDA PASSAREL·LA</t>
  </si>
  <si>
    <t xml:space="preserve">Restauració de la barana de fusta en passarel·la de planta primera, contemplant el conjunt de treballs de trasllat a taller de les parts mòbils de fusta, neteja amb bisturí realitzada per restaurador per a eliminar capes de pintures superposades de cadascun dels elements, substitució dels elements deteriorats per altres nous utilitzant el mateix tipus de fusta de l’element original i seguint el disseny de les peces originals. Reposició de peces que manquin de les fusteries tenint en compte el disseny original, utilitzant també el mateix tipus de fusta de l’element original i seguint el disseny de les peces originals. Neteja amb bisturí per a recuperar el color originari i eventual reparació i/o substitució dels ferratges de penjar. Una vegada restablerts els elements es procedirà a igualar components antics i nous amb l'aplicació d'una massilla per tapar els porus i una imprimació antixilòfags. La barana comptarà amb un acabat de pintura de color a determinar per la Direcció Facultativa, mitjançant l'aplicació d'una mà de fons amb imprimació segelladora, a base de resines alcídiques i pigments seleccionats, com a fixador de superfície i dues mans d'acabat. Una vegada col·locada la barana es col·locaran dos cables d'acer des de l'extrem de la barana fins a la façana, donant-li continuïtat a la barana i evitant la caiguda en els esglaons d'accés al terrat, seguint el disseny i indicacions de la documentació gràfica del projecte. Inclosos els treballs de col·locació en el lloc d'origen de la barana. Aquesta partida inclou els treballs de neteja i decapatge, desmuntatge dels elements que presentin algun tipus de dany o patologia, substitució de peces, col·locació de peces noves (si escau), aplicació de massilles per tapar els porus, imprimació antixilòfags, tractament preventiu, col·locació de ferratges, preparació del suport mitjançant escatat de la seva superfície i posterior neteja, aplicació de la mà d’imprimació, encintat i tractament de juntes, acabat de pintura i col·locació de la fusteria. Treballs realitzats per restaurador especialista en treballs de fusta, seguint-se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</si>
  <si>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</si>
  <si>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</si>
  <si>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</si>
  <si>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</si>
  <si>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</si>
  <si>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</si>
  <si>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03.04.06</t>
  </si>
  <si>
    <t xml:space="preserve">Partida</t>
  </si>
  <si>
    <t xml:space="preserve">m2</t>
  </si>
  <si>
    <t xml:space="preserve">RESTAURACIÓ REIXA FUSTA</t>
  </si>
  <si>
    <t xml:space="preserve">Restauració dels llistons de formen la reixa de fusta en les finestres de la façana. Contemplant el conjunt de treballs de trasllat a taller de les parts mòbils de fusta, neteja i eventual eliminació de pintures superposades o decapatge de cadascun dels elements, substitució dels elements deteriorats per altres nous utilitzant el mateix tipus de fusta de l’element original i seguint el disseny de les peces originals. Reposició de peces que manquin a de les fusteries tenint en compte el disseny original, utilitzant també el mateix tipus de fusta de l’element l'original i seguint el disseny de les peces originals, eventualment envellides per a no contrastar en excés amb les peces històriques. Neteja, decapatge, i si hi ha reparació i/o substitució, dels ferratges de penjar. Una vegada restablerts els elements, es procedirà a igualar components antics i nous amb l'aplicació d'una massilla per tapar els porus i una imprimació antixilòfags. Finalment, la barana comptarà amb un acabat de pintura de color a determinar per la Direcció Facultativa, mitjançant l'aplicació d'una mà de fons amb imprimació segelladora, a base de resines alcídiques i pigments seleccionats, com a fixador de superfície i dues mans d'acabat. Inclosos els treballs de col·locació en el lloc d'origen dels llistons de fusta. Aquesta partida inclou els treballs de neteja i decapatge, desmuntatge dels elements que presentin algun tipus de dany o patologia, substitució de peces, col·locació de peces noves (si escau), aplicació de massilles per tapar els porus, imprimació antixilòfags, tractament preventiu, col·locació de ferratges, preparació del suport mitjançant escatat de la seva superfície i posterior neteja, aplicació de la mà d’imprimació, encintat i tractament de juntes, acabat de pintura i col·locació de la fusteria. Treballs realitzats per restaurador especialista en treballs de fusta, seguint-se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</si>
  <si>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</si>
  <si>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</si>
  <si>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</si>
  <si>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</si>
  <si>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</si>
  <si>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</si>
  <si>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S2a</t>
  </si>
  <si>
    <t xml:space="preserve">S2b</t>
  </si>
  <si>
    <t xml:space="preserve">S1a</t>
  </si>
  <si>
    <t xml:space="preserve">S1b</t>
  </si>
  <si>
    <t xml:space="preserve">S1c</t>
  </si>
  <si>
    <t xml:space="preserve">03.04.07</t>
  </si>
  <si>
    <t xml:space="preserve">Partida</t>
  </si>
  <si>
    <t xml:space="preserve">m</t>
  </si>
  <si>
    <t xml:space="preserve">RESTAURACIÓN ELEMENTS METÀL·LICS EN REIXES</t>
  </si>
  <si>
    <t xml:space="preserve">Treballs de restauració de suport metàl·lic de reixa de fusta, comprenent els treballs de neteja de la superfície amb decapants, impregnant la pintura existent, eliminant-la amb espàtula o escata una vegada estovada, per a procedir a l'eliminació completa de rovell, inclosos raspats d'òxids amb llana d'acer de diversos calibres. Una vegada neta tota la superfície es reposaran les seccions perdudes i es procedirà a donar-li un tractament amb tanins sobre suport metàl·lic existent per a estabilitzar la corrosió amb intenció de deixar el seu color natural. Inclòs pintat de color a decidir per la Direcció Facultativa. Queden inclosos els treballs de desmuntatge de les peces, neteja de la superfície, eliminació de rovell, òxid i pintura existent, tractament amb tanins i pintura. Treballs realitzats per restaurador especialista en treballs de serralleria,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</si>
  <si>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</si>
  <si>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</si>
  <si>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</si>
  <si>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</si>
  <si>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</si>
  <si>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</si>
  <si>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S1a</t>
  </si>
  <si>
    <t xml:space="preserve">S1b</t>
  </si>
  <si>
    <t xml:space="preserve">S1c</t>
  </si>
  <si>
    <t xml:space="preserve">S1d</t>
  </si>
  <si>
    <t xml:space="preserve">03.04.08</t>
  </si>
  <si>
    <t xml:space="preserve">Partida</t>
  </si>
  <si>
    <t xml:space="preserve">u</t>
  </si>
  <si>
    <t xml:space="preserve">RESTAURACIÓ CONJUNT CAMPANA XEMENEIA</t>
  </si>
  <si>
    <t xml:space="preserve">Treballs de restauració d'elements metàl·lics en conjunt de xemeneia-campana, comprenent els treballs de neteja de la superfície dels elements metàl·lics amb decapants, impregnant la pintura existent, eliminant-la amb espàtula o escata una vegada estovada, per a procedir a l'eliminació completa de rovell, inclòs raspat d'òxids amb llana d'acer de diversos calibres. Una vegada neta tota la superfície es reposaran les seccions perdudes i es procedirà a donar-li un tractament amb tanins sobre suport metàl·lic existent per a estabilitzar la corrosió amb intenció de deixar el seu color natural. Inclòs pintat de color a decidir per la Direcció Facultativa del projecte. Queden inclosos els treballs de desmuntatge de les peces, neteja de la superfície, eliminació de rovell, òxid i pintura existent, tractament amb tanins i pintura. Treballs realitzats per restaurador especialista en treballs de serralleria, seguint les indicacions i criteri de la Direcció Facultativa. Aquesta partida inclou la part proporcional de mitjans auxiliars, equips i eines necessàries per a dur a terme la totalitat dels treballs als quals fa referència.</t>
  </si>
  <si>
    <t xml:space="preserve">03.04.09</t>
  </si>
  <si>
    <t xml:space="preserve">Partida</t>
  </si>
  <si>
    <t xml:space="preserve">u</t>
  </si>
  <si>
    <t xml:space="preserve">TRACTAMENT ANTI-TÈRMITS INJECCIONS</t>
  </si>
  <si>
    <t xml:space="preserve">Tractament preventiu i curatiu contra els tèrmits, mitjançant la injecció de productes antixilòfags en conjunts de baranes o fusteries de fusta amb els seus finestrons i elements protectors de fins a 5 m2 de dimensió, al llarg de tota la seva envergadura i llargària de manera d'assegurar l'eliminació de possibles plagues internes o evitar-les en un futur. Queda inclosa la protecció dels elements de l'entorn i l'aplicació del tractament amb injeccions. Aquesta partida inclou la part proporcional de mitjans auxiliars, equips i eines necessàries per a dur a terme la totalitat dels treballs als quals fa referència. La totalitat dels treballs seran realitzats per tècnic especialista en tractament de plagues i comptant amb l'aprovació i seguint el criteri de la Direcció Facultativa.</t>
  </si>
  <si>
    <t xml:space="preserve">Uds.</t>
  </si>
  <si>
    <t xml:space="preserve">Largo</t>
  </si>
  <si>
    <t xml:space="preserve">Ancho</t>
  </si>
  <si>
    <t xml:space="preserve">Alto</t>
  </si>
  <si>
    <t xml:space="preserve">Parcial</t>
  </si>
  <si>
    <t xml:space="preserve">Subtotal</t>
  </si>
  <si>
    <t xml:space="preserve">P3a</t>
  </si>
  <si>
    <t xml:space="preserve">P3b</t>
  </si>
  <si>
    <t xml:space="preserve">P5</t>
  </si>
  <si>
    <t xml:space="preserve">P6a</t>
  </si>
  <si>
    <t xml:space="preserve">P6b</t>
  </si>
  <si>
    <t xml:space="preserve">P1</t>
  </si>
  <si>
    <t xml:space="preserve">P2</t>
  </si>
  <si>
    <t xml:space="preserve">V1a</t>
  </si>
  <si>
    <t xml:space="preserve">V1b</t>
  </si>
  <si>
    <t xml:space="preserve">V1c</t>
  </si>
  <si>
    <t xml:space="preserve">V3a</t>
  </si>
  <si>
    <t xml:space="preserve">V3b</t>
  </si>
  <si>
    <t xml:space="preserve">Barana escala</t>
  </si>
  <si>
    <t xml:space="preserve">Barana pasarella</t>
  </si>
  <si>
    <t xml:space="preserve">03.04.10</t>
  </si>
  <si>
    <t xml:space="preserve">Partida</t>
  </si>
  <si>
    <t xml:space="preserve">u</t>
  </si>
  <si>
    <t xml:space="preserve">TRACTAMENT ANTI-TÈRMITS ESQUERS</t>
  </si>
  <si>
    <t xml:space="preserve">Tractament preventiu i curatiu contra els tèrmits mitjançant la col·locació d'esquers encastats en el terreny en tot el perímetre de l'edifici o penjats a l'interior del mateix amb fusta impregnada amb productes antixilòfags, inclòs seguiment de consum d'aquests productes i reemplaçament periòdic dels mateixos durant un període de fins a 24 mesos. Aquesta partida inclou la part proporcional de mitjans auxiliars, equips i eines necessàries per a dur a terme la totalitat dels treballs als quals fa referència. La totalitat dels treballs seran realitzats per tècnic especialista en tractament de plagues i comptant amb l'aprovació i seguint el criteri de la Direcció Facultativa.</t>
  </si>
  <si>
    <t xml:space="preserve">03.04.11</t>
  </si>
  <si>
    <t xml:space="preserve">Partida</t>
  </si>
  <si>
    <t xml:space="preserve">pa</t>
  </si>
  <si>
    <t xml:space="preserve">TRACTAMENT MICROONES</t>
  </si>
  <si>
    <t xml:space="preserve">Tractament curatiu contra els tèrmits, mitjançant la projecció de microones en conjunts de baranes o fusteries de fusta amb els seus finestrons i elements protectors de fins a 5 m2 de dimensió. Les microones tenen la finalitat d'eliminar larves i insectes xilòfags com a conseqüència de l'escalfament produït, el qual és innocu per als éssers humans i les pintures d'acabat de les fusteries. Queda inclosa la protecció dels elements de l'entorn i la projecció de microones. Aquesta partida inclou la part proporcional de mitjans auxiliars, equips i eines necessàries per a dur a terme la totalitat dels treballs als quals fa referència. La totalitat dels treballs seran realitzats per tècnic especialista en tractament de plagues i comptant amb l'aprovació i seguint el criteri de la Direcció Facultativa.</t>
  </si>
  <si>
    <t xml:space="preserve">Uds.</t>
  </si>
  <si>
    <t xml:space="preserve">Largo</t>
  </si>
  <si>
    <t xml:space="preserve">Ancho</t>
  </si>
  <si>
    <t xml:space="preserve">Alto</t>
  </si>
  <si>
    <t xml:space="preserve">Parcial</t>
  </si>
  <si>
    <t xml:space="preserve">Subtotal</t>
  </si>
  <si>
    <t xml:space="preserve">Finestra H P1ª D</t>
  </si>
  <si>
    <t xml:space="preserve">Finestra H P1ª E</t>
  </si>
  <si>
    <t xml:space="preserve">03.04.12</t>
  </si>
  <si>
    <t xml:space="preserve">Partida</t>
  </si>
  <si>
    <t xml:space="preserve">m2</t>
  </si>
  <si>
    <t xml:space="preserve">RESTAURACIÓ DE CARPINTERIES. DECAPAT GEL</t>
  </si>
  <si>
    <t xml:space="preserve">Restauració de porta o finestra original, contemplant el conjunt de treballs de trasllat a taller de les parts mòbils de fusta, neteja i eliminació, mitjançant l'ús de gels decapants, de pintures superposades de cadascun dels elements a realitzar per restaurador. Eventual substitució dels elements deteriorats (muntants, finestrons, etc.) per altres nous, prèvia aprovació de la Direcció Facultativa, utilitzant el mateix tipus de fusta de l’element original i seguint el disseny de les peces originals. Empelt, i només en últim terme i prèvia aprovació de la Direcció Facultativa, reposició de peces que manquin de les fusteries tenint en compte el disseny original (posant l'accent principalment en els llistonets desapareguts de les finestres) utilitzant també el mateix tipus de fusta de l’element original i seguint el disseny de les peces originals. Neteja amb gels decapants per a recuperar el color originari i eventual reparació i/o substitució dels ferratges de penjar i seguretat amb reproducció exacta dels ferratges originaris. Neteja, eliminació de pintures i reparació dels elements deteriorats dels bastiments de base fixats en obra (en el cas que la fusteria el tingués). Una vegada restablerts els elements, es procedirà a tractar els components nous amb una imprimació antixilòfags. Finalment, la fusteria comptarà amb un acabat de pintura de color a determinar per la Direcció Facultativa, a realitzar per restaurador imitant la pintura existent en les fusteries antigues, mitjançant l'aplicació prèvia d'una mà de fons amb imprimació segelladora, a base de resines alcídiques i pigments seleccionats, com a fixador de superfície i dues mans d'acabat, evitant les tintes completament planes i imitant l'acabat històric. Inclosos els treballs de col·locació en el lloc d'origen de la fusteria. Inclosa la part proporcional de substitució o col·locació de vidres segons indicacions de la D. F. Aquesta partida inclou els treballs de neteja i decapatge, desmuntatge dels elements que presentin algun tipus de dany o patologia, substitució de peces, col·locació de peces noves (si escau), aplicació de massilles per tapar porus, imprimació antixilòfags, tractament preventiu, col·locació de ferratges, preparació del suport mitjançant escatat de la seva superfície i posterior neteja, aplicació de la mà d’imprimació, encintat i tractament de juntes, acabat de pintura i col·locació de la fusteria. Treballs realitzats per restaurador especialista en treballs de fusta, seguint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</si>
  <si>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</si>
  <si>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</si>
  <si>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</si>
  <si>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</si>
  <si>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</si>
  <si>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</si>
  <si>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P1</t>
  </si>
  <si>
    <t xml:space="preserve">P2</t>
  </si>
  <si>
    <t xml:space="preserve">03.04</t>
  </si>
  <si>
    <t xml:space="preserve">03</t>
  </si>
  <si>
    <t xml:space="preserve">04</t>
  </si>
  <si>
    <t xml:space="preserve">Capítulo</t>
  </si>
  <si>
    <t xml:space="preserve">INSTAL·LACIONS</t>
  </si>
  <si>
    <t xml:space="preserve">04.01</t>
  </si>
  <si>
    <t xml:space="preserve">Partida</t>
  </si>
  <si>
    <t xml:space="preserve">m</t>
  </si>
  <si>
    <t xml:space="preserve">RASES DRENANTS</t>
  </si>
  <si>
    <t xml:space="preserve">Rases drenants amb un pendent mínim del 0,50% per a captació d'aigües, en el fons de les quals es disposa, per a drenatge, un tub ranurat de PVC de doble paret, l'exterior corrugada i la interior llisa, amb ranurat al llarg d'un arc de 220° a la vall del corrugat, de 200 mm de diàmetre, llargària nominal 6 m, unió per copa amb junta elàstica de EPDM, col·locat sobre solera de formigó en massa HM-20/B/20/I de 10 cm de gruix, en forma de bressol per a rebre el tub i formar els pendents, geotèxtil i farcits lateral i superior fins a 25 cm per sobre de la generatriu superior del tub amb grava filtrant. Aquest tub estarà connectat a la xarxa general de sanejament. Inclosa la realització d'arquetes necessàries per al correcte funcionament d'aquesta rasa drenant. Aquesta partida inclou el replanteig i traçat del conducte en planta i pendents, formació de la solera de formigó, descens i col·locació dels tubs en el fons de la rasa, muntatge, connexió a xarxa general de sanejament i comprovació del correcte funcionament, execució del farciment envolupant i realització de proves de servei.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</si>
  <si>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</si>
  <si>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</si>
  <si>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</si>
  <si>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</si>
  <si>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</si>
  <si>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</si>
  <si>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Xarxia d´aigües</t>
  </si>
  <si>
    <t xml:space="preserve">04.02</t>
  </si>
  <si>
    <t xml:space="preserve">Partida</t>
  </si>
  <si>
    <t xml:space="preserve">u</t>
  </si>
  <si>
    <t xml:space="preserve">INSTAL·LACIÓ AIGUA</t>
  </si>
  <si>
    <t xml:space="preserve">Conjunt de treballs per a dur a terme la instal·lació de fontaneria en el pavelló. Contemplant els següents treballs:
- Subministrament i col·locació d'una pericó de connexió connectada a la xarxa existent provinent del pavelló de Cavallerisses, en la qual s’instal·larà una clau de tall general.
- Subministrament i col·locació de pica abocador amb aixeta i connexió a xarxa de desguàs.
- Instal·lació de presa d'aigua en terrassa planta pis.
Tota la instal·lació totalment acabada i funcionant. Aquesta partida inclou els treballs de replanteig del recorregut de les canalitzacions, presentació en sec dels tubs, fixació del material auxiliar per a muntatge i subjecció a l'obra, muntatge, connexió i comprovació del seu correcte funcionament i realització de proves de servei.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</si>
  <si>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</si>
  <si>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</si>
  <si>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</si>
  <si>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</si>
  <si>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</si>
  <si>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</si>
  <si>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Instalació completa</t>
  </si>
  <si>
    <t xml:space="preserve">04.03</t>
  </si>
  <si>
    <t xml:space="preserve">Partida</t>
  </si>
  <si>
    <t xml:space="preserve">u</t>
  </si>
  <si>
    <t xml:space="preserve">PRESA DE TERRA</t>
  </si>
  <si>
    <t xml:space="preserve">Xarxa de presa de terra formada per un cable conductor de coure nu recuit de 35 mm² de secció per a la línia principal de presa de terra, soterrat a una profunditat mínima de 80 cm, 10 m de cable conductor de coure nu recuit de 35 mm² de secció per a la línia d'enllaç de presa de terra i 2 piques per a xarxa de presa de terra formada per peça d'acer courejat amb bany electrolític de 20 mm de diàmetre i 2 m de llargària, soterrada a una profunditat mínima de 80 cm. Inclòs punt de separació pica-cable, soldadures aluminotèrmiques, registre de comprovació i pont de prova. Totalment muntada, establerta connexió i provada. Aquesta partida inclou els treballs de replanteig, connexió de l'elèctrode i la línia d'enllaç, muntatge del punt de posada a terra, traçat de la línia principal de terra, subjecció, traçat de derivacions de terra, connexió de les derivacions, connexió a massa de la xarxa i realització de proves de servei. Se seguiran les indicacions i criteri de la Direcció Facultativa. Aquesta partida inclou la part proporcional de mitjans auxiliars, equips i eines necessàries per a dur a terme la totalitat dels treballs als quals fa referència.</t>
  </si>
  <si>
    <t xml:space="preserve">04.04</t>
  </si>
  <si>
    <t xml:space="preserve">Partida</t>
  </si>
  <si>
    <t xml:space="preserve">u</t>
  </si>
  <si>
    <t xml:space="preserve">INSTAL·LACIÓ ELECTRICITAT</t>
  </si>
  <si>
    <t xml:space="preserve">Xarxa elèctrica completa de distribució interior del pavelló, incloent la realització d'una nova connexió de servei  i quadre secundari de comandament amb 4 línies (2 d'il·luminació i 2 de preses de corrent general), mecanismes i embellidors, estesa de cables en el seu interior, caixes de derivació amb tapes i regletes de connexió, caixes d'encastar amb caragols de fixació i quants accessoris siguin necessaris per a la seva correcta instal·lació. E s farà ús del pas de les antigues instal·lacions. Totalment muntada, establerta connexió i provada. Inclòs el butlletí de l'instal·lador. Aquesta partida inclou els treballs de replanteig i traçat de conductes, col·locació de la caixa per al quadre, muntatge dels components, col·locació i fixació dels tubs, col·locació de caixes de derivació i d'encastar, estesa i connexió de cables i col·locació de mecanismes. Se seguiran les indicacions i criteri de la Direcció Facultativa. Aquesta partida inclou la part proporcional de mitjans auxiliars, equips i eines necessàries per a dur a terme la totalitat dels treballs als quals fa referència.</t>
  </si>
  <si>
    <t xml:space="preserve">04.05</t>
  </si>
  <si>
    <t xml:space="preserve">Partida</t>
  </si>
  <si>
    <t xml:space="preserve">u</t>
  </si>
  <si>
    <t xml:space="preserve">INSTAL·LACIÓ IL·LUMINACIÓ</t>
  </si>
  <si>
    <t xml:space="preserve">Instal·lació d'il·luminació a l'interior del pavelló. Comprèn punts de llum fixos i mòbils en totes les estades, accessos i sortida a coberta. Segons plànols de detall. Totalment acabada i funcionant. Aquesta partida inclou els treballs de replanteig, muntatge, connexió i comprovació del correcte funcionament dels mecanismes. Se seguiran les indicacions i criteri de la Direcció Facultativa. Aquesta partida inclou la part proporcional de mitjans auxiliars, equips i eines necessàries per a dur a terme la totalitat dels treballs als quals fa referència.</t>
  </si>
  <si>
    <t xml:space="preserve">04.06</t>
  </si>
  <si>
    <t xml:space="preserve">Partida</t>
  </si>
  <si>
    <t xml:space="preserve">u</t>
  </si>
  <si>
    <t xml:space="preserve">INSTAL·LACIÓ IL·LUMINACIÓ EMERGÈNCIA</t>
  </si>
  <si>
    <t xml:space="preserve">Subministrament i instal·lació de sistema d'enllumenat d'emergència format per 8 punts de llum encastats connectats a 5 aparells SAI (Sistema d'Enllumenat Independent), a raó de 2,2,2,1,1. Cada lluminària d'emergència estarà formada per un tub lineal fluorescent, 6 W - G5, flux lluminós 155 lúmens, carcassa mínima amb bateries de Ni-Cd d'alta temperatura, autonomia d'1 h, alimentació a 230 V, temps de càrrega 24 h. Inclosos accessoris i elements de fixació. Aquesta partida inclou el replanteig, la fixació i l'anivellament de cada SAI, el muntatge, connexió i comprovació del correcte funcionament. Se seguiran les indicacions i criteri de la Direcció Facultativa. Aquesta partida inclou la part proporcional de mitjans auxiliars, equips i eines necessàries per a dur a terme la totalitat dels treballs als quals fa referència.</t>
  </si>
  <si>
    <t xml:space="preserve">04.07</t>
  </si>
  <si>
    <t xml:space="preserve">Partida</t>
  </si>
  <si>
    <t xml:space="preserve">u</t>
  </si>
  <si>
    <t xml:space="preserve">INSTAL·LACIÓ TELEFONIA-VEU-DADES</t>
  </si>
  <si>
    <t xml:space="preserve">Instal·lació de la xarxa de telefonia, veu i dades a l'interior del conjunt del pavelló. Es farà ús del pas de les antigues instal·lacions. Segons plànols de detall. Totalment acabada i funcionant. Aquesta partida inclou els treballs de replanteig, muntatge, connexió i comprovació del correcte funcionament dels mecanismes. Se seguiran les indicacions i criteri de la Direcció Facultativa. Aquesta partida inclou la part proporcional de mitjans auxiliars, equips i eines necessàries per a dur a terme la totalitat dels treballs als quals fa referència.</t>
  </si>
  <si>
    <t xml:space="preserve">Uds.</t>
  </si>
  <si>
    <t xml:space="preserve">Largo</t>
  </si>
  <si>
    <t xml:space="preserve">Ancho</t>
  </si>
  <si>
    <t xml:space="preserve">Alto</t>
  </si>
  <si>
    <t xml:space="preserve">Parcial</t>
  </si>
  <si>
    <t xml:space="preserve">Subtotal</t>
  </si>
  <si>
    <t xml:space="preserve">Instal.lació completa</t>
  </si>
  <si>
    <t xml:space="preserve">04</t>
  </si>
  <si>
    <t xml:space="preserve">05</t>
  </si>
  <si>
    <t xml:space="preserve">Capítulo</t>
  </si>
  <si>
    <t xml:space="preserve">ACCESSOS Y MUSEALITZACIÓ</t>
  </si>
  <si>
    <t xml:space="preserve">05.01</t>
  </si>
  <si>
    <t xml:space="preserve">Partida</t>
  </si>
  <si>
    <t xml:space="preserve">u</t>
  </si>
  <si>
    <t xml:space="preserve">DISSENY PANELL INFORMATIU</t>
  </si>
  <si>
    <t xml:space="preserve">Disseny de panell informatiu realitzat segons criteri i sota l'aprovació de la Direcció Facultativa.</t>
  </si>
  <si>
    <t xml:space="preserve">05.02</t>
  </si>
  <si>
    <t xml:space="preserve">Partida</t>
  </si>
  <si>
    <t xml:space="preserve">u</t>
  </si>
  <si>
    <t xml:space="preserve">PANELL EXPOSITOR ESPAIS EXTERNS</t>
  </si>
  <si>
    <t xml:space="preserve">Subministrament i col·locació de panell expositor per a cartell explicatiu, realitzat amb xapes en “U” de 5 mm de secció i 2 metres d'alçària pintades al foc de color a decidir per la Direcció Facultativa, col·locades sobre placa d'ancoratge, utilitzats a manera de sustentació del panell. S’inclourà la col·locació d’una planxa impresa de 4 mm de gruix amb la funció de protecció del panell expositiu. Tots els treballs perfectament realitzats i acabats, respectant les indicacions i disseny de la Direcció Facultativa. El disseny d'aquest panell expositor es realitzarà seguint el disseny i indicacions marcades en la documentació gràfica del projecte i seguint les indicacions i criteri de la Direcció Facultativa. Aquesta partida inclou la part proporcional de mitjans auxiliars, equips i eines necessàries per a dur a terme la totalitat dels treballs als quals fa referència.</t>
  </si>
  <si>
    <t xml:space="preserve">05.03</t>
  </si>
  <si>
    <t xml:space="preserve">Partida</t>
  </si>
  <si>
    <t xml:space="preserve">u</t>
  </si>
  <si>
    <t xml:space="preserve">PROJECTOR LLUM</t>
  </si>
  <si>
    <t xml:space="preserve">Projector rectangular orientable en color blanc o negre, amb 1 llum d'halogenurs metàl·lics de doble terminal Mastercolour de 150 W.Rx7S, amb connexió a través de base fixa o amb adaptador per a carril electrificat. Carcassa d'injecció d'alumini i vidre de protecció. Índex de protecció IP 20/Classe I. Equip elèctric incorporat. Instal·lat, incloent replanteig, accessoris d'ancoratge i connexió.</t>
  </si>
  <si>
    <t xml:space="preserve">05.04</t>
  </si>
  <si>
    <t xml:space="preserve">Partida</t>
  </si>
  <si>
    <t xml:space="preserve">u</t>
  </si>
  <si>
    <t xml:space="preserve">RAMPA MÒBIL</t>
  </si>
  <si>
    <t xml:space="preserve">Subministrament i col·locació de rampa mòbil, model tipus maleta multiplegat R2P300 o similar. Totalment muntada, amb tots els elements necessaris per a la seva instal·lació.</t>
  </si>
  <si>
    <t xml:space="preserve">05</t>
  </si>
  <si>
    <t xml:space="preserve">06</t>
  </si>
  <si>
    <t xml:space="preserve">Capítulo</t>
  </si>
  <si>
    <t xml:space="preserve">CONTROL DE QUALITAT</t>
  </si>
  <si>
    <t xml:space="preserve">06.01</t>
  </si>
  <si>
    <t xml:space="preserve">Partida</t>
  </si>
  <si>
    <t xml:space="preserve">u</t>
  </si>
  <si>
    <t xml:space="preserve">ESTANQUEITAT DE COBERTA</t>
  </si>
  <si>
    <t xml:space="preserve">Prova d'estanquitat de cobertes, mitjançant regat amb aspersors durant un període mínim de 6 hores del 100% de la superfície a provar, comprovant filtracions a l'interior durant les 48 hores següents. Inclosa emissió de l'informe de la prova. Aquesta partida inclou el desplaçament a obra, realització de la prova, redacció d'informe del resultat de la prova realitzada.</t>
  </si>
  <si>
    <t xml:space="preserve">06</t>
  </si>
  <si>
    <t xml:space="preserve">07</t>
  </si>
  <si>
    <t xml:space="preserve">Capítulo</t>
  </si>
  <si>
    <t xml:space="preserve">GESTIÓ DE RESIDUS</t>
  </si>
  <si>
    <t xml:space="preserve">07.01</t>
  </si>
  <si>
    <t xml:space="preserve">Partida</t>
  </si>
  <si>
    <t xml:space="preserve">m3</t>
  </si>
  <si>
    <t xml:space="preserve">TRANSPORT DE TERRES</t>
  </si>
  <si>
    <t xml:space="preserve">Transport de terres amb camió dels productes procedents de l'excavació de qualsevol mena de terreny a abocador específic, instal·lació de tractament de residus de construcció i demolició externa a l'obra o centre de valorització o eliminació de residus, situat a una distància màxima de 10 km. Inclou: Transport de terres a abocador específic, instal·lació de tractament de residus de construcció i demolició externa a l'obra o centre de valorització o eliminació de residus, amb protecció de les mateixes mitjançant el seu cobriment amb lones o tendals.</t>
  </si>
  <si>
    <t xml:space="preserve">Uds.</t>
  </si>
  <si>
    <t xml:space="preserve">Largo</t>
  </si>
  <si>
    <t xml:space="preserve">Ancho</t>
  </si>
  <si>
    <t xml:space="preserve">Alto</t>
  </si>
  <si>
    <t xml:space="preserve">Parcial</t>
  </si>
  <si>
    <t xml:space="preserve">Subtotal</t>
  </si>
  <si>
    <t xml:space="preserve">Xarxia d´aigües</t>
  </si>
  <si>
    <t xml:space="preserve">07.02</t>
  </si>
  <si>
    <t xml:space="preserve">Partida</t>
  </si>
  <si>
    <t xml:space="preserve">m3</t>
  </si>
  <si>
    <t xml:space="preserve">CÀNON ABOCAMENT TERRES</t>
  </si>
  <si>
    <t xml:space="preserve">Cànon d'abocament per lliurament de terres procedents de l'excavació, en abocador específic, instal·lació de tractament de residus de construcció i demolició externa a l'obra o centre de valorització o eliminació de residus.</t>
  </si>
  <si>
    <t xml:space="preserve">Uds.</t>
  </si>
  <si>
    <t xml:space="preserve">Largo</t>
  </si>
  <si>
    <t xml:space="preserve">Ancho</t>
  </si>
  <si>
    <t xml:space="preserve">Alto</t>
  </si>
  <si>
    <t xml:space="preserve">Parcial</t>
  </si>
  <si>
    <t xml:space="preserve">Subtotal</t>
  </si>
  <si>
    <t xml:space="preserve">Xarxia d´aigües</t>
  </si>
  <si>
    <t xml:space="preserve">07.03</t>
  </si>
  <si>
    <t xml:space="preserve">Partida</t>
  </si>
  <si>
    <t xml:space="preserve">u</t>
  </si>
  <si>
    <t xml:space="preserve">TRANSPORT RCD</t>
  </si>
  <si>
    <t xml:space="preserve">Transport de residus inerts de maons, teules i materials ceràmics, produïts en obres de construcció i/o demolició, amb contenidor de 7 m³, a abocador específic, instal·lació de tractament de residus de construcció i demolició externa a l'obra o centre de valorització o eliminació de residus. Inclòs servei de lliurament, lloguer i arreplegada en obra del contenidor. Inclou: Càrrega a camió del contenidor. Transport de residus de construcció a abocador específic, instal·lació de tractament de residus de construcció i demolició externa a l'obra o centre de valorització o eliminació de residus.</t>
  </si>
  <si>
    <t xml:space="preserve">07.04</t>
  </si>
  <si>
    <t xml:space="preserve">Partida</t>
  </si>
  <si>
    <t xml:space="preserve">u</t>
  </si>
  <si>
    <t xml:space="preserve">CÀNON ABOCAMENT RCD</t>
  </si>
  <si>
    <t xml:space="preserve">Cànon d'abocament per lliurament de contenidor de 7 m³ amb residus inerts de maons, teules i materials ceràmics, produïts en obres de construcció i/o demolició, en abocador específic, instal·lació de tractament de residus de construcció i demolició externa a l'obra o centre de valorització o eliminació de residus.</t>
  </si>
  <si>
    <t xml:space="preserve">07</t>
  </si>
  <si>
    <t xml:space="preserve">08</t>
  </si>
  <si>
    <t xml:space="preserve">Capítulo</t>
  </si>
  <si>
    <t xml:space="preserve">SEGURETAT I SALUT</t>
  </si>
  <si>
    <t xml:space="preserve">08.01</t>
  </si>
  <si>
    <t xml:space="preserve">Capítulo</t>
  </si>
  <si>
    <t xml:space="preserve">SENYALITZACIÓ</t>
  </si>
  <si>
    <t xml:space="preserve">08.01.01</t>
  </si>
  <si>
    <t xml:space="preserve">Partida</t>
  </si>
  <si>
    <t xml:space="preserve">m</t>
  </si>
  <si>
    <t xml:space="preserve">CINTA ABALISAMENT BICOLOR 8 cm.</t>
  </si>
  <si>
    <t xml:space="preserve">Cinta d'abalisament bicolor vermell/blanc de material plàstic, inclosa col·locació i desmuntatge. s/RD 485/97.</t>
  </si>
  <si>
    <t xml:space="preserve">08.01.02</t>
  </si>
  <si>
    <t xml:space="preserve">Partida</t>
  </si>
  <si>
    <t xml:space="preserve">ud</t>
  </si>
  <si>
    <t xml:space="preserve">CARTELL PVC. 220x300 mm. OBL., PROH. ADVER.</t>
  </si>
  <si>
    <t xml:space="preserve">Cartell serigrafiat sobre planxes de PVC blanc de 0,6 mm de gruix nominal. Grandària 220x300 mm. Vàlides per a senyals d'obligació, prohibició i advertiment, amortitzable en quatre usos, inclosa col·locació i desmuntatge. s/RD 485/97.</t>
  </si>
  <si>
    <t xml:space="preserve">08.01.03</t>
  </si>
  <si>
    <t xml:space="preserve">Partida</t>
  </si>
  <si>
    <t xml:space="preserve">ud</t>
  </si>
  <si>
    <t xml:space="preserve">PLACA SENYALITZACIÓ RISC</t>
  </si>
  <si>
    <t xml:space="preserve">Placa senyalització-informació en PVC serigrafiat de 50x30 cm., fixada mecànicament, amortitzable en 3 usos, inclosa col·locació i desmuntatge. s/RD 485/97.</t>
  </si>
  <si>
    <t xml:space="preserve">08.01</t>
  </si>
  <si>
    <t xml:space="preserve">08.02</t>
  </si>
  <si>
    <t xml:space="preserve">Capítulo</t>
  </si>
  <si>
    <t xml:space="preserve">PROTECCIONS COL·LECTIVES</t>
  </si>
  <si>
    <t xml:space="preserve">08.02.01</t>
  </si>
  <si>
    <t xml:space="preserve">Partida</t>
  </si>
  <si>
    <t xml:space="preserve">m</t>
  </si>
  <si>
    <t xml:space="preserve">BARAND.PROTECCIÓ LATERAL RASES</t>
  </si>
  <si>
    <t xml:space="preserve">Barana protecció lateral de rases, formada per tres taulons de fusta de pi de 20x5 cm. i estaquetes de fusta de D=8 cm clavades en el terreny cada 1,00 m (amortitzable en 3 usos), inclosa col·locació i desmuntatge. s/RD 486/97.</t>
  </si>
  <si>
    <t xml:space="preserve">08.02.02</t>
  </si>
  <si>
    <t xml:space="preserve">Partida</t>
  </si>
  <si>
    <t xml:space="preserve">ud</t>
  </si>
  <si>
    <t xml:space="preserve">EXTINTOR POLS ABC 3 kg. PR.INC.</t>
  </si>
  <si>
    <t xml:space="preserve">Extintor de pols química ABC polivalent antibrasa d'eficàcia 13A/55B, de 3 kg. d'agent extintor, amb suport, manòmetre comprovable i filtre amb difusor, segons norma EN-3:1996. Mesurada la unitat instal·lada s/RD 486/97.</t>
  </si>
  <si>
    <t xml:space="preserve">08.02</t>
  </si>
  <si>
    <t xml:space="preserve">08.03</t>
  </si>
  <si>
    <t xml:space="preserve">Capítulo</t>
  </si>
  <si>
    <t xml:space="preserve">EQUIPS DE PROTECCIÓ INDIVIDUAL</t>
  </si>
  <si>
    <t xml:space="preserve">08.03.01</t>
  </si>
  <si>
    <t xml:space="preserve">Partida</t>
  </si>
  <si>
    <t xml:space="preserve">ud</t>
  </si>
  <si>
    <t xml:space="preserve">CASC DE SEGURETAT AJUST. RUEDA</t>
  </si>
  <si>
    <t xml:space="preserve">Casc de seguretat amb arnès de cap ajustable per mitjà de roda dentada, per a ús normal i elèctric fins a 440 V. Certificat CE. s/RD 773/97 i RD 1407/92.</t>
  </si>
  <si>
    <t xml:space="preserve">08.03.02</t>
  </si>
  <si>
    <t xml:space="preserve">Partida</t>
  </si>
  <si>
    <t xml:space="preserve">ud</t>
  </si>
  <si>
    <t xml:space="preserve">PANTALLA DE CAP SOLDADOR</t>
  </si>
  <si>
    <t xml:space="preserve">Pantalla de cap de seguretat per a soldador, de fibra vulcanitzada, amb cristall de 110x55 mm (amortitzable en 5 usos). Certificat CE. s/RD 773/97 i RD 1407/92.</t>
  </si>
  <si>
    <t xml:space="preserve">08.03.03</t>
  </si>
  <si>
    <t xml:space="preserve">Partida</t>
  </si>
  <si>
    <t xml:space="preserve">ud</t>
  </si>
  <si>
    <t xml:space="preserve">ULLERES ANTIPOLS</t>
  </si>
  <si>
    <t xml:space="preserve">Ulleres antipols antibaf, panoràmiques (amortitzables en 3 usos). Certificat CE. s/RD 773/97 i RD 1407/92.</t>
  </si>
  <si>
    <t xml:space="preserve">08.03.04</t>
  </si>
  <si>
    <t xml:space="preserve">Partida</t>
  </si>
  <si>
    <t xml:space="preserve">ud</t>
  </si>
  <si>
    <t xml:space="preserve">SEMI MÀSCARA ANTIPOLS 1 FILTRO</t>
  </si>
  <si>
    <t xml:space="preserve">Semi-màscara antipols amb filtre (amortitzable en 3 usos). Certificat CE. s/RD 773/97 i RD 1407/92.</t>
  </si>
  <si>
    <t xml:space="preserve">08.03.05</t>
  </si>
  <si>
    <t xml:space="preserve">Partida</t>
  </si>
  <si>
    <t xml:space="preserve">ud</t>
  </si>
  <si>
    <t xml:space="preserve">FAIXA DE PROTECCIÓ LUMBAR</t>
  </si>
  <si>
    <t xml:space="preserve">Faixa protecció lumbar (amortitzable en 4 usos). Certificat CE EN385. s/RD 773/97 i RD 1407/92.</t>
  </si>
  <si>
    <t xml:space="preserve">08.03.06</t>
  </si>
  <si>
    <t xml:space="preserve">Partida</t>
  </si>
  <si>
    <t xml:space="preserve">ud</t>
  </si>
  <si>
    <t xml:space="preserve">CINTURÓ PORTAEINES</t>
  </si>
  <si>
    <t xml:space="preserve">Cinturó portaeines (amortitzable en 4 usos). Certificat CE. s/RD 773/97 i RD 1407/92.</t>
  </si>
  <si>
    <t xml:space="preserve">08.03.07</t>
  </si>
  <si>
    <t xml:space="preserve">Partida</t>
  </si>
  <si>
    <t xml:space="preserve">ud</t>
  </si>
  <si>
    <t xml:space="preserve">GRANOTA DE TREBALL</t>
  </si>
  <si>
    <t xml:space="preserve">Granota de treball d'una peça de polièster-cotó (amortitzable en un ús). Certificat CE. s/RD 773/97 i RD 1407/92.</t>
  </si>
  <si>
    <t xml:space="preserve">08.03.08</t>
  </si>
  <si>
    <t xml:space="preserve">Partida</t>
  </si>
  <si>
    <t xml:space="preserve">ud</t>
  </si>
  <si>
    <t xml:space="preserve">DAVANTAL CUIR SOLDADOR</t>
  </si>
  <si>
    <t xml:space="preserve">Davantal de cuir per a soldador (amortitzable en 3 usos). Certificat CE. s/RD 773/97 i RD 1407/92.</t>
  </si>
  <si>
    <t xml:space="preserve">08.03.09</t>
  </si>
  <si>
    <t xml:space="preserve">Partida</t>
  </si>
  <si>
    <t xml:space="preserve">ud</t>
  </si>
  <si>
    <t xml:space="preserve">PETO REFLECTOR DE SEGURETAT</t>
  </si>
  <si>
    <t xml:space="preserve">Peto reflector de seguretat personal en colors groc i vermell (amortitzable en 3 usos). Certificat CE. s/RD 773/97 i RD 1407/92.</t>
  </si>
  <si>
    <t xml:space="preserve">08.03.10</t>
  </si>
  <si>
    <t xml:space="preserve">Partida</t>
  </si>
  <si>
    <t xml:space="preserve">ud</t>
  </si>
  <si>
    <t xml:space="preserve">PARELL GUANTS LONA ENFORÇATS</t>
  </si>
  <si>
    <t xml:space="preserve">Parell de guants de lona reforçats. Certificat CE. s/RD 773/97 i RD 1407/92.</t>
  </si>
  <si>
    <t xml:space="preserve">08.03.11</t>
  </si>
  <si>
    <t xml:space="preserve">Partida</t>
  </si>
  <si>
    <t xml:space="preserve">ud</t>
  </si>
  <si>
    <t xml:space="preserve">PARELL BOTES AIGUA SEGURETAT</t>
  </si>
  <si>
    <t xml:space="preserve">Parell de botes de seguretat amb plantilla i capdavantera d'acer (amortitzables en 3 usos). Certificat CE. s/RD 773/97 i RD 1407/92.</t>
  </si>
  <si>
    <t xml:space="preserve">08.03.12</t>
  </si>
  <si>
    <t xml:space="preserve">Partida</t>
  </si>
  <si>
    <t xml:space="preserve">ud</t>
  </si>
  <si>
    <t xml:space="preserve">PARELL POLAINES SOLDADURA</t>
  </si>
  <si>
    <t xml:space="preserve">Parell de polaines per a soldador (amortitzables en 3 usos). Certificat CE. s/RD 773/97 i RD 1407/92.</t>
  </si>
  <si>
    <t xml:space="preserve">08.03.13</t>
  </si>
  <si>
    <t xml:space="preserve">Partida</t>
  </si>
  <si>
    <t xml:space="preserve">ud</t>
  </si>
  <si>
    <t xml:space="preserve">ARNÈS AM. DORSAL + CINTURÓN</t>
  </si>
  <si>
    <t xml:space="preserve">Arnès de seguretat amb amarrament dorsal amb anella, regulació en cames i espatlles i sivelles automàtiques + cinturó d'amarrament lateral de doble regulació, fabricats amb cinta de niló de 45 mm i elements metàl·lics d'acer inoxidable, amortitzable en 5 obres. Certificat CE Norma EN 361 + EN 358 s/RD 773/97 i RD 1407/92.</t>
  </si>
  <si>
    <t xml:space="preserve">08.03.14</t>
  </si>
  <si>
    <t xml:space="preserve">Partida</t>
  </si>
  <si>
    <t xml:space="preserve">ud</t>
  </si>
  <si>
    <t xml:space="preserve">ESLINGA</t>
  </si>
  <si>
    <t xml:space="preserve">Eslinga d'amarrament i posicionament formada per corda de poliamida de 12 mm de diàmetre i 1 m de llargària, amb un mosquetó de 17 mm d'obertura i un ganxo de 60 mm d'obertura, amortitzable en 4 usos. Certificat CE EN 354. s/RD 773/97 i RD 1407/92.</t>
  </si>
  <si>
    <t xml:space="preserve">08.03.15</t>
  </si>
  <si>
    <t xml:space="preserve">Partida</t>
  </si>
  <si>
    <t xml:space="preserve">m</t>
  </si>
  <si>
    <t xml:space="preserve">LÍNIA HORITZONTAL SEGURETAT</t>
  </si>
  <si>
    <t xml:space="preserve">Línia horitzontal de seguretat per a ancoratge i desplaçament de cinturons de seguretat amb corda per a dispositiu anticaiguda, D=14 mm., i ancoratge autoblocant de fixació de mosquetons dels cinturons, inclòs desmuntatge.</t>
  </si>
  <si>
    <t xml:space="preserve">08.03</t>
  </si>
  <si>
    <t xml:space="preserve">08</t>
  </si>
  <si>
    <t xml:space="preserve">INTERVENCIÒ PAVELLÓ GÜELL</t>
  </si>
</sst>
</file>

<file path=xl/styles.xml><?xml version="1.0" encoding="utf-8"?>
<styleSheet xmlns="http://schemas.openxmlformats.org/spreadsheetml/2006/main">
  <numFmts count="2">
    <numFmt numFmtId="200" formatCode="#,##0.00"/>
    <numFmt numFmtId="201" formatCode="#,##0.000"/>
  </numFmts>
  <fonts count="7">
    <font>
      <sz val="12.00"/>
      <color rgb="FF000000"/>
      <name val="Verdana"/>
      <family val="2"/>
    </font>
    <font>
      <b/>
      <sz val="9.96"/>
      <color rgb="FF000000"/>
      <name val="Arial"/>
      <family val="2"/>
    </font>
    <font>
      <sz val="8.04"/>
      <color rgb="FF000000"/>
      <name val="Arial"/>
      <family val="2"/>
    </font>
    <font>
      <b/>
      <sz val="9.00"/>
      <color rgb="FF000000"/>
      <name val="Arial"/>
      <family val="2"/>
    </font>
    <font>
      <b/>
      <sz val="8.04"/>
      <color rgb="FF000000"/>
      <name val="Arial"/>
      <family val="2"/>
    </font>
    <font>
      <sz val="8.04"/>
      <color rgb="FF808080"/>
      <name val="Arial"/>
      <family val="2"/>
    </font>
    <font>
      <sz val="8.04"/>
      <color rgb="FF101010"/>
      <name val="Arial"/>
      <family val="2"/>
    </font>
  </fonts>
  <fills count="7">
    <fill>
      <patternFill patternType="none"/>
    </fill>
    <fill>
      <patternFill patternType="gray125"/>
    </fill>
    <fill>
      <patternFill patternType="solid">
        <fgColor rgb="FFDFFFBF"/>
      </patternFill>
    </fill>
    <fill>
      <patternFill patternType="solid">
        <fgColor rgb="FF269900"/>
      </patternFill>
    </fill>
    <fill>
      <patternFill patternType="solid">
        <fgColor rgb="FF3FB219"/>
      </patternFill>
    </fill>
    <fill>
      <patternFill patternType="solid">
        <fgColor rgb="FF58CB32"/>
      </patternFill>
    </fill>
    <fill>
      <patternFill patternType="solid">
        <fgColor rgb="FF71E44B"/>
      </patternFill>
    </fill>
  </fills>
  <borders count="6">
    <border>
      <left/>
      <right/>
      <top/>
      <bottom/>
      <diagonal/>
    </border>
    <border>
      <left/>
      <right/>
      <top/>
      <bottom style="thin">
        <color rgb="FF000000"/>
      </bottom>
      <diagonal/>
    </border>
    <border>
      <left/>
      <right/>
      <top style="thin">
        <color rgb="FF000000"/>
      </top>
      <bottom/>
      <diagonal/>
    </border>
    <border>
      <left/>
      <right/>
      <top/>
      <bottom style="thin">
        <color rgb="FF808080"/>
      </bottom>
      <diagonal/>
    </border>
    <border>
      <left/>
      <right/>
      <top style="thin">
        <color rgb="FF808080"/>
      </top>
      <bottom/>
      <diagonal/>
    </border>
    <border>
      <left/>
      <right/>
      <top style="thin">
        <color rgb="FF000000"/>
      </top>
      <bottom style="thin">
        <color rgb="FF000000"/>
      </bottom>
      <diagonal/>
    </border>
  </borders>
  <cellStyleXfs count="1">
    <xf numFmtId="0" fontId="0" fillId="0" borderId="0"/>
  </cellStyleXfs>
  <cellXfs count="83">
    <xf numFmtId="0" fontId="0" fillId="0" borderId="0" xfId="0" applyFont="1" applyAlignment="1">
      <alignment horizontal="left" vertical="center" wrapText="0"/>
    </xf>
    <xf numFmtId="0" fontId="1" fillId="0" borderId="0" xfId="0" applyFont="1" applyAlignment="1">
      <alignment horizontal="right" vertical="top" wrapText="1"/>
    </xf>
    <xf numFmtId="0" fontId="1" fillId="2" borderId="0" xfId="0" applyFont="1" applyAlignment="1">
      <alignment horizontal="right" vertical="top" wrapText="1"/>
    </xf>
    <xf numFmtId="0" fontId="1" fillId="0" borderId="0" xfId="0" applyFont="1" applyAlignment="1">
      <alignment horizontal="left" vertical="top" wrapText="1"/>
    </xf>
    <xf numFmtId="0" fontId="1" fillId="2" borderId="0" xfId="0" applyFont="1" applyAlignment="1">
      <alignment horizontal="left" vertical="top" wrapText="1"/>
    </xf>
    <xf numFmtId="0" fontId="0" fillId="2" borderId="0" xfId="0" applyFont="1" applyAlignment="1">
      <alignment horizontal="left" vertical="top" wrapText="1"/>
    </xf>
    <xf numFmtId="0" fontId="2" fillId="0" borderId="0" xfId="0" applyFont="1" applyAlignment="1">
      <alignment horizontal="right" vertical="top" wrapText="1"/>
    </xf>
    <xf numFmtId="0" fontId="2" fillId="2" borderId="0" xfId="0" applyFont="1" applyAlignment="1">
      <alignment horizontal="right" vertical="top" wrapText="1"/>
    </xf>
    <xf numFmtId="0" fontId="2" fillId="0" borderId="0" xfId="0" applyFont="1" applyAlignment="1">
      <alignment horizontal="left" vertical="top" wrapText="1"/>
    </xf>
    <xf numFmtId="0" fontId="2" fillId="2" borderId="0" xfId="0" applyFont="1" applyAlignment="1">
      <alignment horizontal="left" vertical="top" wrapText="1"/>
    </xf>
    <xf numFmtId="0" fontId="3" fillId="0" borderId="0" xfId="0" applyFont="1" applyAlignment="1">
      <alignment horizontal="left" vertical="top" wrapText="1"/>
    </xf>
    <xf numFmtId="0" fontId="3" fillId="2" borderId="1" xfId="0" applyFont="1" applyAlignment="1">
      <alignment horizontal="left" vertical="top" wrapText="1"/>
    </xf>
    <xf numFmtId="0" fontId="0" fillId="2" borderId="1" xfId="0" applyFont="1" applyAlignment="1">
      <alignment horizontal="left" vertical="top" wrapText="1"/>
    </xf>
    <xf numFmtId="0" fontId="3" fillId="0" borderId="0" xfId="0" applyFont="1" applyAlignment="1">
      <alignment horizontal="right" vertical="top" wrapText="1"/>
    </xf>
    <xf numFmtId="0" fontId="3" fillId="2" borderId="1" xfId="0" applyFont="1" applyAlignment="1">
      <alignment horizontal="right" vertical="top" wrapText="1"/>
    </xf>
    <xf numFmtId="0" fontId="4" fillId="0" borderId="0" xfId="0" applyFont="1" applyAlignment="1">
      <alignment horizontal="left" vertical="top" wrapText="1"/>
    </xf>
    <xf numFmtId="0" fontId="4" fillId="3" borderId="2" xfId="0" applyFont="1" applyAlignment="1">
      <alignment horizontal="left" vertical="top" wrapText="1"/>
    </xf>
    <xf numFmtId="0" fontId="0" fillId="3" borderId="2" xfId="0" applyFont="1" applyAlignment="1">
      <alignment horizontal="left" vertical="top" wrapText="1"/>
    </xf>
    <xf numFmtId="0" fontId="4" fillId="0" borderId="0" xfId="0" applyFont="1" applyAlignment="1">
      <alignment horizontal="justify" vertical="top" wrapText="1"/>
    </xf>
    <xf numFmtId="0" fontId="4" fillId="3" borderId="2" xfId="0" applyFont="1" applyAlignment="1">
      <alignment horizontal="justify" vertical="top" wrapText="1"/>
    </xf>
    <xf numFmtId="200" fontId="4" fillId="0" borderId="0" xfId="0" applyFont="1" applyAlignment="1">
      <alignment horizontal="right" vertical="top" wrapText="1"/>
    </xf>
    <xf numFmtId="200" fontId="4" fillId="3" borderId="2" xfId="0" applyFont="1" applyAlignment="1">
      <alignment horizontal="right" vertical="top" wrapText="1"/>
    </xf>
    <xf numFmtId="0" fontId="4" fillId="4" borderId="0" xfId="0" applyFont="1" applyAlignment="1">
      <alignment horizontal="left" vertical="top" wrapText="1"/>
    </xf>
    <xf numFmtId="0" fontId="0" fillId="4" borderId="0" xfId="0" applyFont="1" applyAlignment="1">
      <alignment horizontal="left" vertical="top" wrapText="1"/>
    </xf>
    <xf numFmtId="0" fontId="4" fillId="4" borderId="0" xfId="0" applyFont="1" applyAlignment="1">
      <alignment horizontal="justify" vertical="top" wrapText="1"/>
    </xf>
    <xf numFmtId="200" fontId="4" fillId="4" borderId="0" xfId="0" applyFont="1" applyAlignment="1">
      <alignment horizontal="right" vertical="top" wrapText="1"/>
    </xf>
    <xf numFmtId="0" fontId="4" fillId="5" borderId="0" xfId="0" applyFont="1" applyAlignment="1">
      <alignment horizontal="left" vertical="top" wrapText="1"/>
    </xf>
    <xf numFmtId="0" fontId="0" fillId="5" borderId="0" xfId="0" applyFont="1" applyAlignment="1">
      <alignment horizontal="left" vertical="top" wrapText="1"/>
    </xf>
    <xf numFmtId="0" fontId="4" fillId="5" borderId="0" xfId="0" applyFont="1" applyAlignment="1">
      <alignment horizontal="justify" vertical="top" wrapText="1"/>
    </xf>
    <xf numFmtId="200" fontId="4" fillId="5" borderId="0" xfId="0" applyFont="1" applyAlignment="1">
      <alignment horizontal="right" vertical="top" wrapText="1"/>
    </xf>
    <xf numFmtId="0" fontId="2" fillId="0" borderId="0" xfId="0" applyFont="1" applyAlignment="1">
      <alignment horizontal="justify" vertical="top" wrapText="1"/>
    </xf>
    <xf numFmtId="201" fontId="2" fillId="0" borderId="0" xfId="0" applyFont="1" applyAlignment="1">
      <alignment horizontal="right" vertical="top" wrapText="1"/>
    </xf>
    <xf numFmtId="200" fontId="2" fillId="0" borderId="0" xfId="0" applyFont="1" applyAlignment="1">
      <alignment horizontal="right" vertical="top" wrapText="1"/>
    </xf>
    <xf numFmtId="0" fontId="0" fillId="0" borderId="0" xfId="0" applyFont="1" applyAlignment="1">
      <alignment horizontal="center" vertical="center" wrapText="1"/>
    </xf>
    <xf numFmtId="0" fontId="5" fillId="0" borderId="3" xfId="0" applyFont="1" applyAlignment="1">
      <alignment horizontal="left" vertical="top" wrapText="1"/>
    </xf>
    <xf numFmtId="0" fontId="5" fillId="0" borderId="0" xfId="0" applyFont="1" applyAlignment="1">
      <alignment horizontal="right" vertical="top" wrapText="1"/>
    </xf>
    <xf numFmtId="0" fontId="5" fillId="0" borderId="3" xfId="0" applyFont="1" applyAlignment="1">
      <alignment horizontal="right" vertical="top" wrapText="1"/>
    </xf>
    <xf numFmtId="0" fontId="5" fillId="0" borderId="0" xfId="0" applyFont="1" applyAlignment="1">
      <alignment horizontal="left" vertical="top" wrapText="1"/>
    </xf>
    <xf numFmtId="0" fontId="2" fillId="0" borderId="4" xfId="0" applyFont="1" applyAlignment="1">
      <alignment horizontal="left" vertical="top" wrapText="1"/>
    </xf>
    <xf numFmtId="0" fontId="2" fillId="0" borderId="4" xfId="0" applyFont="1" applyAlignment="1">
      <alignment horizontal="right" vertical="top" wrapText="1"/>
    </xf>
    <xf numFmtId="201" fontId="2" fillId="0" borderId="4" xfId="0" applyFont="1" applyAlignment="1">
      <alignment horizontal="right" vertical="top" wrapText="1"/>
    </xf>
    <xf numFmtId="201" fontId="5" fillId="0" borderId="0" xfId="0" applyFont="1" applyAlignment="1">
      <alignment horizontal="right" vertical="top" wrapText="1"/>
    </xf>
    <xf numFmtId="201" fontId="5" fillId="0" borderId="4" xfId="0" applyFont="1" applyAlignment="1">
      <alignment horizontal="right" vertical="top" wrapText="1"/>
    </xf>
    <xf numFmtId="201" fontId="6" fillId="0" borderId="0" xfId="0" applyFont="1" applyAlignment="1">
      <alignment horizontal="right" vertical="top" wrapText="1"/>
    </xf>
    <xf numFmtId="201" fontId="6" fillId="0" borderId="4" xfId="0" applyFont="1" applyAlignment="1">
      <alignment horizontal="right" vertical="top" wrapText="1"/>
    </xf>
    <xf numFmtId="0" fontId="0" fillId="0" borderId="4" xfId="0" applyFont="1" applyAlignment="1">
      <alignment horizontal="center" vertical="center" wrapText="1"/>
    </xf>
    <xf numFmtId="0" fontId="0" fillId="0" borderId="1" xfId="0" applyFont="1" applyAlignment="1">
      <alignment horizontal="center" vertical="center" wrapText="1"/>
    </xf>
    <xf numFmtId="0" fontId="4" fillId="5" borderId="1" xfId="0" applyFont="1" applyAlignment="1">
      <alignment horizontal="left" vertical="top" wrapText="1"/>
    </xf>
    <xf numFmtId="0" fontId="0" fillId="5" borderId="1" xfId="0" applyFont="1" applyAlignment="1">
      <alignment horizontal="left" vertical="top" wrapText="1"/>
    </xf>
    <xf numFmtId="200" fontId="4" fillId="5" borderId="1" xfId="0" applyFont="1" applyAlignment="1">
      <alignment horizontal="right" vertical="top" wrapText="1"/>
    </xf>
    <xf numFmtId="0" fontId="4" fillId="5" borderId="2" xfId="0" applyFont="1" applyAlignment="1">
      <alignment horizontal="left" vertical="top" wrapText="1"/>
    </xf>
    <xf numFmtId="0" fontId="0" fillId="5" borderId="2" xfId="0" applyFont="1" applyAlignment="1">
      <alignment horizontal="left" vertical="top" wrapText="1"/>
    </xf>
    <xf numFmtId="0" fontId="4" fillId="5" borderId="2" xfId="0" applyFont="1" applyAlignment="1">
      <alignment horizontal="justify" vertical="top" wrapText="1"/>
    </xf>
    <xf numFmtId="200" fontId="4" fillId="5" borderId="2" xfId="0" applyFont="1" applyAlignment="1">
      <alignment horizontal="right" vertical="top" wrapText="1"/>
    </xf>
    <xf numFmtId="0" fontId="5" fillId="0" borderId="4" xfId="0" applyFont="1" applyAlignment="1">
      <alignment horizontal="right" vertical="top" wrapText="1"/>
    </xf>
    <xf numFmtId="0" fontId="0" fillId="0" borderId="5" xfId="0" applyFont="1" applyAlignment="1">
      <alignment horizontal="center" vertical="center" wrapText="1"/>
    </xf>
    <xf numFmtId="0" fontId="4" fillId="4" borderId="5" xfId="0" applyFont="1" applyAlignment="1">
      <alignment horizontal="left" vertical="top" wrapText="1"/>
    </xf>
    <xf numFmtId="0" fontId="0" fillId="4" borderId="5" xfId="0" applyFont="1" applyAlignment="1">
      <alignment horizontal="left" vertical="top" wrapText="1"/>
    </xf>
    <xf numFmtId="200" fontId="4" fillId="4" borderId="5" xfId="0" applyFont="1" applyAlignment="1">
      <alignment horizontal="right" vertical="top" wrapText="1"/>
    </xf>
    <xf numFmtId="0" fontId="4" fillId="4" borderId="2" xfId="0" applyFont="1" applyAlignment="1">
      <alignment horizontal="left" vertical="top" wrapText="1"/>
    </xf>
    <xf numFmtId="0" fontId="0" fillId="4" borderId="2" xfId="0" applyFont="1" applyAlignment="1">
      <alignment horizontal="left" vertical="top" wrapText="1"/>
    </xf>
    <xf numFmtId="0" fontId="4" fillId="4" borderId="2" xfId="0" applyFont="1" applyAlignment="1">
      <alignment horizontal="justify" vertical="top" wrapText="1"/>
    </xf>
    <xf numFmtId="200" fontId="4" fillId="4" borderId="2" xfId="0" applyFont="1" applyAlignment="1">
      <alignment horizontal="right" vertical="top" wrapText="1"/>
    </xf>
    <xf numFmtId="0" fontId="4" fillId="6" borderId="0" xfId="0" applyFont="1" applyAlignment="1">
      <alignment horizontal="left" vertical="top" wrapText="1"/>
    </xf>
    <xf numFmtId="0" fontId="0" fillId="6" borderId="0" xfId="0" applyFont="1" applyAlignment="1">
      <alignment horizontal="left" vertical="top" wrapText="1"/>
    </xf>
    <xf numFmtId="0" fontId="4" fillId="6" borderId="0" xfId="0" applyFont="1" applyAlignment="1">
      <alignment horizontal="justify" vertical="top" wrapText="1"/>
    </xf>
    <xf numFmtId="200" fontId="4" fillId="6" borderId="0" xfId="0" applyFont="1" applyAlignment="1">
      <alignment horizontal="right" vertical="top" wrapText="1"/>
    </xf>
    <xf numFmtId="0" fontId="4" fillId="6" borderId="1" xfId="0" applyFont="1" applyAlignment="1">
      <alignment horizontal="left" vertical="top" wrapText="1"/>
    </xf>
    <xf numFmtId="0" fontId="0" fillId="6" borderId="1" xfId="0" applyFont="1" applyAlignment="1">
      <alignment horizontal="left" vertical="top" wrapText="1"/>
    </xf>
    <xf numFmtId="200" fontId="4" fillId="6" borderId="1" xfId="0" applyFont="1" applyAlignment="1">
      <alignment horizontal="right" vertical="top" wrapText="1"/>
    </xf>
    <xf numFmtId="0" fontId="4" fillId="6" borderId="2" xfId="0" applyFont="1" applyAlignment="1">
      <alignment horizontal="left" vertical="top" wrapText="1"/>
    </xf>
    <xf numFmtId="0" fontId="0" fillId="6" borderId="2" xfId="0" applyFont="1" applyAlignment="1">
      <alignment horizontal="left" vertical="top" wrapText="1"/>
    </xf>
    <xf numFmtId="0" fontId="4" fillId="6" borderId="2" xfId="0" applyFont="1" applyAlignment="1">
      <alignment horizontal="justify" vertical="top" wrapText="1"/>
    </xf>
    <xf numFmtId="200" fontId="4" fillId="6" borderId="2" xfId="0" applyFont="1" applyAlignment="1">
      <alignment horizontal="right" vertical="top" wrapText="1"/>
    </xf>
    <xf numFmtId="0" fontId="4" fillId="5" borderId="5" xfId="0" applyFont="1" applyAlignment="1">
      <alignment horizontal="left" vertical="top" wrapText="1"/>
    </xf>
    <xf numFmtId="0" fontId="0" fillId="5" borderId="5" xfId="0" applyFont="1" applyAlignment="1">
      <alignment horizontal="left" vertical="top" wrapText="1"/>
    </xf>
    <xf numFmtId="200" fontId="4" fillId="5" borderId="5" xfId="0" applyFont="1" applyAlignment="1">
      <alignment horizontal="right" vertical="top" wrapText="1"/>
    </xf>
    <xf numFmtId="0" fontId="4" fillId="4" borderId="1" xfId="0" applyFont="1" applyAlignment="1">
      <alignment horizontal="left" vertical="top" wrapText="1"/>
    </xf>
    <xf numFmtId="0" fontId="0" fillId="4" borderId="1" xfId="0" applyFont="1" applyAlignment="1">
      <alignment horizontal="left" vertical="top" wrapText="1"/>
    </xf>
    <xf numFmtId="200" fontId="4" fillId="4" borderId="1" xfId="0" applyFont="1" applyAlignment="1">
      <alignment horizontal="right" vertical="top" wrapText="1"/>
    </xf>
    <xf numFmtId="0" fontId="4" fillId="3" borderId="5" xfId="0" applyFont="1" applyAlignment="1">
      <alignment horizontal="left" vertical="top" wrapText="1"/>
    </xf>
    <xf numFmtId="0" fontId="0" fillId="3" borderId="5" xfId="0" applyFont="1" applyAlignment="1">
      <alignment horizontal="left" vertical="top" wrapText="1"/>
    </xf>
    <xf numFmtId="200" fontId="4" fillId="3" borderId="5" xfId="0" applyFont="1" applyAlignment="1">
      <alignment horizontal="righ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
    <Relationship Id="rId3" Type="http://schemas.openxmlformats.org/officeDocument/2006/relationships/styles" Target="styles.xml"/>
    <Relationship Id="rId1" Type="http://schemas.openxmlformats.org/officeDocument/2006/relationships/worksheet" Target="worksheets/sheet1.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dimension ref="A1:E200"/>
  <sheetViews>
    <sheetView tabSelected="1" view="pageLayout" workbookViewId="0">
      <selection activeCell="A1" sqref="A1"/>
    </sheetView>
  </sheetViews>
  <sheetFormatPr baseColWidth="10" defaultRowHeight="15"/>
  <cols>
    <col min="1" max="1" width="7.43" customWidth="1"/>
    <col min="2" max="2" width="6.57" customWidth="1"/>
    <col min="3" max="3" width="3.14" customWidth="1"/>
    <col min="4" max="4" width="17.74" customWidth="1"/>
    <col min="5" max="5" width="10.33" customWidth="1"/>
    <col min="6" max="6" width="5.61" customWidth="1"/>
    <col min="7" max="7" width="5.59" customWidth="1"/>
    <col min="8" max="8" width="5.72" customWidth="1"/>
    <col min="9" max="9" width="4.92" customWidth="1"/>
    <col min="10" max="10" width="6.20" customWidth="1"/>
    <col min="11" max="11" width="8.16" customWidth="1"/>
    <col min="12" max="12" width="8.08" customWidth="1"/>
    <col min="13" max="13" width="8.16" customWidth="1"/>
  </cols>
  <sheetData>
    <row r="1" spans="1:13" ht="17.76" thickBot="1" customHeight="1">
      <c r="A1" s="2" t="s">
        <v>0</v>
      </c>
      <c r="B1" s="4" t="s">
        <v>1</v>
      </c>
      <c r="C1" s="4"/>
      <c r="D1" s="4"/>
      <c r="E1" s="4"/>
      <c r="F1" s="4"/>
      <c r="G1" s="4"/>
      <c r="H1" s="4"/>
      <c r="I1" s="4"/>
      <c r="J1" s="4"/>
      <c r="K1" s="4"/>
      <c r="L1" s="4"/>
      <c r="M1" s="4"/>
    </row>
    <row r="2" spans="1:13" ht="17.76" thickBot="1" customHeight="1">
      <c r="A2" s="4" t="s">
        <v>2</v>
      </c>
      <c r="B2" s="4"/>
      <c r="C2" s="4"/>
      <c r="D2" s="5"/>
      <c r="E2" s="5"/>
      <c r="F2" s="5"/>
      <c r="G2" s="5"/>
      <c r="H2" s="5"/>
      <c r="I2" s="5"/>
      <c r="J2" s="5"/>
      <c r="K2" s="5"/>
      <c r="L2" s="7" t="s">
        <v>3</v>
      </c>
      <c r="M2" s="9">
        <v>0</v>
      </c>
    </row>
    <row r="3" spans="1:13" ht="16.68" thickBot="1" customHeight="1">
      <c r="A3" s="11" t="s">
        <v>4</v>
      </c>
      <c r="B3" s="11" t="s">
        <v>5</v>
      </c>
      <c r="C3" s="11" t="s">
        <v>6</v>
      </c>
      <c r="D3" s="11" t="s">
        <v>7</v>
      </c>
      <c r="E3" s="12"/>
      <c r="F3" s="12"/>
      <c r="G3" s="12"/>
      <c r="H3" s="12"/>
      <c r="I3" s="12"/>
      <c r="J3" s="12"/>
      <c r="K3" s="14" t="s">
        <v>8</v>
      </c>
      <c r="L3" s="14" t="s">
        <v>9</v>
      </c>
      <c r="M3" s="14" t="s">
        <v>10</v>
      </c>
    </row>
    <row r="4" spans="1:13" ht="34.68" thickBot="1" customHeight="1">
      <c r="A4" s="16" t="s">
        <v>11</v>
      </c>
      <c r="B4" s="16" t="s">
        <v>12</v>
      </c>
      <c r="C4" s="17"/>
      <c r="D4" s="19" t="s">
        <v>13</v>
      </c>
      <c r="E4" s="19"/>
      <c r="F4" s="19"/>
      <c r="G4" s="19"/>
      <c r="H4" s="19"/>
      <c r="I4" s="19"/>
      <c r="J4" s="19"/>
      <c r="K4" s="17"/>
      <c r="L4" s="21">
        <f ca="1">L772</f>
        <v>0</v>
      </c>
      <c r="M4" s="21">
        <f ca="1">ROUND(L4,2)</f>
        <v>0</v>
      </c>
    </row>
    <row r="5" spans="1:13" ht="15.48" thickBot="1" customHeight="1">
      <c r="A5" s="22" t="s">
        <v>14</v>
      </c>
      <c r="B5" s="22" t="s">
        <v>15</v>
      </c>
      <c r="C5" s="23"/>
      <c r="D5" s="24" t="s">
        <v>16</v>
      </c>
      <c r="E5" s="24"/>
      <c r="F5" s="24"/>
      <c r="G5" s="24"/>
      <c r="H5" s="24"/>
      <c r="I5" s="24"/>
      <c r="J5" s="24"/>
      <c r="K5" s="23"/>
      <c r="L5" s="25">
        <f ca="1">L330</f>
        <v>0</v>
      </c>
      <c r="M5" s="25">
        <f ca="1">ROUND(L5,2)</f>
        <v>0</v>
      </c>
    </row>
    <row r="6" spans="1:13" ht="15.48" thickBot="1" customHeight="1">
      <c r="A6" s="26" t="s">
        <v>17</v>
      </c>
      <c r="B6" s="26" t="s">
        <v>18</v>
      </c>
      <c r="C6" s="27"/>
      <c r="D6" s="28" t="s">
        <v>19</v>
      </c>
      <c r="E6" s="28"/>
      <c r="F6" s="28"/>
      <c r="G6" s="28"/>
      <c r="H6" s="28"/>
      <c r="I6" s="28"/>
      <c r="J6" s="28"/>
      <c r="K6" s="27"/>
      <c r="L6" s="29">
        <f ca="1">L32</f>
        <v>0</v>
      </c>
      <c r="M6" s="29">
        <f ca="1">ROUND(L6,2)</f>
        <v>0</v>
      </c>
    </row>
    <row r="7" spans="1:13" ht="15.48" thickBot="1" customHeight="1">
      <c r="A7" s="15" t="s">
        <v>20</v>
      </c>
      <c r="B7" s="8" t="s">
        <v>21</v>
      </c>
      <c r="C7" s="8" t="s">
        <v>22</v>
      </c>
      <c r="D7" s="30" t="s">
        <v>23</v>
      </c>
      <c r="E7" s="30"/>
      <c r="F7" s="30"/>
      <c r="G7" s="30"/>
      <c r="H7" s="30"/>
      <c r="I7" s="30"/>
      <c r="J7" s="30"/>
      <c r="K7" s="31">
        <f ca="1">SUM(K10:K10)</f>
        <v>0</v>
      </c>
      <c r="L7" s="32">
        <f ca="1">ROUND(20.410*(1+M2/100),2)</f>
        <v>0</v>
      </c>
      <c r="M7" s="32">
        <f ca="1">ROUND(K7*L7,2)</f>
        <v>0</v>
      </c>
    </row>
    <row r="8" spans="1:13" ht="58.32" thickBot="1" customHeight="1">
      <c r="A8" s="33"/>
      <c r="B8" s="33"/>
      <c r="C8" s="33"/>
      <c r="D8" s="30" t="s">
        <v>24</v>
      </c>
      <c r="E8" s="30"/>
      <c r="F8" s="30"/>
      <c r="G8" s="30"/>
      <c r="H8" s="30"/>
      <c r="I8" s="30"/>
      <c r="J8" s="30"/>
      <c r="K8" s="30"/>
      <c r="L8" s="30"/>
      <c r="M8" s="30"/>
    </row>
    <row r="9" spans="1:13" ht="15.12" thickBot="1" customHeight="1">
      <c r="A9" s="33"/>
      <c r="B9" s="33"/>
      <c r="C9" s="33"/>
      <c r="D9" s="33"/>
      <c r="E9" s="34"/>
      <c r="F9" s="36" t="s">
        <v>25</v>
      </c>
      <c r="G9" s="36" t="s">
        <v>26</v>
      </c>
      <c r="H9" s="36" t="s">
        <v>27</v>
      </c>
      <c r="I9" s="36" t="s">
        <v>28</v>
      </c>
      <c r="J9" s="36" t="s">
        <v>29</v>
      </c>
      <c r="K9" s="36" t="s">
        <v>30</v>
      </c>
      <c r="L9" s="33"/>
      <c r="M9" s="33"/>
    </row>
    <row r="10" spans="1:13" ht="15.12" thickBot="1" customHeight="1">
      <c r="A10" s="33"/>
      <c r="B10" s="33"/>
      <c r="C10" s="33"/>
      <c r="D10" s="37"/>
      <c r="E10" s="38" t="s">
        <v>31</v>
      </c>
      <c r="F10" s="39">
        <v>1</v>
      </c>
      <c r="G10" s="40">
        <v>62.000</v>
      </c>
      <c r="H10" s="40"/>
      <c r="I10" s="40"/>
      <c r="J10" s="42">
        <f ca="1">ROUND(F10*G10,3)</f>
        <v>0</v>
      </c>
      <c r="K10" s="44">
        <f ca="1">SUM(J10:J10)</f>
        <v>0</v>
      </c>
      <c r="L10" s="33"/>
      <c r="M10" s="33"/>
    </row>
    <row r="11" spans="1:13" ht="15.48" thickBot="1" customHeight="1">
      <c r="A11" s="15" t="s">
        <v>32</v>
      </c>
      <c r="B11" s="8" t="s">
        <v>33</v>
      </c>
      <c r="C11" s="8" t="s">
        <v>34</v>
      </c>
      <c r="D11" s="30" t="s">
        <v>35</v>
      </c>
      <c r="E11" s="30"/>
      <c r="F11" s="30"/>
      <c r="G11" s="30"/>
      <c r="H11" s="30"/>
      <c r="I11" s="30"/>
      <c r="J11" s="30"/>
      <c r="K11" s="31">
        <f ca="1">ROUND(1.00,2)</f>
        <v>0</v>
      </c>
      <c r="L11" s="32">
        <f ca="1">ROUND(300.790*(1+M2/100),2)</f>
        <v>0</v>
      </c>
      <c r="M11" s="32">
        <f ca="1">ROUND(K11*L11,2)</f>
        <v>0</v>
      </c>
    </row>
    <row r="12" spans="1:13" ht="21.36" thickBot="1" customHeight="1">
      <c r="A12" s="33"/>
      <c r="B12" s="33"/>
      <c r="C12" s="33"/>
      <c r="D12" s="30" t="s">
        <v>36</v>
      </c>
      <c r="E12" s="30"/>
      <c r="F12" s="30"/>
      <c r="G12" s="30"/>
      <c r="H12" s="30"/>
      <c r="I12" s="30"/>
      <c r="J12" s="30"/>
      <c r="K12" s="30"/>
      <c r="L12" s="30"/>
      <c r="M12" s="30"/>
    </row>
    <row r="13" spans="1:13" ht="15.48" thickBot="1" customHeight="1">
      <c r="A13" s="15" t="s">
        <v>37</v>
      </c>
      <c r="B13" s="8" t="s">
        <v>38</v>
      </c>
      <c r="C13" s="8" t="s">
        <v>39</v>
      </c>
      <c r="D13" s="30" t="s">
        <v>40</v>
      </c>
      <c r="E13" s="30"/>
      <c r="F13" s="30"/>
      <c r="G13" s="30"/>
      <c r="H13" s="30"/>
      <c r="I13" s="30"/>
      <c r="J13" s="30"/>
      <c r="K13" s="31">
        <f ca="1">ROUND(1.00,2)</f>
        <v>0</v>
      </c>
      <c r="L13" s="32">
        <f ca="1">ROUND(99.360*(1+M2/100),2)</f>
        <v>0</v>
      </c>
      <c r="M13" s="32">
        <f ca="1">ROUND(K13*L13,2)</f>
        <v>0</v>
      </c>
    </row>
    <row r="14" spans="1:13" ht="30.60" thickBot="1" customHeight="1">
      <c r="A14" s="33"/>
      <c r="B14" s="33"/>
      <c r="C14" s="33"/>
      <c r="D14" s="30" t="s">
        <v>41</v>
      </c>
      <c r="E14" s="30"/>
      <c r="F14" s="30"/>
      <c r="G14" s="30"/>
      <c r="H14" s="30"/>
      <c r="I14" s="30"/>
      <c r="J14" s="30"/>
      <c r="K14" s="30"/>
      <c r="L14" s="30"/>
      <c r="M14" s="30"/>
    </row>
    <row r="15" spans="1:13" ht="15.48" thickBot="1" customHeight="1">
      <c r="A15" s="15" t="s">
        <v>42</v>
      </c>
      <c r="B15" s="8" t="s">
        <v>43</v>
      </c>
      <c r="C15" s="8" t="s">
        <v>44</v>
      </c>
      <c r="D15" s="30" t="s">
        <v>45</v>
      </c>
      <c r="E15" s="30"/>
      <c r="F15" s="30"/>
      <c r="G15" s="30"/>
      <c r="H15" s="30"/>
      <c r="I15" s="30"/>
      <c r="J15" s="30"/>
      <c r="K15" s="31">
        <f ca="1">SUM(K18:K19)</f>
        <v>0</v>
      </c>
      <c r="L15" s="32">
        <f ca="1">ROUND(5.880*(1+M2/100),2)</f>
        <v>0</v>
      </c>
      <c r="M15" s="32">
        <f ca="1">ROUND(K15*L15,2)</f>
        <v>0</v>
      </c>
    </row>
    <row r="16" spans="1:13" ht="58.32" thickBot="1" customHeight="1">
      <c r="A16" s="33"/>
      <c r="B16" s="33"/>
      <c r="C16" s="33"/>
      <c r="D16" s="30" t="s">
        <v>46</v>
      </c>
      <c r="E16" s="30"/>
      <c r="F16" s="30"/>
      <c r="G16" s="30"/>
      <c r="H16" s="30"/>
      <c r="I16" s="30"/>
      <c r="J16" s="30"/>
      <c r="K16" s="30"/>
      <c r="L16" s="30"/>
      <c r="M16" s="30"/>
    </row>
    <row r="17" spans="1:13" ht="15.12" thickBot="1" customHeight="1">
      <c r="A17" s="33"/>
      <c r="B17" s="33"/>
      <c r="C17" s="33"/>
      <c r="D17" s="33"/>
      <c r="E17" s="34"/>
      <c r="F17" s="36" t="s">
        <v>47</v>
      </c>
      <c r="G17" s="36" t="s">
        <v>48</v>
      </c>
      <c r="H17" s="36" t="s">
        <v>49</v>
      </c>
      <c r="I17" s="36" t="s">
        <v>50</v>
      </c>
      <c r="J17" s="36" t="s">
        <v>51</v>
      </c>
      <c r="K17" s="36" t="s">
        <v>52</v>
      </c>
      <c r="L17" s="33"/>
      <c r="M17" s="33"/>
    </row>
    <row r="18" spans="1:13" ht="15.12" thickBot="1" customHeight="1">
      <c r="A18" s="33"/>
      <c r="B18" s="33"/>
      <c r="C18" s="33"/>
      <c r="D18" s="37"/>
      <c r="E18" s="38" t="s">
        <v>53</v>
      </c>
      <c r="F18" s="39">
        <v>1</v>
      </c>
      <c r="G18" s="40">
        <v>54.000</v>
      </c>
      <c r="H18" s="40"/>
      <c r="I18" s="40">
        <v>8.000</v>
      </c>
      <c r="J18" s="42">
        <f ca="1">ROUND(F18*G18*I18,3)</f>
        <v>0</v>
      </c>
      <c r="K18" s="45"/>
      <c r="L18" s="33"/>
      <c r="M18" s="33"/>
    </row>
    <row r="19" spans="1:13" ht="21.36" thickBot="1" customHeight="1">
      <c r="A19" s="33"/>
      <c r="B19" s="33"/>
      <c r="C19" s="33"/>
      <c r="D19" s="37"/>
      <c r="E19" s="8" t="s">
        <v>54</v>
      </c>
      <c r="F19" s="6">
        <v>1</v>
      </c>
      <c r="G19" s="31">
        <v>24.000</v>
      </c>
      <c r="H19" s="31"/>
      <c r="I19" s="31">
        <v>4.000</v>
      </c>
      <c r="J19" s="41">
        <f ca="1">ROUND(F19*G19*I19,3)</f>
        <v>0</v>
      </c>
      <c r="K19" s="43">
        <f ca="1">SUM(J18:J19)</f>
        <v>0</v>
      </c>
      <c r="L19" s="33"/>
      <c r="M19" s="33"/>
    </row>
    <row r="20" spans="1:13" ht="15.48" thickBot="1" customHeight="1">
      <c r="A20" s="15" t="s">
        <v>55</v>
      </c>
      <c r="B20" s="8" t="s">
        <v>56</v>
      </c>
      <c r="C20" s="8" t="s">
        <v>57</v>
      </c>
      <c r="D20" s="30" t="s">
        <v>58</v>
      </c>
      <c r="E20" s="30"/>
      <c r="F20" s="30"/>
      <c r="G20" s="30"/>
      <c r="H20" s="30"/>
      <c r="I20" s="30"/>
      <c r="J20" s="30"/>
      <c r="K20" s="31">
        <f ca="1">SUM(K23:K24)</f>
        <v>0</v>
      </c>
      <c r="L20" s="32">
        <f ca="1">ROUND(4.800*(1+M2/100),2)</f>
        <v>0</v>
      </c>
      <c r="M20" s="32">
        <f ca="1">ROUND(K20*L20,2)</f>
        <v>0</v>
      </c>
    </row>
    <row r="21" spans="1:13" ht="39.84" thickBot="1" customHeight="1">
      <c r="A21" s="33"/>
      <c r="B21" s="33"/>
      <c r="C21" s="33"/>
      <c r="D21" s="30" t="s">
        <v>59</v>
      </c>
      <c r="E21" s="30"/>
      <c r="F21" s="30"/>
      <c r="G21" s="30"/>
      <c r="H21" s="30"/>
      <c r="I21" s="30"/>
      <c r="J21" s="30"/>
      <c r="K21" s="30"/>
      <c r="L21" s="30"/>
      <c r="M21" s="30"/>
    </row>
    <row r="22" spans="1:13" ht="15.12" thickBot="1" customHeight="1">
      <c r="A22" s="33"/>
      <c r="B22" s="33"/>
      <c r="C22" s="33"/>
      <c r="D22" s="33"/>
      <c r="E22" s="34"/>
      <c r="F22" s="36" t="s">
        <v>60</v>
      </c>
      <c r="G22" s="36" t="s">
        <v>61</v>
      </c>
      <c r="H22" s="36" t="s">
        <v>62</v>
      </c>
      <c r="I22" s="36" t="s">
        <v>63</v>
      </c>
      <c r="J22" s="36" t="s">
        <v>64</v>
      </c>
      <c r="K22" s="36" t="s">
        <v>65</v>
      </c>
      <c r="L22" s="33"/>
      <c r="M22" s="33"/>
    </row>
    <row r="23" spans="1:13" ht="15.12" thickBot="1" customHeight="1">
      <c r="A23" s="33"/>
      <c r="B23" s="33"/>
      <c r="C23" s="33"/>
      <c r="D23" s="37"/>
      <c r="E23" s="38" t="s">
        <v>66</v>
      </c>
      <c r="F23" s="39">
        <v>1</v>
      </c>
      <c r="G23" s="40">
        <v>54.000</v>
      </c>
      <c r="H23" s="40"/>
      <c r="I23" s="40">
        <v>8.000</v>
      </c>
      <c r="J23" s="42">
        <f ca="1">ROUND(F23*G23*I23,3)</f>
        <v>0</v>
      </c>
      <c r="K23" s="45"/>
      <c r="L23" s="33"/>
      <c r="M23" s="33"/>
    </row>
    <row r="24" spans="1:13" ht="21.36" thickBot="1" customHeight="1">
      <c r="A24" s="33"/>
      <c r="B24" s="33"/>
      <c r="C24" s="33"/>
      <c r="D24" s="37"/>
      <c r="E24" s="8" t="s">
        <v>67</v>
      </c>
      <c r="F24" s="6">
        <v>1</v>
      </c>
      <c r="G24" s="31">
        <v>24.000</v>
      </c>
      <c r="H24" s="31"/>
      <c r="I24" s="31">
        <v>4.000</v>
      </c>
      <c r="J24" s="41">
        <f ca="1">ROUND(F24*G24*I24,3)</f>
        <v>0</v>
      </c>
      <c r="K24" s="43">
        <f ca="1">SUM(J23:J24)</f>
        <v>0</v>
      </c>
      <c r="L24" s="33"/>
      <c r="M24" s="33"/>
    </row>
    <row r="25" spans="1:13" ht="15.48" thickBot="1" customHeight="1">
      <c r="A25" s="15" t="s">
        <v>68</v>
      </c>
      <c r="B25" s="8" t="s">
        <v>69</v>
      </c>
      <c r="C25" s="8" t="s">
        <v>70</v>
      </c>
      <c r="D25" s="30" t="s">
        <v>71</v>
      </c>
      <c r="E25" s="30"/>
      <c r="F25" s="30"/>
      <c r="G25" s="30"/>
      <c r="H25" s="30"/>
      <c r="I25" s="30"/>
      <c r="J25" s="30"/>
      <c r="K25" s="31">
        <f ca="1">SUM(K28:K29)</f>
        <v>0</v>
      </c>
      <c r="L25" s="32">
        <f ca="1">ROUND(4.270*(1+M2/100),2)</f>
        <v>0</v>
      </c>
      <c r="M25" s="32">
        <f ca="1">ROUND(K25*L25,2)</f>
        <v>0</v>
      </c>
    </row>
    <row r="26" spans="1:13" ht="58.32" thickBot="1" customHeight="1">
      <c r="A26" s="33"/>
      <c r="B26" s="33"/>
      <c r="C26" s="33"/>
      <c r="D26" s="30" t="s">
        <v>72</v>
      </c>
      <c r="E26" s="30"/>
      <c r="F26" s="30"/>
      <c r="G26" s="30"/>
      <c r="H26" s="30"/>
      <c r="I26" s="30"/>
      <c r="J26" s="30"/>
      <c r="K26" s="30"/>
      <c r="L26" s="30"/>
      <c r="M26" s="30"/>
    </row>
    <row r="27" spans="1:13" ht="15.12" thickBot="1" customHeight="1">
      <c r="A27" s="33"/>
      <c r="B27" s="33"/>
      <c r="C27" s="33"/>
      <c r="D27" s="33"/>
      <c r="E27" s="34"/>
      <c r="F27" s="36" t="s">
        <v>73</v>
      </c>
      <c r="G27" s="36" t="s">
        <v>74</v>
      </c>
      <c r="H27" s="36" t="s">
        <v>75</v>
      </c>
      <c r="I27" s="36" t="s">
        <v>76</v>
      </c>
      <c r="J27" s="36" t="s">
        <v>77</v>
      </c>
      <c r="K27" s="36" t="s">
        <v>78</v>
      </c>
      <c r="L27" s="33"/>
      <c r="M27" s="33"/>
    </row>
    <row r="28" spans="1:13" ht="15.12" thickBot="1" customHeight="1">
      <c r="A28" s="33"/>
      <c r="B28" s="33"/>
      <c r="C28" s="33"/>
      <c r="D28" s="37"/>
      <c r="E28" s="38" t="s">
        <v>79</v>
      </c>
      <c r="F28" s="39">
        <v>8</v>
      </c>
      <c r="G28" s="40">
        <v>54.000</v>
      </c>
      <c r="H28" s="40"/>
      <c r="I28" s="40">
        <v>8.000</v>
      </c>
      <c r="J28" s="42">
        <f ca="1">ROUND(F28*G28*I28,3)</f>
        <v>0</v>
      </c>
      <c r="K28" s="45"/>
      <c r="L28" s="33"/>
      <c r="M28" s="33"/>
    </row>
    <row r="29" spans="1:13" ht="21.36" thickBot="1" customHeight="1">
      <c r="A29" s="33"/>
      <c r="B29" s="33"/>
      <c r="C29" s="33"/>
      <c r="D29" s="37"/>
      <c r="E29" s="8" t="s">
        <v>80</v>
      </c>
      <c r="F29" s="6">
        <v>6</v>
      </c>
      <c r="G29" s="31">
        <v>24.000</v>
      </c>
      <c r="H29" s="31"/>
      <c r="I29" s="31">
        <v>4.000</v>
      </c>
      <c r="J29" s="41">
        <f ca="1">ROUND(F29*G29*I29,3)</f>
        <v>0</v>
      </c>
      <c r="K29" s="43">
        <f ca="1">SUM(J28:J29)</f>
        <v>0</v>
      </c>
      <c r="L29" s="33"/>
      <c r="M29" s="33"/>
    </row>
    <row r="30" spans="1:13" ht="15.48" thickBot="1" customHeight="1">
      <c r="A30" s="15" t="s">
        <v>81</v>
      </c>
      <c r="B30" s="8" t="s">
        <v>82</v>
      </c>
      <c r="C30" s="8" t="s">
        <v>83</v>
      </c>
      <c r="D30" s="30" t="s">
        <v>84</v>
      </c>
      <c r="E30" s="30"/>
      <c r="F30" s="30"/>
      <c r="G30" s="30"/>
      <c r="H30" s="30"/>
      <c r="I30" s="30"/>
      <c r="J30" s="30"/>
      <c r="K30" s="31">
        <f ca="1">ROUND(1.00,2)</f>
        <v>0</v>
      </c>
      <c r="L30" s="32">
        <f ca="1">ROUND(1714.900*(1+M2/100),2)</f>
        <v>0</v>
      </c>
      <c r="M30" s="32">
        <f ca="1">ROUND(K30*L30,2)</f>
        <v>0</v>
      </c>
    </row>
    <row r="31" spans="1:13" ht="21.36" thickBot="1" customHeight="1">
      <c r="A31" s="33"/>
      <c r="B31" s="33"/>
      <c r="C31" s="33"/>
      <c r="D31" s="30" t="s">
        <v>85</v>
      </c>
      <c r="E31" s="30"/>
      <c r="F31" s="30"/>
      <c r="G31" s="30"/>
      <c r="H31" s="30"/>
      <c r="I31" s="30"/>
      <c r="J31" s="30"/>
      <c r="K31" s="30"/>
      <c r="L31" s="30"/>
      <c r="M31" s="30"/>
    </row>
    <row r="32" spans="1:13" ht="15.48" thickBot="1" customHeight="1">
      <c r="A32" s="46"/>
      <c r="B32" s="46"/>
      <c r="C32" s="46"/>
      <c r="D32" s="47" t="s">
        <v>86</v>
      </c>
      <c r="E32" s="48"/>
      <c r="F32" s="48"/>
      <c r="G32" s="48"/>
      <c r="H32" s="48"/>
      <c r="I32" s="48"/>
      <c r="J32" s="48"/>
      <c r="K32" s="48"/>
      <c r="L32" s="49">
        <f ca="1">M7+M11+M13+M15+M20+M25+M30</f>
        <v>0</v>
      </c>
      <c r="M32" s="49">
        <f ca="1">ROUND(L32,2)</f>
        <v>0</v>
      </c>
    </row>
    <row r="33" spans="1:13" ht="15.48" thickBot="1" customHeight="1">
      <c r="A33" s="50" t="s">
        <v>87</v>
      </c>
      <c r="B33" s="50" t="s">
        <v>88</v>
      </c>
      <c r="C33" s="51"/>
      <c r="D33" s="52" t="s">
        <v>89</v>
      </c>
      <c r="E33" s="52"/>
      <c r="F33" s="52"/>
      <c r="G33" s="52"/>
      <c r="H33" s="52"/>
      <c r="I33" s="52"/>
      <c r="J33" s="52"/>
      <c r="K33" s="51"/>
      <c r="L33" s="53">
        <f ca="1">L210</f>
        <v>0</v>
      </c>
      <c r="M33" s="53">
        <f ca="1">ROUND(L33,2)</f>
        <v>0</v>
      </c>
    </row>
    <row r="34" spans="1:13" ht="15.48" thickBot="1" customHeight="1">
      <c r="A34" s="15" t="s">
        <v>90</v>
      </c>
      <c r="B34" s="8" t="s">
        <v>91</v>
      </c>
      <c r="C34" s="8" t="s">
        <v>92</v>
      </c>
      <c r="D34" s="30" t="s">
        <v>93</v>
      </c>
      <c r="E34" s="30"/>
      <c r="F34" s="30"/>
      <c r="G34" s="30"/>
      <c r="H34" s="30"/>
      <c r="I34" s="30"/>
      <c r="J34" s="30"/>
      <c r="K34" s="31">
        <f ca="1">ROUND(20.00,2)</f>
        <v>0</v>
      </c>
      <c r="L34" s="32">
        <f ca="1">ROUND(194.030*(1+M2/100),2)</f>
        <v>0</v>
      </c>
      <c r="M34" s="32">
        <f ca="1">ROUND(K34*L34,2)</f>
        <v>0</v>
      </c>
    </row>
    <row r="35" spans="1:13" ht="49.08" thickBot="1" customHeight="1">
      <c r="A35" s="33"/>
      <c r="B35" s="33"/>
      <c r="C35" s="33"/>
      <c r="D35" s="30" t="s">
        <v>94</v>
      </c>
      <c r="E35" s="30"/>
      <c r="F35" s="30"/>
      <c r="G35" s="30"/>
      <c r="H35" s="30"/>
      <c r="I35" s="30"/>
      <c r="J35" s="30"/>
      <c r="K35" s="30"/>
      <c r="L35" s="30"/>
      <c r="M35" s="30"/>
    </row>
    <row r="36" spans="1:13" ht="15.48" thickBot="1" customHeight="1">
      <c r="A36" s="15" t="s">
        <v>95</v>
      </c>
      <c r="B36" s="8" t="s">
        <v>96</v>
      </c>
      <c r="C36" s="8" t="s">
        <v>97</v>
      </c>
      <c r="D36" s="30" t="s">
        <v>98</v>
      </c>
      <c r="E36" s="30"/>
      <c r="F36" s="30"/>
      <c r="G36" s="30"/>
      <c r="H36" s="30"/>
      <c r="I36" s="30"/>
      <c r="J36" s="30"/>
      <c r="K36" s="31">
        <f ca="1">ROUND(25.00,2)</f>
        <v>0</v>
      </c>
      <c r="L36" s="32">
        <f ca="1">ROUND(53.720*(1+M2/100),2)</f>
        <v>0</v>
      </c>
      <c r="M36" s="32">
        <f ca="1">ROUND(K36*L36,2)</f>
        <v>0</v>
      </c>
    </row>
    <row r="37" spans="1:13" ht="39.84" thickBot="1" customHeight="1">
      <c r="A37" s="33"/>
      <c r="B37" s="33"/>
      <c r="C37" s="33"/>
      <c r="D37" s="30" t="s">
        <v>99</v>
      </c>
      <c r="E37" s="30"/>
      <c r="F37" s="30"/>
      <c r="G37" s="30"/>
      <c r="H37" s="30"/>
      <c r="I37" s="30"/>
      <c r="J37" s="30"/>
      <c r="K37" s="30"/>
      <c r="L37" s="30"/>
      <c r="M37" s="30"/>
    </row>
    <row r="38" spans="1:13" ht="15.48" thickBot="1" customHeight="1">
      <c r="A38" s="15" t="s">
        <v>100</v>
      </c>
      <c r="B38" s="8" t="s">
        <v>101</v>
      </c>
      <c r="C38" s="8" t="s">
        <v>102</v>
      </c>
      <c r="D38" s="30" t="s">
        <v>103</v>
      </c>
      <c r="E38" s="30"/>
      <c r="F38" s="30"/>
      <c r="G38" s="30"/>
      <c r="H38" s="30"/>
      <c r="I38" s="30"/>
      <c r="J38" s="30"/>
      <c r="K38" s="31">
        <f ca="1">SUM(K41:K60)</f>
        <v>0</v>
      </c>
      <c r="L38" s="32">
        <f ca="1">ROUND(38.020*(1+M2/100),2)</f>
        <v>0</v>
      </c>
      <c r="M38" s="32">
        <f ca="1">ROUND(K38*L38,2)</f>
        <v>0</v>
      </c>
    </row>
    <row r="39" spans="1:13" ht="49.08" thickBot="1" customHeight="1">
      <c r="A39" s="33"/>
      <c r="B39" s="33"/>
      <c r="C39" s="33"/>
      <c r="D39" s="30" t="s">
        <v>104</v>
      </c>
      <c r="E39" s="30"/>
      <c r="F39" s="30"/>
      <c r="G39" s="30"/>
      <c r="H39" s="30"/>
      <c r="I39" s="30"/>
      <c r="J39" s="30"/>
      <c r="K39" s="30"/>
      <c r="L39" s="30"/>
      <c r="M39" s="30"/>
    </row>
    <row r="40" spans="1:13" ht="15.12" thickBot="1" customHeight="1">
      <c r="A40" s="33"/>
      <c r="B40" s="33"/>
      <c r="C40" s="33"/>
      <c r="D40" s="33"/>
      <c r="E40" s="34"/>
      <c r="F40" s="36" t="s">
        <v>105</v>
      </c>
      <c r="G40" s="36" t="s">
        <v>106</v>
      </c>
      <c r="H40" s="36" t="s">
        <v>107</v>
      </c>
      <c r="I40" s="36" t="s">
        <v>108</v>
      </c>
      <c r="J40" s="36" t="s">
        <v>109</v>
      </c>
      <c r="K40" s="36" t="s">
        <v>110</v>
      </c>
      <c r="L40" s="33"/>
      <c r="M40" s="33"/>
    </row>
    <row r="41" spans="1:13" ht="15.12" thickBot="1" customHeight="1">
      <c r="A41" s="33"/>
      <c r="B41" s="33"/>
      <c r="C41" s="33"/>
      <c r="D41" s="37"/>
      <c r="E41" s="38" t="s">
        <v>111</v>
      </c>
      <c r="F41" s="39">
        <v>1</v>
      </c>
      <c r="G41" s="40"/>
      <c r="H41" s="40"/>
      <c r="I41" s="40"/>
      <c r="J41" s="42">
        <f ca="1">ROUND(F41,3)</f>
        <v>0</v>
      </c>
      <c r="K41" s="45"/>
      <c r="L41" s="33"/>
      <c r="M41" s="33"/>
    </row>
    <row r="42" spans="1:13" ht="15.12" thickBot="1" customHeight="1">
      <c r="A42" s="33"/>
      <c r="B42" s="33"/>
      <c r="C42" s="33"/>
      <c r="D42" s="37"/>
      <c r="E42" s="8" t="s">
        <v>112</v>
      </c>
      <c r="F42" s="6">
        <v>1</v>
      </c>
      <c r="G42" s="31"/>
      <c r="H42" s="31"/>
      <c r="I42" s="31"/>
      <c r="J42" s="41">
        <f ca="1">ROUND(F42,3)</f>
        <v>0</v>
      </c>
      <c r="K42" s="33"/>
      <c r="L42" s="33"/>
      <c r="M42" s="33"/>
    </row>
    <row r="43" spans="1:13" ht="15.12" thickBot="1" customHeight="1">
      <c r="A43" s="33"/>
      <c r="B43" s="33"/>
      <c r="C43" s="33"/>
      <c r="D43" s="37"/>
      <c r="E43" s="8" t="s">
        <v>113</v>
      </c>
      <c r="F43" s="6">
        <v>1</v>
      </c>
      <c r="G43" s="31"/>
      <c r="H43" s="31"/>
      <c r="I43" s="31"/>
      <c r="J43" s="41">
        <f ca="1">ROUND(F43,3)</f>
        <v>0</v>
      </c>
      <c r="K43" s="33"/>
      <c r="L43" s="33"/>
      <c r="M43" s="33"/>
    </row>
    <row r="44" spans="1:13" ht="15.12" thickBot="1" customHeight="1">
      <c r="A44" s="33"/>
      <c r="B44" s="33"/>
      <c r="C44" s="33"/>
      <c r="D44" s="37"/>
      <c r="E44" s="8" t="s">
        <v>114</v>
      </c>
      <c r="F44" s="6">
        <v>1</v>
      </c>
      <c r="G44" s="31"/>
      <c r="H44" s="31"/>
      <c r="I44" s="31"/>
      <c r="J44" s="41">
        <f ca="1">ROUND(F44,3)</f>
        <v>0</v>
      </c>
      <c r="K44" s="33"/>
      <c r="L44" s="33"/>
      <c r="M44" s="33"/>
    </row>
    <row r="45" spans="1:13" ht="15.12" thickBot="1" customHeight="1">
      <c r="A45" s="33"/>
      <c r="B45" s="33"/>
      <c r="C45" s="33"/>
      <c r="D45" s="37"/>
      <c r="E45" s="8" t="s">
        <v>115</v>
      </c>
      <c r="F45" s="6">
        <v>1</v>
      </c>
      <c r="G45" s="31"/>
      <c r="H45" s="31"/>
      <c r="I45" s="31"/>
      <c r="J45" s="41">
        <f ca="1">ROUND(F45,3)</f>
        <v>0</v>
      </c>
      <c r="K45" s="33"/>
      <c r="L45" s="33"/>
      <c r="M45" s="33"/>
    </row>
    <row r="46" spans="1:13" ht="15.12" thickBot="1" customHeight="1">
      <c r="A46" s="33"/>
      <c r="B46" s="33"/>
      <c r="C46" s="33"/>
      <c r="D46" s="37"/>
      <c r="E46" s="8" t="s">
        <v>116</v>
      </c>
      <c r="F46" s="6">
        <v>1</v>
      </c>
      <c r="G46" s="31"/>
      <c r="H46" s="31"/>
      <c r="I46" s="31"/>
      <c r="J46" s="41">
        <f ca="1">ROUND(F46,3)</f>
        <v>0</v>
      </c>
      <c r="K46" s="33"/>
      <c r="L46" s="33"/>
      <c r="M46" s="33"/>
    </row>
    <row r="47" spans="1:13" ht="15.12" thickBot="1" customHeight="1">
      <c r="A47" s="33"/>
      <c r="B47" s="33"/>
      <c r="C47" s="33"/>
      <c r="D47" s="37"/>
      <c r="E47" s="8" t="s">
        <v>117</v>
      </c>
      <c r="F47" s="6">
        <v>1</v>
      </c>
      <c r="G47" s="31"/>
      <c r="H47" s="31"/>
      <c r="I47" s="31"/>
      <c r="J47" s="41">
        <f ca="1">ROUND(F47,3)</f>
        <v>0</v>
      </c>
      <c r="K47" s="33"/>
      <c r="L47" s="33"/>
      <c r="M47" s="33"/>
    </row>
    <row r="48" spans="1:13" ht="15.12" thickBot="1" customHeight="1">
      <c r="A48" s="33"/>
      <c r="B48" s="33"/>
      <c r="C48" s="33"/>
      <c r="D48" s="37"/>
      <c r="E48" s="8" t="s">
        <v>118</v>
      </c>
      <c r="F48" s="6">
        <v>1</v>
      </c>
      <c r="G48" s="31"/>
      <c r="H48" s="31"/>
      <c r="I48" s="31"/>
      <c r="J48" s="41">
        <f ca="1">ROUND(F48,3)</f>
        <v>0</v>
      </c>
      <c r="K48" s="33"/>
      <c r="L48" s="33"/>
      <c r="M48" s="33"/>
    </row>
    <row r="49" spans="1:13" ht="15.12" thickBot="1" customHeight="1">
      <c r="A49" s="33"/>
      <c r="B49" s="33"/>
      <c r="C49" s="33"/>
      <c r="D49" s="37"/>
      <c r="E49" s="8" t="s">
        <v>119</v>
      </c>
      <c r="F49" s="6">
        <v>1</v>
      </c>
      <c r="G49" s="31"/>
      <c r="H49" s="31"/>
      <c r="I49" s="31"/>
      <c r="J49" s="41">
        <f ca="1">ROUND(F49,3)</f>
        <v>0</v>
      </c>
      <c r="K49" s="33"/>
      <c r="L49" s="33"/>
      <c r="M49" s="33"/>
    </row>
    <row r="50" spans="1:13" ht="15.12" thickBot="1" customHeight="1">
      <c r="A50" s="33"/>
      <c r="B50" s="33"/>
      <c r="C50" s="33"/>
      <c r="D50" s="37"/>
      <c r="E50" s="8" t="s">
        <v>120</v>
      </c>
      <c r="F50" s="6">
        <v>1</v>
      </c>
      <c r="G50" s="31"/>
      <c r="H50" s="31"/>
      <c r="I50" s="31"/>
      <c r="J50" s="41">
        <f ca="1">ROUND(F50,3)</f>
        <v>0</v>
      </c>
      <c r="K50" s="33"/>
      <c r="L50" s="33"/>
      <c r="M50" s="33"/>
    </row>
    <row r="51" spans="1:13" ht="15.12" thickBot="1" customHeight="1">
      <c r="A51" s="33"/>
      <c r="B51" s="33"/>
      <c r="C51" s="33"/>
      <c r="D51" s="37"/>
      <c r="E51" s="8" t="s">
        <v>121</v>
      </c>
      <c r="F51" s="6">
        <v>1</v>
      </c>
      <c r="G51" s="31"/>
      <c r="H51" s="31"/>
      <c r="I51" s="31"/>
      <c r="J51" s="41">
        <f ca="1">ROUND(F51,3)</f>
        <v>0</v>
      </c>
      <c r="K51" s="33"/>
      <c r="L51" s="33"/>
      <c r="M51" s="33"/>
    </row>
    <row r="52" spans="1:13" ht="15.12" thickBot="1" customHeight="1">
      <c r="A52" s="33"/>
      <c r="B52" s="33"/>
      <c r="C52" s="33"/>
      <c r="D52" s="37"/>
      <c r="E52" s="8" t="s">
        <v>122</v>
      </c>
      <c r="F52" s="6">
        <v>1</v>
      </c>
      <c r="G52" s="31"/>
      <c r="H52" s="31"/>
      <c r="I52" s="31"/>
      <c r="J52" s="41">
        <f ca="1">ROUND(F52,3)</f>
        <v>0</v>
      </c>
      <c r="K52" s="33"/>
      <c r="L52" s="33"/>
      <c r="M52" s="33"/>
    </row>
    <row r="53" spans="1:13" ht="15.12" thickBot="1" customHeight="1">
      <c r="A53" s="33"/>
      <c r="B53" s="33"/>
      <c r="C53" s="33"/>
      <c r="D53" s="37"/>
      <c r="E53" s="8" t="s">
        <v>123</v>
      </c>
      <c r="F53" s="6">
        <v>1</v>
      </c>
      <c r="G53" s="31"/>
      <c r="H53" s="31"/>
      <c r="I53" s="31"/>
      <c r="J53" s="41">
        <f ca="1">ROUND(F53,3)</f>
        <v>0</v>
      </c>
      <c r="K53" s="33"/>
      <c r="L53" s="33"/>
      <c r="M53" s="33"/>
    </row>
    <row r="54" spans="1:13" ht="15.12" thickBot="1" customHeight="1">
      <c r="A54" s="33"/>
      <c r="B54" s="33"/>
      <c r="C54" s="33"/>
      <c r="D54" s="37"/>
      <c r="E54" s="8" t="s">
        <v>124</v>
      </c>
      <c r="F54" s="6">
        <v>1</v>
      </c>
      <c r="G54" s="31"/>
      <c r="H54" s="31"/>
      <c r="I54" s="31"/>
      <c r="J54" s="41">
        <f ca="1">ROUND(F54,3)</f>
        <v>0</v>
      </c>
      <c r="K54" s="33"/>
      <c r="L54" s="33"/>
      <c r="M54" s="33"/>
    </row>
    <row r="55" spans="1:13" ht="15.12" thickBot="1" customHeight="1">
      <c r="A55" s="33"/>
      <c r="B55" s="33"/>
      <c r="C55" s="33"/>
      <c r="D55" s="37"/>
      <c r="E55" s="8" t="s">
        <v>125</v>
      </c>
      <c r="F55" s="6">
        <v>1</v>
      </c>
      <c r="G55" s="31"/>
      <c r="H55" s="31"/>
      <c r="I55" s="31"/>
      <c r="J55" s="41">
        <f ca="1">ROUND(F55,3)</f>
        <v>0</v>
      </c>
      <c r="K55" s="33"/>
      <c r="L55" s="33"/>
      <c r="M55" s="33"/>
    </row>
    <row r="56" spans="1:13" ht="15.12" thickBot="1" customHeight="1">
      <c r="A56" s="33"/>
      <c r="B56" s="33"/>
      <c r="C56" s="33"/>
      <c r="D56" s="37"/>
      <c r="E56" s="8" t="s">
        <v>126</v>
      </c>
      <c r="F56" s="6">
        <v>1</v>
      </c>
      <c r="G56" s="31"/>
      <c r="H56" s="31"/>
      <c r="I56" s="31"/>
      <c r="J56" s="41">
        <f ca="1">ROUND(F56,3)</f>
        <v>0</v>
      </c>
      <c r="K56" s="33"/>
      <c r="L56" s="33"/>
      <c r="M56" s="33"/>
    </row>
    <row r="57" spans="1:13" ht="15.12" thickBot="1" customHeight="1">
      <c r="A57" s="33"/>
      <c r="B57" s="33"/>
      <c r="C57" s="33"/>
      <c r="D57" s="37"/>
      <c r="E57" s="8" t="s">
        <v>127</v>
      </c>
      <c r="F57" s="6">
        <v>1</v>
      </c>
      <c r="G57" s="31"/>
      <c r="H57" s="31"/>
      <c r="I57" s="31"/>
      <c r="J57" s="41">
        <f ca="1">ROUND(F57,3)</f>
        <v>0</v>
      </c>
      <c r="K57" s="33"/>
      <c r="L57" s="33"/>
      <c r="M57" s="33"/>
    </row>
    <row r="58" spans="1:13" ht="15.12" thickBot="1" customHeight="1">
      <c r="A58" s="33"/>
      <c r="B58" s="33"/>
      <c r="C58" s="33"/>
      <c r="D58" s="37"/>
      <c r="E58" s="8" t="s">
        <v>128</v>
      </c>
      <c r="F58" s="6">
        <v>1</v>
      </c>
      <c r="G58" s="31"/>
      <c r="H58" s="31"/>
      <c r="I58" s="31"/>
      <c r="J58" s="41">
        <f ca="1">ROUND(F58,3)</f>
        <v>0</v>
      </c>
      <c r="K58" s="33"/>
      <c r="L58" s="33"/>
      <c r="M58" s="33"/>
    </row>
    <row r="59" spans="1:13" ht="15.12" thickBot="1" customHeight="1">
      <c r="A59" s="33"/>
      <c r="B59" s="33"/>
      <c r="C59" s="33"/>
      <c r="D59" s="37"/>
      <c r="E59" s="8" t="s">
        <v>129</v>
      </c>
      <c r="F59" s="6">
        <v>1</v>
      </c>
      <c r="G59" s="31"/>
      <c r="H59" s="31"/>
      <c r="I59" s="31"/>
      <c r="J59" s="41">
        <f ca="1">ROUND(F59,3)</f>
        <v>0</v>
      </c>
      <c r="K59" s="33"/>
      <c r="L59" s="33"/>
      <c r="M59" s="33"/>
    </row>
    <row r="60" spans="1:13" ht="15.12" thickBot="1" customHeight="1">
      <c r="A60" s="33"/>
      <c r="B60" s="33"/>
      <c r="C60" s="33"/>
      <c r="D60" s="37"/>
      <c r="E60" s="8" t="s">
        <v>130</v>
      </c>
      <c r="F60" s="6">
        <v>1</v>
      </c>
      <c r="G60" s="31"/>
      <c r="H60" s="31"/>
      <c r="I60" s="31"/>
      <c r="J60" s="41">
        <f ca="1">ROUND(F60,3)</f>
        <v>0</v>
      </c>
      <c r="K60" s="43">
        <f ca="1">SUM(J41:J60)</f>
        <v>0</v>
      </c>
      <c r="L60" s="33"/>
      <c r="M60" s="33"/>
    </row>
    <row r="61" spans="1:13" ht="15.48" thickBot="1" customHeight="1">
      <c r="A61" s="15" t="s">
        <v>131</v>
      </c>
      <c r="B61" s="8" t="s">
        <v>132</v>
      </c>
      <c r="C61" s="8" t="s">
        <v>133</v>
      </c>
      <c r="D61" s="30" t="s">
        <v>134</v>
      </c>
      <c r="E61" s="30"/>
      <c r="F61" s="30"/>
      <c r="G61" s="30"/>
      <c r="H61" s="30"/>
      <c r="I61" s="30"/>
      <c r="J61" s="30"/>
      <c r="K61" s="31">
        <f ca="1">SUM(K64:K64)</f>
        <v>0</v>
      </c>
      <c r="L61" s="32">
        <f ca="1">ROUND(146.020*(1+M2/100),2)</f>
        <v>0</v>
      </c>
      <c r="M61" s="32">
        <f ca="1">ROUND(K61*L61,2)</f>
        <v>0</v>
      </c>
    </row>
    <row r="62" spans="1:13" ht="49.08" thickBot="1" customHeight="1">
      <c r="A62" s="33"/>
      <c r="B62" s="33"/>
      <c r="C62" s="33"/>
      <c r="D62" s="30" t="s">
        <v>135</v>
      </c>
      <c r="E62" s="30"/>
      <c r="F62" s="30"/>
      <c r="G62" s="30"/>
      <c r="H62" s="30"/>
      <c r="I62" s="30"/>
      <c r="J62" s="30"/>
      <c r="K62" s="30"/>
      <c r="L62" s="30"/>
      <c r="M62" s="30"/>
    </row>
    <row r="63" spans="1:13" ht="15.12" thickBot="1" customHeight="1">
      <c r="A63" s="33"/>
      <c r="B63" s="33"/>
      <c r="C63" s="33"/>
      <c r="D63" s="33"/>
      <c r="E63" s="34"/>
      <c r="F63" s="36" t="s">
        <v>136</v>
      </c>
      <c r="G63" s="36" t="s">
        <v>137</v>
      </c>
      <c r="H63" s="36" t="s">
        <v>138</v>
      </c>
      <c r="I63" s="36" t="s">
        <v>139</v>
      </c>
      <c r="J63" s="36" t="s">
        <v>140</v>
      </c>
      <c r="K63" s="36" t="s">
        <v>141</v>
      </c>
      <c r="L63" s="33"/>
      <c r="M63" s="33"/>
    </row>
    <row r="64" spans="1:13" ht="21.36" thickBot="1" customHeight="1">
      <c r="A64" s="33"/>
      <c r="B64" s="33"/>
      <c r="C64" s="33"/>
      <c r="D64" s="37"/>
      <c r="E64" s="38" t="s">
        <v>142</v>
      </c>
      <c r="F64" s="39">
        <v>1</v>
      </c>
      <c r="G64" s="40">
        <v>17.000</v>
      </c>
      <c r="H64" s="40">
        <v>0.200</v>
      </c>
      <c r="I64" s="40"/>
      <c r="J64" s="42">
        <f ca="1">ROUND(F64*G64*H64,3)</f>
        <v>0</v>
      </c>
      <c r="K64" s="44">
        <f ca="1">SUM(J64:J64)</f>
        <v>0</v>
      </c>
      <c r="L64" s="33"/>
      <c r="M64" s="33"/>
    </row>
    <row r="65" spans="1:13" ht="15.48" thickBot="1" customHeight="1">
      <c r="A65" s="15" t="s">
        <v>143</v>
      </c>
      <c r="B65" s="8" t="s">
        <v>144</v>
      </c>
      <c r="C65" s="8" t="s">
        <v>145</v>
      </c>
      <c r="D65" s="30" t="s">
        <v>146</v>
      </c>
      <c r="E65" s="30"/>
      <c r="F65" s="30"/>
      <c r="G65" s="30"/>
      <c r="H65" s="30"/>
      <c r="I65" s="30"/>
      <c r="J65" s="30"/>
      <c r="K65" s="31">
        <f ca="1">ROUND(3.00,2)</f>
        <v>0</v>
      </c>
      <c r="L65" s="32">
        <f ca="1">ROUND(89.770*(1+M2/100),2)</f>
        <v>0</v>
      </c>
      <c r="M65" s="32">
        <f ca="1">ROUND(K65*L65,2)</f>
        <v>0</v>
      </c>
    </row>
    <row r="66" spans="1:13" ht="58.32" thickBot="1" customHeight="1">
      <c r="A66" s="33"/>
      <c r="B66" s="33"/>
      <c r="C66" s="33"/>
      <c r="D66" s="30" t="s">
        <v>147</v>
      </c>
      <c r="E66" s="30"/>
      <c r="F66" s="30"/>
      <c r="G66" s="30"/>
      <c r="H66" s="30"/>
      <c r="I66" s="30"/>
      <c r="J66" s="30"/>
      <c r="K66" s="30"/>
      <c r="L66" s="30"/>
      <c r="M66" s="30"/>
    </row>
    <row r="67" spans="1:13" ht="15.48" thickBot="1" customHeight="1">
      <c r="A67" s="15" t="s">
        <v>148</v>
      </c>
      <c r="B67" s="8" t="s">
        <v>149</v>
      </c>
      <c r="C67" s="8" t="s">
        <v>150</v>
      </c>
      <c r="D67" s="30" t="s">
        <v>151</v>
      </c>
      <c r="E67" s="30"/>
      <c r="F67" s="30"/>
      <c r="G67" s="30"/>
      <c r="H67" s="30"/>
      <c r="I67" s="30"/>
      <c r="J67" s="30"/>
      <c r="K67" s="31">
        <f ca="1">SUM(K70:K71)</f>
        <v>0</v>
      </c>
      <c r="L67" s="32">
        <f ca="1">ROUND(111.330*(1+M2/100),2)</f>
        <v>0</v>
      </c>
      <c r="M67" s="32">
        <f ca="1">ROUND(K67*L67,2)</f>
        <v>0</v>
      </c>
    </row>
    <row r="68" spans="1:13" ht="49.08" thickBot="1" customHeight="1">
      <c r="A68" s="33"/>
      <c r="B68" s="33"/>
      <c r="C68" s="33"/>
      <c r="D68" s="30" t="s">
        <v>152</v>
      </c>
      <c r="E68" s="30"/>
      <c r="F68" s="30"/>
      <c r="G68" s="30"/>
      <c r="H68" s="30"/>
      <c r="I68" s="30"/>
      <c r="J68" s="30"/>
      <c r="K68" s="30"/>
      <c r="L68" s="30"/>
      <c r="M68" s="30"/>
    </row>
    <row r="69" spans="1:13" ht="15.12" thickBot="1" customHeight="1">
      <c r="A69" s="33"/>
      <c r="B69" s="33"/>
      <c r="C69" s="33"/>
      <c r="D69" s="33"/>
      <c r="E69" s="34"/>
      <c r="F69" s="36" t="s">
        <v>153</v>
      </c>
      <c r="G69" s="36" t="s">
        <v>154</v>
      </c>
      <c r="H69" s="36" t="s">
        <v>155</v>
      </c>
      <c r="I69" s="36" t="s">
        <v>156</v>
      </c>
      <c r="J69" s="36" t="s">
        <v>157</v>
      </c>
      <c r="K69" s="36" t="s">
        <v>158</v>
      </c>
      <c r="L69" s="33"/>
      <c r="M69" s="33"/>
    </row>
    <row r="70" spans="1:13" ht="21.36" thickBot="1" customHeight="1">
      <c r="A70" s="33"/>
      <c r="B70" s="33"/>
      <c r="C70" s="33"/>
      <c r="D70" s="37"/>
      <c r="E70" s="38" t="s">
        <v>159</v>
      </c>
      <c r="F70" s="39">
        <v>1</v>
      </c>
      <c r="G70" s="40">
        <v>70.000</v>
      </c>
      <c r="H70" s="40">
        <v>0.300</v>
      </c>
      <c r="I70" s="40">
        <v>0.100</v>
      </c>
      <c r="J70" s="42">
        <f ca="1">ROUND(F70*G70*H70*I70,3)</f>
        <v>0</v>
      </c>
      <c r="K70" s="45"/>
      <c r="L70" s="33"/>
      <c r="M70" s="33"/>
    </row>
    <row r="71" spans="1:13" ht="21.36" thickBot="1" customHeight="1">
      <c r="A71" s="33"/>
      <c r="B71" s="33"/>
      <c r="C71" s="33"/>
      <c r="D71" s="37"/>
      <c r="E71" s="8" t="s">
        <v>160</v>
      </c>
      <c r="F71" s="6">
        <v>1</v>
      </c>
      <c r="G71" s="31">
        <v>12.000</v>
      </c>
      <c r="H71" s="31">
        <v>0.300</v>
      </c>
      <c r="I71" s="31">
        <v>0.100</v>
      </c>
      <c r="J71" s="41">
        <f ca="1">ROUND(F71*G71*H71*I71,3)</f>
        <v>0</v>
      </c>
      <c r="K71" s="43">
        <f ca="1">SUM(J70:J71)</f>
        <v>0</v>
      </c>
      <c r="L71" s="33"/>
      <c r="M71" s="33"/>
    </row>
    <row r="72" spans="1:13" ht="15.48" thickBot="1" customHeight="1">
      <c r="A72" s="15" t="s">
        <v>161</v>
      </c>
      <c r="B72" s="8" t="s">
        <v>162</v>
      </c>
      <c r="C72" s="8" t="s">
        <v>163</v>
      </c>
      <c r="D72" s="30" t="s">
        <v>164</v>
      </c>
      <c r="E72" s="30"/>
      <c r="F72" s="30"/>
      <c r="G72" s="30"/>
      <c r="H72" s="30"/>
      <c r="I72" s="30"/>
      <c r="J72" s="30"/>
      <c r="K72" s="31">
        <f ca="1">SUM(K75:K81)</f>
        <v>0</v>
      </c>
      <c r="L72" s="32">
        <f ca="1">ROUND(10.780*(1+M2/100),2)</f>
        <v>0</v>
      </c>
      <c r="M72" s="32">
        <f ca="1">ROUND(K72*L72,2)</f>
        <v>0</v>
      </c>
    </row>
    <row r="73" spans="1:13" ht="49.08" thickBot="1" customHeight="1">
      <c r="A73" s="33"/>
      <c r="B73" s="33"/>
      <c r="C73" s="33"/>
      <c r="D73" s="30" t="s">
        <v>165</v>
      </c>
      <c r="E73" s="30"/>
      <c r="F73" s="30"/>
      <c r="G73" s="30"/>
      <c r="H73" s="30"/>
      <c r="I73" s="30"/>
      <c r="J73" s="30"/>
      <c r="K73" s="30"/>
      <c r="L73" s="30"/>
      <c r="M73" s="30"/>
    </row>
    <row r="74" spans="1:13" ht="15.12" thickBot="1" customHeight="1">
      <c r="A74" s="33"/>
      <c r="B74" s="33"/>
      <c r="C74" s="33"/>
      <c r="D74" s="33"/>
      <c r="E74" s="34"/>
      <c r="F74" s="36" t="s">
        <v>166</v>
      </c>
      <c r="G74" s="36" t="s">
        <v>167</v>
      </c>
      <c r="H74" s="36" t="s">
        <v>168</v>
      </c>
      <c r="I74" s="36" t="s">
        <v>169</v>
      </c>
      <c r="J74" s="36" t="s">
        <v>170</v>
      </c>
      <c r="K74" s="36" t="s">
        <v>171</v>
      </c>
      <c r="L74" s="33"/>
      <c r="M74" s="33"/>
    </row>
    <row r="75" spans="1:13" ht="15.12" thickBot="1" customHeight="1">
      <c r="A75" s="33"/>
      <c r="B75" s="33"/>
      <c r="C75" s="33"/>
      <c r="D75" s="37"/>
      <c r="E75" s="38" t="s">
        <v>172</v>
      </c>
      <c r="F75" s="39">
        <v>1</v>
      </c>
      <c r="G75" s="40">
        <v>3.200</v>
      </c>
      <c r="H75" s="40"/>
      <c r="I75" s="40"/>
      <c r="J75" s="42">
        <f ca="1">ROUND(F75*G75,3)</f>
        <v>0</v>
      </c>
      <c r="K75" s="45"/>
      <c r="L75" s="33"/>
      <c r="M75" s="33"/>
    </row>
    <row r="76" spans="1:13" ht="15.12" thickBot="1" customHeight="1">
      <c r="A76" s="33"/>
      <c r="B76" s="33"/>
      <c r="C76" s="33"/>
      <c r="D76" s="37"/>
      <c r="E76" s="8"/>
      <c r="F76" s="6">
        <v>1</v>
      </c>
      <c r="G76" s="31">
        <v>1.600</v>
      </c>
      <c r="H76" s="31"/>
      <c r="I76" s="31"/>
      <c r="J76" s="41">
        <f ca="1">ROUND(F76*G76,3)</f>
        <v>0</v>
      </c>
      <c r="K76" s="33"/>
      <c r="L76" s="33"/>
      <c r="M76" s="33"/>
    </row>
    <row r="77" spans="1:13" ht="15.12" thickBot="1" customHeight="1">
      <c r="A77" s="33"/>
      <c r="B77" s="33"/>
      <c r="C77" s="33"/>
      <c r="D77" s="37"/>
      <c r="E77" s="8" t="s">
        <v>173</v>
      </c>
      <c r="F77" s="6">
        <v>1</v>
      </c>
      <c r="G77" s="31">
        <v>0.670</v>
      </c>
      <c r="H77" s="31"/>
      <c r="I77" s="31"/>
      <c r="J77" s="41">
        <f ca="1">ROUND(F77*G77,3)</f>
        <v>0</v>
      </c>
      <c r="K77" s="33"/>
      <c r="L77" s="33"/>
      <c r="M77" s="33"/>
    </row>
    <row r="78" spans="1:13" ht="15.12" thickBot="1" customHeight="1">
      <c r="A78" s="33"/>
      <c r="B78" s="33"/>
      <c r="C78" s="33"/>
      <c r="D78" s="37"/>
      <c r="E78" s="8"/>
      <c r="F78" s="6">
        <v>1</v>
      </c>
      <c r="G78" s="31">
        <v>0.690</v>
      </c>
      <c r="H78" s="31"/>
      <c r="I78" s="31"/>
      <c r="J78" s="41">
        <f ca="1">ROUND(F78*G78,3)</f>
        <v>0</v>
      </c>
      <c r="K78" s="33"/>
      <c r="L78" s="33"/>
      <c r="M78" s="33"/>
    </row>
    <row r="79" spans="1:13" ht="15.12" thickBot="1" customHeight="1">
      <c r="A79" s="33"/>
      <c r="B79" s="33"/>
      <c r="C79" s="33"/>
      <c r="D79" s="37"/>
      <c r="E79" s="8"/>
      <c r="F79" s="6">
        <v>1</v>
      </c>
      <c r="G79" s="31">
        <v>1.200</v>
      </c>
      <c r="H79" s="31"/>
      <c r="I79" s="31"/>
      <c r="J79" s="41">
        <f ca="1">ROUND(F79*G79,3)</f>
        <v>0</v>
      </c>
      <c r="K79" s="33"/>
      <c r="L79" s="33"/>
      <c r="M79" s="33"/>
    </row>
    <row r="80" spans="1:13" ht="15.12" thickBot="1" customHeight="1">
      <c r="A80" s="33"/>
      <c r="B80" s="33"/>
      <c r="C80" s="33"/>
      <c r="D80" s="37"/>
      <c r="E80" s="8"/>
      <c r="F80" s="6">
        <v>1</v>
      </c>
      <c r="G80" s="31">
        <v>1.200</v>
      </c>
      <c r="H80" s="31"/>
      <c r="I80" s="31"/>
      <c r="J80" s="41">
        <f ca="1">ROUND(F80*G80,3)</f>
        <v>0</v>
      </c>
      <c r="K80" s="33"/>
      <c r="L80" s="33"/>
      <c r="M80" s="33"/>
    </row>
    <row r="81" spans="1:13" ht="15.12" thickBot="1" customHeight="1">
      <c r="A81" s="33"/>
      <c r="B81" s="33"/>
      <c r="C81" s="33"/>
      <c r="D81" s="37"/>
      <c r="E81" s="8" t="s">
        <v>174</v>
      </c>
      <c r="F81" s="6">
        <v>1</v>
      </c>
      <c r="G81" s="31">
        <v>10.200</v>
      </c>
      <c r="H81" s="31"/>
      <c r="I81" s="31"/>
      <c r="J81" s="41">
        <f ca="1">ROUND(F81*G81,3)</f>
        <v>0</v>
      </c>
      <c r="K81" s="43">
        <f ca="1">SUM(J75:J81)</f>
        <v>0</v>
      </c>
      <c r="L81" s="33"/>
      <c r="M81" s="33"/>
    </row>
    <row r="82" spans="1:13" ht="15.48" thickBot="1" customHeight="1">
      <c r="A82" s="15" t="s">
        <v>175</v>
      </c>
      <c r="B82" s="8" t="s">
        <v>176</v>
      </c>
      <c r="C82" s="8" t="s">
        <v>177</v>
      </c>
      <c r="D82" s="30" t="s">
        <v>178</v>
      </c>
      <c r="E82" s="30"/>
      <c r="F82" s="30"/>
      <c r="G82" s="30"/>
      <c r="H82" s="30"/>
      <c r="I82" s="30"/>
      <c r="J82" s="30"/>
      <c r="K82" s="31">
        <f ca="1">SUM(K85:K87)</f>
        <v>0</v>
      </c>
      <c r="L82" s="32">
        <f ca="1">ROUND(11.250*(1+M2/100),2)</f>
        <v>0</v>
      </c>
      <c r="M82" s="32">
        <f ca="1">ROUND(K82*L82,2)</f>
        <v>0</v>
      </c>
    </row>
    <row r="83" spans="1:13" ht="49.08" thickBot="1" customHeight="1">
      <c r="A83" s="33"/>
      <c r="B83" s="33"/>
      <c r="C83" s="33"/>
      <c r="D83" s="30" t="s">
        <v>179</v>
      </c>
      <c r="E83" s="30"/>
      <c r="F83" s="30"/>
      <c r="G83" s="30"/>
      <c r="H83" s="30"/>
      <c r="I83" s="30"/>
      <c r="J83" s="30"/>
      <c r="K83" s="30"/>
      <c r="L83" s="30"/>
      <c r="M83" s="30"/>
    </row>
    <row r="84" spans="1:13" ht="15.12" thickBot="1" customHeight="1">
      <c r="A84" s="33"/>
      <c r="B84" s="33"/>
      <c r="C84" s="33"/>
      <c r="D84" s="33"/>
      <c r="E84" s="34"/>
      <c r="F84" s="36" t="s">
        <v>180</v>
      </c>
      <c r="G84" s="36" t="s">
        <v>181</v>
      </c>
      <c r="H84" s="36" t="s">
        <v>182</v>
      </c>
      <c r="I84" s="36" t="s">
        <v>183</v>
      </c>
      <c r="J84" s="36" t="s">
        <v>184</v>
      </c>
      <c r="K84" s="36" t="s">
        <v>185</v>
      </c>
      <c r="L84" s="33"/>
      <c r="M84" s="33"/>
    </row>
    <row r="85" spans="1:13" ht="15.12" thickBot="1" customHeight="1">
      <c r="A85" s="33"/>
      <c r="B85" s="33"/>
      <c r="C85" s="33"/>
      <c r="D85" s="37"/>
      <c r="E85" s="38" t="s">
        <v>186</v>
      </c>
      <c r="F85" s="39">
        <v>1</v>
      </c>
      <c r="G85" s="40">
        <v>3.700</v>
      </c>
      <c r="H85" s="40"/>
      <c r="I85" s="40">
        <v>3.100</v>
      </c>
      <c r="J85" s="42">
        <f ca="1">ROUND(F85*G85*I85,3)</f>
        <v>0</v>
      </c>
      <c r="K85" s="45"/>
      <c r="L85" s="33"/>
      <c r="M85" s="33"/>
    </row>
    <row r="86" spans="1:13" ht="21.36" thickBot="1" customHeight="1">
      <c r="A86" s="33"/>
      <c r="B86" s="33"/>
      <c r="C86" s="33"/>
      <c r="D86" s="37"/>
      <c r="E86" s="8" t="s">
        <v>187</v>
      </c>
      <c r="F86" s="6">
        <v>7</v>
      </c>
      <c r="G86" s="31">
        <v>1.000</v>
      </c>
      <c r="H86" s="31"/>
      <c r="I86" s="31">
        <v>1.000</v>
      </c>
      <c r="J86" s="41">
        <f ca="1">ROUND(F86*G86*I86,3)</f>
        <v>0</v>
      </c>
      <c r="K86" s="33"/>
      <c r="L86" s="33"/>
      <c r="M86" s="33"/>
    </row>
    <row r="87" spans="1:13" ht="15.12" thickBot="1" customHeight="1">
      <c r="A87" s="33"/>
      <c r="B87" s="33"/>
      <c r="C87" s="33"/>
      <c r="D87" s="37"/>
      <c r="E87" s="8" t="s">
        <v>188</v>
      </c>
      <c r="F87" s="6">
        <v>1</v>
      </c>
      <c r="G87" s="31">
        <v>1.400</v>
      </c>
      <c r="H87" s="31"/>
      <c r="I87" s="31">
        <v>2.600</v>
      </c>
      <c r="J87" s="41">
        <f ca="1">ROUND(F87*G87*I87,3)</f>
        <v>0</v>
      </c>
      <c r="K87" s="43">
        <f ca="1">SUM(J85:J87)</f>
        <v>0</v>
      </c>
      <c r="L87" s="33"/>
      <c r="M87" s="33"/>
    </row>
    <row r="88" spans="1:13" ht="15.48" thickBot="1" customHeight="1">
      <c r="A88" s="15" t="s">
        <v>189</v>
      </c>
      <c r="B88" s="8" t="s">
        <v>190</v>
      </c>
      <c r="C88" s="8" t="s">
        <v>191</v>
      </c>
      <c r="D88" s="30" t="s">
        <v>192</v>
      </c>
      <c r="E88" s="30"/>
      <c r="F88" s="30"/>
      <c r="G88" s="30"/>
      <c r="H88" s="30"/>
      <c r="I88" s="30"/>
      <c r="J88" s="30"/>
      <c r="K88" s="31">
        <f ca="1">SUM(K91:K93)</f>
        <v>0</v>
      </c>
      <c r="L88" s="32">
        <f ca="1">ROUND(13.410*(1+M2/100),2)</f>
        <v>0</v>
      </c>
      <c r="M88" s="32">
        <f ca="1">ROUND(K88*L88,2)</f>
        <v>0</v>
      </c>
    </row>
    <row r="89" spans="1:13" ht="49.08" thickBot="1" customHeight="1">
      <c r="A89" s="33"/>
      <c r="B89" s="33"/>
      <c r="C89" s="33"/>
      <c r="D89" s="30" t="s">
        <v>193</v>
      </c>
      <c r="E89" s="30"/>
      <c r="F89" s="30"/>
      <c r="G89" s="30"/>
      <c r="H89" s="30"/>
      <c r="I89" s="30"/>
      <c r="J89" s="30"/>
      <c r="K89" s="30"/>
      <c r="L89" s="30"/>
      <c r="M89" s="30"/>
    </row>
    <row r="90" spans="1:13" ht="15.12" thickBot="1" customHeight="1">
      <c r="A90" s="33"/>
      <c r="B90" s="33"/>
      <c r="C90" s="33"/>
      <c r="D90" s="33"/>
      <c r="E90" s="34"/>
      <c r="F90" s="36" t="s">
        <v>194</v>
      </c>
      <c r="G90" s="36" t="s">
        <v>195</v>
      </c>
      <c r="H90" s="36" t="s">
        <v>196</v>
      </c>
      <c r="I90" s="36" t="s">
        <v>197</v>
      </c>
      <c r="J90" s="36" t="s">
        <v>198</v>
      </c>
      <c r="K90" s="36" t="s">
        <v>199</v>
      </c>
      <c r="L90" s="33"/>
      <c r="M90" s="33"/>
    </row>
    <row r="91" spans="1:13" ht="15.12" thickBot="1" customHeight="1">
      <c r="A91" s="33"/>
      <c r="B91" s="33"/>
      <c r="C91" s="33"/>
      <c r="D91" s="37"/>
      <c r="E91" s="38" t="s">
        <v>200</v>
      </c>
      <c r="F91" s="39">
        <v>1</v>
      </c>
      <c r="G91" s="40">
        <v>11.300</v>
      </c>
      <c r="H91" s="40"/>
      <c r="I91" s="40"/>
      <c r="J91" s="42">
        <f ca="1">ROUND(F91*G91,3)</f>
        <v>0</v>
      </c>
      <c r="K91" s="45"/>
      <c r="L91" s="33"/>
      <c r="M91" s="33"/>
    </row>
    <row r="92" spans="1:13" ht="15.12" thickBot="1" customHeight="1">
      <c r="A92" s="33"/>
      <c r="B92" s="33"/>
      <c r="C92" s="33"/>
      <c r="D92" s="37"/>
      <c r="E92" s="8" t="s">
        <v>201</v>
      </c>
      <c r="F92" s="6">
        <v>1</v>
      </c>
      <c r="G92" s="31">
        <v>3.600</v>
      </c>
      <c r="H92" s="31"/>
      <c r="I92" s="31">
        <v>2.000</v>
      </c>
      <c r="J92" s="41">
        <f ca="1">ROUND(F92*G92*I92,3)</f>
        <v>0</v>
      </c>
      <c r="K92" s="33"/>
      <c r="L92" s="33"/>
      <c r="M92" s="33"/>
    </row>
    <row r="93" spans="1:13" ht="15.12" thickBot="1" customHeight="1">
      <c r="A93" s="33"/>
      <c r="B93" s="33"/>
      <c r="C93" s="33"/>
      <c r="D93" s="37"/>
      <c r="E93" s="8" t="s">
        <v>202</v>
      </c>
      <c r="F93" s="6">
        <v>1</v>
      </c>
      <c r="G93" s="31">
        <v>4.000</v>
      </c>
      <c r="H93" s="31"/>
      <c r="I93" s="31">
        <v>2.000</v>
      </c>
      <c r="J93" s="41">
        <f ca="1">ROUND(F93*G93*I93,3)</f>
        <v>0</v>
      </c>
      <c r="K93" s="43">
        <f ca="1">SUM(J91:J93)</f>
        <v>0</v>
      </c>
      <c r="L93" s="33"/>
      <c r="M93" s="33"/>
    </row>
    <row r="94" spans="1:13" ht="15.48" thickBot="1" customHeight="1">
      <c r="A94" s="15" t="s">
        <v>203</v>
      </c>
      <c r="B94" s="8" t="s">
        <v>204</v>
      </c>
      <c r="C94" s="8" t="s">
        <v>205</v>
      </c>
      <c r="D94" s="30" t="s">
        <v>206</v>
      </c>
      <c r="E94" s="30"/>
      <c r="F94" s="30"/>
      <c r="G94" s="30"/>
      <c r="H94" s="30"/>
      <c r="I94" s="30"/>
      <c r="J94" s="30"/>
      <c r="K94" s="31">
        <f ca="1">SUM(K97:K97)</f>
        <v>0</v>
      </c>
      <c r="L94" s="32">
        <f ca="1">ROUND(16.250*(1+M2/100),2)</f>
        <v>0</v>
      </c>
      <c r="M94" s="32">
        <f ca="1">ROUND(K94*L94,2)</f>
        <v>0</v>
      </c>
    </row>
    <row r="95" spans="1:13" ht="49.08" thickBot="1" customHeight="1">
      <c r="A95" s="33"/>
      <c r="B95" s="33"/>
      <c r="C95" s="33"/>
      <c r="D95" s="30" t="s">
        <v>207</v>
      </c>
      <c r="E95" s="30"/>
      <c r="F95" s="30"/>
      <c r="G95" s="30"/>
      <c r="H95" s="30"/>
      <c r="I95" s="30"/>
      <c r="J95" s="30"/>
      <c r="K95" s="30"/>
      <c r="L95" s="30"/>
      <c r="M95" s="30"/>
    </row>
    <row r="96" spans="1:13" ht="15.12" thickBot="1" customHeight="1">
      <c r="A96" s="33"/>
      <c r="B96" s="33"/>
      <c r="C96" s="33"/>
      <c r="D96" s="33"/>
      <c r="E96" s="34"/>
      <c r="F96" s="36" t="s">
        <v>208</v>
      </c>
      <c r="G96" s="36" t="s">
        <v>209</v>
      </c>
      <c r="H96" s="36" t="s">
        <v>210</v>
      </c>
      <c r="I96" s="36" t="s">
        <v>211</v>
      </c>
      <c r="J96" s="36" t="s">
        <v>212</v>
      </c>
      <c r="K96" s="36" t="s">
        <v>213</v>
      </c>
      <c r="L96" s="33"/>
      <c r="M96" s="33"/>
    </row>
    <row r="97" spans="1:13" ht="15.12" thickBot="1" customHeight="1">
      <c r="A97" s="33"/>
      <c r="B97" s="33"/>
      <c r="C97" s="33"/>
      <c r="D97" s="37"/>
      <c r="E97" s="38" t="s">
        <v>214</v>
      </c>
      <c r="F97" s="39">
        <v>0.5</v>
      </c>
      <c r="G97" s="40">
        <v>88.500</v>
      </c>
      <c r="H97" s="40"/>
      <c r="I97" s="40"/>
      <c r="J97" s="42">
        <f ca="1">ROUND(F97*G97,3)</f>
        <v>0</v>
      </c>
      <c r="K97" s="44">
        <f ca="1">SUM(J97:J97)</f>
        <v>0</v>
      </c>
      <c r="L97" s="33"/>
      <c r="M97" s="33"/>
    </row>
    <row r="98" spans="1:13" ht="15.48" thickBot="1" customHeight="1">
      <c r="A98" s="15" t="s">
        <v>215</v>
      </c>
      <c r="B98" s="8" t="s">
        <v>216</v>
      </c>
      <c r="C98" s="8" t="s">
        <v>217</v>
      </c>
      <c r="D98" s="30" t="s">
        <v>218</v>
      </c>
      <c r="E98" s="30"/>
      <c r="F98" s="30"/>
      <c r="G98" s="30"/>
      <c r="H98" s="30"/>
      <c r="I98" s="30"/>
      <c r="J98" s="30"/>
      <c r="K98" s="31">
        <f ca="1">SUM(K101:K101)</f>
        <v>0</v>
      </c>
      <c r="L98" s="32">
        <f ca="1">ROUND(9.100*(1+M2/100),2)</f>
        <v>0</v>
      </c>
      <c r="M98" s="32">
        <f ca="1">ROUND(K98*L98,2)</f>
        <v>0</v>
      </c>
    </row>
    <row r="99" spans="1:13" ht="49.08" thickBot="1" customHeight="1">
      <c r="A99" s="33"/>
      <c r="B99" s="33"/>
      <c r="C99" s="33"/>
      <c r="D99" s="30" t="s">
        <v>219</v>
      </c>
      <c r="E99" s="30"/>
      <c r="F99" s="30"/>
      <c r="G99" s="30"/>
      <c r="H99" s="30"/>
      <c r="I99" s="30"/>
      <c r="J99" s="30"/>
      <c r="K99" s="30"/>
      <c r="L99" s="30"/>
      <c r="M99" s="30"/>
    </row>
    <row r="100" spans="1:13" ht="15.12" thickBot="1" customHeight="1">
      <c r="A100" s="33"/>
      <c r="B100" s="33"/>
      <c r="C100" s="33"/>
      <c r="D100" s="33"/>
      <c r="E100" s="34"/>
      <c r="F100" s="36" t="s">
        <v>220</v>
      </c>
      <c r="G100" s="36" t="s">
        <v>221</v>
      </c>
      <c r="H100" s="36" t="s">
        <v>222</v>
      </c>
      <c r="I100" s="36" t="s">
        <v>223</v>
      </c>
      <c r="J100" s="36" t="s">
        <v>224</v>
      </c>
      <c r="K100" s="36" t="s">
        <v>225</v>
      </c>
      <c r="L100" s="33"/>
      <c r="M100" s="33"/>
    </row>
    <row r="101" spans="1:13" ht="15.12" thickBot="1" customHeight="1">
      <c r="A101" s="33"/>
      <c r="B101" s="33"/>
      <c r="C101" s="33"/>
      <c r="D101" s="37"/>
      <c r="E101" s="38" t="s">
        <v>226</v>
      </c>
      <c r="F101" s="39">
        <v>1</v>
      </c>
      <c r="G101" s="40">
        <v>88.500</v>
      </c>
      <c r="H101" s="40"/>
      <c r="I101" s="40"/>
      <c r="J101" s="42">
        <f ca="1">ROUND(F101*G101,3)</f>
        <v>0</v>
      </c>
      <c r="K101" s="44">
        <f ca="1">SUM(J101:J101)</f>
        <v>0</v>
      </c>
      <c r="L101" s="33"/>
      <c r="M101" s="33"/>
    </row>
    <row r="102" spans="1:13" ht="15.48" thickBot="1" customHeight="1">
      <c r="A102" s="15" t="s">
        <v>227</v>
      </c>
      <c r="B102" s="8" t="s">
        <v>228</v>
      </c>
      <c r="C102" s="8" t="s">
        <v>229</v>
      </c>
      <c r="D102" s="30" t="s">
        <v>230</v>
      </c>
      <c r="E102" s="30"/>
      <c r="F102" s="30"/>
      <c r="G102" s="30"/>
      <c r="H102" s="30"/>
      <c r="I102" s="30"/>
      <c r="J102" s="30"/>
      <c r="K102" s="31">
        <f ca="1">SUM(K105:K106)</f>
        <v>0</v>
      </c>
      <c r="L102" s="32">
        <f ca="1">ROUND(9.100*(1+M2/100),2)</f>
        <v>0</v>
      </c>
      <c r="M102" s="32">
        <f ca="1">ROUND(K102*L102,2)</f>
        <v>0</v>
      </c>
    </row>
    <row r="103" spans="1:13" ht="49.08" thickBot="1" customHeight="1">
      <c r="A103" s="33"/>
      <c r="B103" s="33"/>
      <c r="C103" s="33"/>
      <c r="D103" s="30" t="s">
        <v>231</v>
      </c>
      <c r="E103" s="30"/>
      <c r="F103" s="30"/>
      <c r="G103" s="30"/>
      <c r="H103" s="30"/>
      <c r="I103" s="30"/>
      <c r="J103" s="30"/>
      <c r="K103" s="30"/>
      <c r="L103" s="30"/>
      <c r="M103" s="30"/>
    </row>
    <row r="104" spans="1:13" ht="15.12" thickBot="1" customHeight="1">
      <c r="A104" s="33"/>
      <c r="B104" s="33"/>
      <c r="C104" s="33"/>
      <c r="D104" s="33"/>
      <c r="E104" s="34"/>
      <c r="F104" s="36" t="s">
        <v>232</v>
      </c>
      <c r="G104" s="36" t="s">
        <v>233</v>
      </c>
      <c r="H104" s="36" t="s">
        <v>234</v>
      </c>
      <c r="I104" s="36" t="s">
        <v>235</v>
      </c>
      <c r="J104" s="36" t="s">
        <v>236</v>
      </c>
      <c r="K104" s="36" t="s">
        <v>237</v>
      </c>
      <c r="L104" s="33"/>
      <c r="M104" s="33"/>
    </row>
    <row r="105" spans="1:13" ht="15.12" thickBot="1" customHeight="1">
      <c r="A105" s="33"/>
      <c r="B105" s="33"/>
      <c r="C105" s="33"/>
      <c r="D105" s="37"/>
      <c r="E105" s="38" t="s">
        <v>238</v>
      </c>
      <c r="F105" s="39">
        <v>1</v>
      </c>
      <c r="G105" s="40">
        <v>2.400</v>
      </c>
      <c r="H105" s="40"/>
      <c r="I105" s="40"/>
      <c r="J105" s="42">
        <f ca="1">ROUND(F105*G105,3)</f>
        <v>0</v>
      </c>
      <c r="K105" s="45"/>
      <c r="L105" s="33"/>
      <c r="M105" s="33"/>
    </row>
    <row r="106" spans="1:13" ht="15.12" thickBot="1" customHeight="1">
      <c r="A106" s="33"/>
      <c r="B106" s="33"/>
      <c r="C106" s="33"/>
      <c r="D106" s="37"/>
      <c r="E106" s="8" t="s">
        <v>239</v>
      </c>
      <c r="F106" s="6">
        <v>1</v>
      </c>
      <c r="G106" s="31">
        <v>4.000</v>
      </c>
      <c r="H106" s="31"/>
      <c r="I106" s="31"/>
      <c r="J106" s="41">
        <f ca="1">ROUND(F106*G106,3)</f>
        <v>0</v>
      </c>
      <c r="K106" s="43">
        <f ca="1">SUM(J105:J106)</f>
        <v>0</v>
      </c>
      <c r="L106" s="33"/>
      <c r="M106" s="33"/>
    </row>
    <row r="107" spans="1:13" ht="15.48" thickBot="1" customHeight="1">
      <c r="A107" s="15" t="s">
        <v>240</v>
      </c>
      <c r="B107" s="8" t="s">
        <v>241</v>
      </c>
      <c r="C107" s="8" t="s">
        <v>242</v>
      </c>
      <c r="D107" s="30" t="s">
        <v>243</v>
      </c>
      <c r="E107" s="30"/>
      <c r="F107" s="30"/>
      <c r="G107" s="30"/>
      <c r="H107" s="30"/>
      <c r="I107" s="30"/>
      <c r="J107" s="30"/>
      <c r="K107" s="31">
        <f ca="1">SUM(K110:K110)</f>
        <v>0</v>
      </c>
      <c r="L107" s="32">
        <f ca="1">ROUND(4.320*(1+M2/100),2)</f>
        <v>0</v>
      </c>
      <c r="M107" s="32">
        <f ca="1">ROUND(K107*L107,2)</f>
        <v>0</v>
      </c>
    </row>
    <row r="108" spans="1:13" ht="49.08" thickBot="1" customHeight="1">
      <c r="A108" s="33"/>
      <c r="B108" s="33"/>
      <c r="C108" s="33"/>
      <c r="D108" s="30" t="s">
        <v>244</v>
      </c>
      <c r="E108" s="30"/>
      <c r="F108" s="30"/>
      <c r="G108" s="30"/>
      <c r="H108" s="30"/>
      <c r="I108" s="30"/>
      <c r="J108" s="30"/>
      <c r="K108" s="30"/>
      <c r="L108" s="30"/>
      <c r="M108" s="30"/>
    </row>
    <row r="109" spans="1:13" ht="15.12" thickBot="1" customHeight="1">
      <c r="A109" s="33"/>
      <c r="B109" s="33"/>
      <c r="C109" s="33"/>
      <c r="D109" s="33"/>
      <c r="E109" s="34"/>
      <c r="F109" s="36" t="s">
        <v>245</v>
      </c>
      <c r="G109" s="36" t="s">
        <v>246</v>
      </c>
      <c r="H109" s="36" t="s">
        <v>247</v>
      </c>
      <c r="I109" s="36" t="s">
        <v>248</v>
      </c>
      <c r="J109" s="36" t="s">
        <v>249</v>
      </c>
      <c r="K109" s="36" t="s">
        <v>250</v>
      </c>
      <c r="L109" s="33"/>
      <c r="M109" s="33"/>
    </row>
    <row r="110" spans="1:13" ht="15.12" thickBot="1" customHeight="1">
      <c r="A110" s="33"/>
      <c r="B110" s="33"/>
      <c r="C110" s="33"/>
      <c r="D110" s="37"/>
      <c r="E110" s="38" t="s">
        <v>251</v>
      </c>
      <c r="F110" s="39">
        <v>1</v>
      </c>
      <c r="G110" s="40"/>
      <c r="H110" s="40"/>
      <c r="I110" s="40"/>
      <c r="J110" s="42">
        <f ca="1">ROUND(F110,3)</f>
        <v>0</v>
      </c>
      <c r="K110" s="44">
        <f ca="1">SUM(J110:J110)</f>
        <v>0</v>
      </c>
      <c r="L110" s="33"/>
      <c r="M110" s="33"/>
    </row>
    <row r="111" spans="1:13" ht="15.48" thickBot="1" customHeight="1">
      <c r="A111" s="15" t="s">
        <v>252</v>
      </c>
      <c r="B111" s="8" t="s">
        <v>253</v>
      </c>
      <c r="C111" s="8" t="s">
        <v>254</v>
      </c>
      <c r="D111" s="30" t="s">
        <v>255</v>
      </c>
      <c r="E111" s="30"/>
      <c r="F111" s="30"/>
      <c r="G111" s="30"/>
      <c r="H111" s="30"/>
      <c r="I111" s="30"/>
      <c r="J111" s="30"/>
      <c r="K111" s="31">
        <f ca="1">SUM(K114:K114)</f>
        <v>0</v>
      </c>
      <c r="L111" s="32">
        <f ca="1">ROUND(8.780*(1+M2/100),2)</f>
        <v>0</v>
      </c>
      <c r="M111" s="32">
        <f ca="1">ROUND(K111*L111,2)</f>
        <v>0</v>
      </c>
    </row>
    <row r="112" spans="1:13" ht="49.08" thickBot="1" customHeight="1">
      <c r="A112" s="33"/>
      <c r="B112" s="33"/>
      <c r="C112" s="33"/>
      <c r="D112" s="30" t="s">
        <v>256</v>
      </c>
      <c r="E112" s="30"/>
      <c r="F112" s="30"/>
      <c r="G112" s="30"/>
      <c r="H112" s="30"/>
      <c r="I112" s="30"/>
      <c r="J112" s="30"/>
      <c r="K112" s="30"/>
      <c r="L112" s="30"/>
      <c r="M112" s="30"/>
    </row>
    <row r="113" spans="1:13" ht="15.12" thickBot="1" customHeight="1">
      <c r="A113" s="33"/>
      <c r="B113" s="33"/>
      <c r="C113" s="33"/>
      <c r="D113" s="33"/>
      <c r="E113" s="34"/>
      <c r="F113" s="36" t="s">
        <v>257</v>
      </c>
      <c r="G113" s="36" t="s">
        <v>258</v>
      </c>
      <c r="H113" s="36" t="s">
        <v>259</v>
      </c>
      <c r="I113" s="36" t="s">
        <v>260</v>
      </c>
      <c r="J113" s="36" t="s">
        <v>261</v>
      </c>
      <c r="K113" s="36" t="s">
        <v>262</v>
      </c>
      <c r="L113" s="33"/>
      <c r="M113" s="33"/>
    </row>
    <row r="114" spans="1:13" ht="15.12" thickBot="1" customHeight="1">
      <c r="A114" s="33"/>
      <c r="B114" s="33"/>
      <c r="C114" s="33"/>
      <c r="D114" s="37"/>
      <c r="E114" s="38" t="s">
        <v>263</v>
      </c>
      <c r="F114" s="39">
        <v>1</v>
      </c>
      <c r="G114" s="40">
        <v>20.200</v>
      </c>
      <c r="H114" s="40"/>
      <c r="I114" s="40"/>
      <c r="J114" s="42">
        <f ca="1">ROUND(F114*G114,3)</f>
        <v>0</v>
      </c>
      <c r="K114" s="44">
        <f ca="1">SUM(J114:J114)</f>
        <v>0</v>
      </c>
      <c r="L114" s="33"/>
      <c r="M114" s="33"/>
    </row>
    <row r="115" spans="1:13" ht="15.48" thickBot="1" customHeight="1">
      <c r="A115" s="15" t="s">
        <v>264</v>
      </c>
      <c r="B115" s="8" t="s">
        <v>265</v>
      </c>
      <c r="C115" s="8" t="s">
        <v>266</v>
      </c>
      <c r="D115" s="30" t="s">
        <v>267</v>
      </c>
      <c r="E115" s="30"/>
      <c r="F115" s="30"/>
      <c r="G115" s="30"/>
      <c r="H115" s="30"/>
      <c r="I115" s="30"/>
      <c r="J115" s="30"/>
      <c r="K115" s="31">
        <f ca="1">SUM(K118:K118)</f>
        <v>0</v>
      </c>
      <c r="L115" s="32">
        <f ca="1">ROUND(8.180*(1+M2/100),2)</f>
        <v>0</v>
      </c>
      <c r="M115" s="32">
        <f ca="1">ROUND(K115*L115,2)</f>
        <v>0</v>
      </c>
    </row>
    <row r="116" spans="1:13" ht="49.08" thickBot="1" customHeight="1">
      <c r="A116" s="33"/>
      <c r="B116" s="33"/>
      <c r="C116" s="33"/>
      <c r="D116" s="30" t="s">
        <v>268</v>
      </c>
      <c r="E116" s="30"/>
      <c r="F116" s="30"/>
      <c r="G116" s="30"/>
      <c r="H116" s="30"/>
      <c r="I116" s="30"/>
      <c r="J116" s="30"/>
      <c r="K116" s="30"/>
      <c r="L116" s="30"/>
      <c r="M116" s="30"/>
    </row>
    <row r="117" spans="1:13" ht="15.12" thickBot="1" customHeight="1">
      <c r="A117" s="33"/>
      <c r="B117" s="33"/>
      <c r="C117" s="33"/>
      <c r="D117" s="33"/>
      <c r="E117" s="34"/>
      <c r="F117" s="36" t="s">
        <v>269</v>
      </c>
      <c r="G117" s="36" t="s">
        <v>270</v>
      </c>
      <c r="H117" s="36" t="s">
        <v>271</v>
      </c>
      <c r="I117" s="36" t="s">
        <v>272</v>
      </c>
      <c r="J117" s="36" t="s">
        <v>273</v>
      </c>
      <c r="K117" s="36" t="s">
        <v>274</v>
      </c>
      <c r="L117" s="33"/>
      <c r="M117" s="33"/>
    </row>
    <row r="118" spans="1:13" ht="15.12" thickBot="1" customHeight="1">
      <c r="A118" s="33"/>
      <c r="B118" s="33"/>
      <c r="C118" s="33"/>
      <c r="D118" s="37"/>
      <c r="E118" s="38" t="s">
        <v>275</v>
      </c>
      <c r="F118" s="39">
        <v>1</v>
      </c>
      <c r="G118" s="40">
        <v>19.700</v>
      </c>
      <c r="H118" s="40"/>
      <c r="I118" s="40"/>
      <c r="J118" s="42">
        <f ca="1">ROUND(F118*G118,3)</f>
        <v>0</v>
      </c>
      <c r="K118" s="44">
        <f ca="1">SUM(J118:J118)</f>
        <v>0</v>
      </c>
      <c r="L118" s="33"/>
      <c r="M118" s="33"/>
    </row>
    <row r="119" spans="1:13" ht="15.48" thickBot="1" customHeight="1">
      <c r="A119" s="15" t="s">
        <v>276</v>
      </c>
      <c r="B119" s="8" t="s">
        <v>277</v>
      </c>
      <c r="C119" s="8" t="s">
        <v>278</v>
      </c>
      <c r="D119" s="30" t="s">
        <v>279</v>
      </c>
      <c r="E119" s="30"/>
      <c r="F119" s="30"/>
      <c r="G119" s="30"/>
      <c r="H119" s="30"/>
      <c r="I119" s="30"/>
      <c r="J119" s="30"/>
      <c r="K119" s="31">
        <f ca="1">SUM(K122:K123)</f>
        <v>0</v>
      </c>
      <c r="L119" s="32">
        <f ca="1">ROUND(11.360*(1+M2/100),2)</f>
        <v>0</v>
      </c>
      <c r="M119" s="32">
        <f ca="1">ROUND(K119*L119,2)</f>
        <v>0</v>
      </c>
    </row>
    <row r="120" spans="1:13" ht="49.08" thickBot="1" customHeight="1">
      <c r="A120" s="33"/>
      <c r="B120" s="33"/>
      <c r="C120" s="33"/>
      <c r="D120" s="30" t="s">
        <v>280</v>
      </c>
      <c r="E120" s="30"/>
      <c r="F120" s="30"/>
      <c r="G120" s="30"/>
      <c r="H120" s="30"/>
      <c r="I120" s="30"/>
      <c r="J120" s="30"/>
      <c r="K120" s="30"/>
      <c r="L120" s="30"/>
      <c r="M120" s="30"/>
    </row>
    <row r="121" spans="1:13" ht="15.12" thickBot="1" customHeight="1">
      <c r="A121" s="33"/>
      <c r="B121" s="33"/>
      <c r="C121" s="33"/>
      <c r="D121" s="33"/>
      <c r="E121" s="34"/>
      <c r="F121" s="36" t="s">
        <v>281</v>
      </c>
      <c r="G121" s="36" t="s">
        <v>282</v>
      </c>
      <c r="H121" s="36" t="s">
        <v>283</v>
      </c>
      <c r="I121" s="36" t="s">
        <v>284</v>
      </c>
      <c r="J121" s="36" t="s">
        <v>285</v>
      </c>
      <c r="K121" s="36" t="s">
        <v>286</v>
      </c>
      <c r="L121" s="33"/>
      <c r="M121" s="33"/>
    </row>
    <row r="122" spans="1:13" ht="15.12" thickBot="1" customHeight="1">
      <c r="A122" s="33"/>
      <c r="B122" s="33"/>
      <c r="C122" s="33"/>
      <c r="D122" s="37"/>
      <c r="E122" s="38" t="s">
        <v>287</v>
      </c>
      <c r="F122" s="39"/>
      <c r="G122" s="40"/>
      <c r="H122" s="40"/>
      <c r="I122" s="40"/>
      <c r="J122" s="54" t="s">
        <v>288</v>
      </c>
      <c r="K122" s="45"/>
      <c r="L122" s="33"/>
      <c r="M122" s="33"/>
    </row>
    <row r="123" spans="1:13" ht="15.12" thickBot="1" customHeight="1">
      <c r="A123" s="33"/>
      <c r="B123" s="33"/>
      <c r="C123" s="33"/>
      <c r="D123" s="37"/>
      <c r="E123" s="8" t="s">
        <v>289</v>
      </c>
      <c r="F123" s="6">
        <v>1</v>
      </c>
      <c r="G123" s="31">
        <v>0.600</v>
      </c>
      <c r="H123" s="31"/>
      <c r="I123" s="31"/>
      <c r="J123" s="41">
        <f ca="1">ROUND(F123*G123,3)</f>
        <v>0</v>
      </c>
      <c r="K123" s="43">
        <f ca="1">SUM(J122:J123)</f>
        <v>0</v>
      </c>
      <c r="L123" s="33"/>
      <c r="M123" s="33"/>
    </row>
    <row r="124" spans="1:13" ht="15.48" thickBot="1" customHeight="1">
      <c r="A124" s="15" t="s">
        <v>290</v>
      </c>
      <c r="B124" s="8" t="s">
        <v>291</v>
      </c>
      <c r="C124" s="8" t="s">
        <v>292</v>
      </c>
      <c r="D124" s="30" t="s">
        <v>293</v>
      </c>
      <c r="E124" s="30"/>
      <c r="F124" s="30"/>
      <c r="G124" s="30"/>
      <c r="H124" s="30"/>
      <c r="I124" s="30"/>
      <c r="J124" s="30"/>
      <c r="K124" s="31">
        <f ca="1">SUM(K127:K132)</f>
        <v>0</v>
      </c>
      <c r="L124" s="32">
        <f ca="1">ROUND(28.800*(1+M2/100),2)</f>
        <v>0</v>
      </c>
      <c r="M124" s="32">
        <f ca="1">ROUND(K124*L124,2)</f>
        <v>0</v>
      </c>
    </row>
    <row r="125" spans="1:13" ht="58.32" thickBot="1" customHeight="1">
      <c r="A125" s="33"/>
      <c r="B125" s="33"/>
      <c r="C125" s="33"/>
      <c r="D125" s="30" t="s">
        <v>294</v>
      </c>
      <c r="E125" s="30"/>
      <c r="F125" s="30"/>
      <c r="G125" s="30"/>
      <c r="H125" s="30"/>
      <c r="I125" s="30"/>
      <c r="J125" s="30"/>
      <c r="K125" s="30"/>
      <c r="L125" s="30"/>
      <c r="M125" s="30"/>
    </row>
    <row r="126" spans="1:13" ht="15.12" thickBot="1" customHeight="1">
      <c r="A126" s="33"/>
      <c r="B126" s="33"/>
      <c r="C126" s="33"/>
      <c r="D126" s="33"/>
      <c r="E126" s="34"/>
      <c r="F126" s="36" t="s">
        <v>295</v>
      </c>
      <c r="G126" s="36" t="s">
        <v>296</v>
      </c>
      <c r="H126" s="36" t="s">
        <v>297</v>
      </c>
      <c r="I126" s="36" t="s">
        <v>298</v>
      </c>
      <c r="J126" s="36" t="s">
        <v>299</v>
      </c>
      <c r="K126" s="36" t="s">
        <v>300</v>
      </c>
      <c r="L126" s="33"/>
      <c r="M126" s="33"/>
    </row>
    <row r="127" spans="1:13" ht="15.12" thickBot="1" customHeight="1">
      <c r="A127" s="33"/>
      <c r="B127" s="33"/>
      <c r="C127" s="33"/>
      <c r="D127" s="37"/>
      <c r="E127" s="38" t="s">
        <v>301</v>
      </c>
      <c r="F127" s="39">
        <v>1</v>
      </c>
      <c r="G127" s="40">
        <v>17.780</v>
      </c>
      <c r="H127" s="40"/>
      <c r="I127" s="40">
        <v>2.200</v>
      </c>
      <c r="J127" s="42">
        <f ca="1">ROUND(F127*G127*I127,3)</f>
        <v>0</v>
      </c>
      <c r="K127" s="45"/>
      <c r="L127" s="33"/>
      <c r="M127" s="33"/>
    </row>
    <row r="128" spans="1:13" ht="15.12" thickBot="1" customHeight="1">
      <c r="A128" s="33"/>
      <c r="B128" s="33"/>
      <c r="C128" s="33"/>
      <c r="D128" s="37"/>
      <c r="E128" s="8" t="s">
        <v>302</v>
      </c>
      <c r="F128" s="6">
        <v>1</v>
      </c>
      <c r="G128" s="31">
        <v>6.100</v>
      </c>
      <c r="H128" s="31"/>
      <c r="I128" s="31">
        <v>5.400</v>
      </c>
      <c r="J128" s="41">
        <f ca="1">ROUND(F128*G128*I128,3)</f>
        <v>0</v>
      </c>
      <c r="K128" s="33"/>
      <c r="L128" s="33"/>
      <c r="M128" s="33"/>
    </row>
    <row r="129" spans="1:13" ht="15.12" thickBot="1" customHeight="1">
      <c r="A129" s="33"/>
      <c r="B129" s="33"/>
      <c r="C129" s="33"/>
      <c r="D129" s="37"/>
      <c r="E129" s="8" t="s">
        <v>303</v>
      </c>
      <c r="F129" s="6">
        <v>1</v>
      </c>
      <c r="G129" s="31">
        <v>9.180</v>
      </c>
      <c r="H129" s="31"/>
      <c r="I129" s="31">
        <v>2.200</v>
      </c>
      <c r="J129" s="41">
        <f ca="1">ROUND(F129*G129*I129,3)</f>
        <v>0</v>
      </c>
      <c r="K129" s="33"/>
      <c r="L129" s="33"/>
      <c r="M129" s="33"/>
    </row>
    <row r="130" spans="1:13" ht="15.12" thickBot="1" customHeight="1">
      <c r="A130" s="33"/>
      <c r="B130" s="33"/>
      <c r="C130" s="33"/>
      <c r="D130" s="37"/>
      <c r="E130" s="8" t="s">
        <v>304</v>
      </c>
      <c r="F130" s="6">
        <v>1</v>
      </c>
      <c r="G130" s="31">
        <v>5.500</v>
      </c>
      <c r="H130" s="31"/>
      <c r="I130" s="31">
        <v>5.250</v>
      </c>
      <c r="J130" s="41">
        <f ca="1">ROUND(F130*G130*I130,3)</f>
        <v>0</v>
      </c>
      <c r="K130" s="33"/>
      <c r="L130" s="33"/>
      <c r="M130" s="33"/>
    </row>
    <row r="131" spans="1:13" ht="15.12" thickBot="1" customHeight="1">
      <c r="A131" s="33"/>
      <c r="B131" s="33"/>
      <c r="C131" s="33"/>
      <c r="D131" s="37"/>
      <c r="E131" s="8" t="s">
        <v>305</v>
      </c>
      <c r="F131" s="6">
        <v>1</v>
      </c>
      <c r="G131" s="31">
        <v>7.700</v>
      </c>
      <c r="H131" s="31"/>
      <c r="I131" s="31">
        <v>3.410</v>
      </c>
      <c r="J131" s="41">
        <f ca="1">ROUND(F131*G131*I131,3)</f>
        <v>0</v>
      </c>
      <c r="K131" s="33"/>
      <c r="L131" s="33"/>
      <c r="M131" s="33"/>
    </row>
    <row r="132" spans="1:13" ht="15.12" thickBot="1" customHeight="1">
      <c r="A132" s="33"/>
      <c r="B132" s="33"/>
      <c r="C132" s="33"/>
      <c r="D132" s="37"/>
      <c r="E132" s="8" t="s">
        <v>306</v>
      </c>
      <c r="F132" s="6">
        <v>1</v>
      </c>
      <c r="G132" s="31">
        <v>26.000</v>
      </c>
      <c r="H132" s="31"/>
      <c r="I132" s="31">
        <v>1.000</v>
      </c>
      <c r="J132" s="41">
        <f ca="1">ROUND(F132*G132*I132,3)</f>
        <v>0</v>
      </c>
      <c r="K132" s="43">
        <f ca="1">SUM(J127:J132)</f>
        <v>0</v>
      </c>
      <c r="L132" s="33"/>
      <c r="M132" s="33"/>
    </row>
    <row r="133" spans="1:13" ht="15.48" thickBot="1" customHeight="1">
      <c r="A133" s="15" t="s">
        <v>307</v>
      </c>
      <c r="B133" s="8" t="s">
        <v>308</v>
      </c>
      <c r="C133" s="8" t="s">
        <v>309</v>
      </c>
      <c r="D133" s="30" t="s">
        <v>310</v>
      </c>
      <c r="E133" s="30"/>
      <c r="F133" s="30"/>
      <c r="G133" s="30"/>
      <c r="H133" s="30"/>
      <c r="I133" s="30"/>
      <c r="J133" s="30"/>
      <c r="K133" s="31">
        <f ca="1">SUM(K136:K137)</f>
        <v>0</v>
      </c>
      <c r="L133" s="32">
        <f ca="1">ROUND(13.210*(1+M2/100),2)</f>
        <v>0</v>
      </c>
      <c r="M133" s="32">
        <f ca="1">ROUND(K133*L133,2)</f>
        <v>0</v>
      </c>
    </row>
    <row r="134" spans="1:13" ht="49.08" thickBot="1" customHeight="1">
      <c r="A134" s="33"/>
      <c r="B134" s="33"/>
      <c r="C134" s="33"/>
      <c r="D134" s="30" t="s">
        <v>311</v>
      </c>
      <c r="E134" s="30"/>
      <c r="F134" s="30"/>
      <c r="G134" s="30"/>
      <c r="H134" s="30"/>
      <c r="I134" s="30"/>
      <c r="J134" s="30"/>
      <c r="K134" s="30"/>
      <c r="L134" s="30"/>
      <c r="M134" s="30"/>
    </row>
    <row r="135" spans="1:13" ht="15.12" thickBot="1" customHeight="1">
      <c r="A135" s="33"/>
      <c r="B135" s="33"/>
      <c r="C135" s="33"/>
      <c r="D135" s="33"/>
      <c r="E135" s="34"/>
      <c r="F135" s="36" t="s">
        <v>312</v>
      </c>
      <c r="G135" s="36" t="s">
        <v>313</v>
      </c>
      <c r="H135" s="36" t="s">
        <v>314</v>
      </c>
      <c r="I135" s="36" t="s">
        <v>315</v>
      </c>
      <c r="J135" s="36" t="s">
        <v>316</v>
      </c>
      <c r="K135" s="36" t="s">
        <v>317</v>
      </c>
      <c r="L135" s="33"/>
      <c r="M135" s="33"/>
    </row>
    <row r="136" spans="1:13" ht="15.12" thickBot="1" customHeight="1">
      <c r="A136" s="33"/>
      <c r="B136" s="33"/>
      <c r="C136" s="33"/>
      <c r="D136" s="37"/>
      <c r="E136" s="38" t="s">
        <v>318</v>
      </c>
      <c r="F136" s="39">
        <v>1</v>
      </c>
      <c r="G136" s="40">
        <v>8.720</v>
      </c>
      <c r="H136" s="40"/>
      <c r="I136" s="40">
        <v>2.200</v>
      </c>
      <c r="J136" s="42">
        <f ca="1">ROUND(F136*G136*I136,3)</f>
        <v>0</v>
      </c>
      <c r="K136" s="45"/>
      <c r="L136" s="33"/>
      <c r="M136" s="33"/>
    </row>
    <row r="137" spans="1:13" ht="15.12" thickBot="1" customHeight="1">
      <c r="A137" s="33"/>
      <c r="B137" s="33"/>
      <c r="C137" s="33"/>
      <c r="D137" s="37"/>
      <c r="E137" s="8" t="s">
        <v>319</v>
      </c>
      <c r="F137" s="6">
        <v>1</v>
      </c>
      <c r="G137" s="31">
        <v>5.100</v>
      </c>
      <c r="H137" s="31"/>
      <c r="I137" s="31">
        <v>1.500</v>
      </c>
      <c r="J137" s="41">
        <f ca="1">ROUND(F137*G137*I137,3)</f>
        <v>0</v>
      </c>
      <c r="K137" s="43">
        <f ca="1">SUM(J136:J137)</f>
        <v>0</v>
      </c>
      <c r="L137" s="33"/>
      <c r="M137" s="33"/>
    </row>
    <row r="138" spans="1:13" ht="15.48" thickBot="1" customHeight="1">
      <c r="A138" s="15" t="s">
        <v>320</v>
      </c>
      <c r="B138" s="8" t="s">
        <v>321</v>
      </c>
      <c r="C138" s="8" t="s">
        <v>322</v>
      </c>
      <c r="D138" s="30" t="s">
        <v>323</v>
      </c>
      <c r="E138" s="30"/>
      <c r="F138" s="30"/>
      <c r="G138" s="30"/>
      <c r="H138" s="30"/>
      <c r="I138" s="30"/>
      <c r="J138" s="30"/>
      <c r="K138" s="31">
        <f ca="1">SUM(K141:K146)</f>
        <v>0</v>
      </c>
      <c r="L138" s="32">
        <f ca="1">ROUND(2.170*(1+M2/100),2)</f>
        <v>0</v>
      </c>
      <c r="M138" s="32">
        <f ca="1">ROUND(K138*L138,2)</f>
        <v>0</v>
      </c>
    </row>
    <row r="139" spans="1:13" ht="58.32" thickBot="1" customHeight="1">
      <c r="A139" s="33"/>
      <c r="B139" s="33"/>
      <c r="C139" s="33"/>
      <c r="D139" s="30" t="s">
        <v>324</v>
      </c>
      <c r="E139" s="30"/>
      <c r="F139" s="30"/>
      <c r="G139" s="30"/>
      <c r="H139" s="30"/>
      <c r="I139" s="30"/>
      <c r="J139" s="30"/>
      <c r="K139" s="30"/>
      <c r="L139" s="30"/>
      <c r="M139" s="30"/>
    </row>
    <row r="140" spans="1:13" ht="15.12" thickBot="1" customHeight="1">
      <c r="A140" s="33"/>
      <c r="B140" s="33"/>
      <c r="C140" s="33"/>
      <c r="D140" s="33"/>
      <c r="E140" s="34"/>
      <c r="F140" s="36" t="s">
        <v>325</v>
      </c>
      <c r="G140" s="36" t="s">
        <v>326</v>
      </c>
      <c r="H140" s="36" t="s">
        <v>327</v>
      </c>
      <c r="I140" s="36" t="s">
        <v>328</v>
      </c>
      <c r="J140" s="36" t="s">
        <v>329</v>
      </c>
      <c r="K140" s="36" t="s">
        <v>330</v>
      </c>
      <c r="L140" s="33"/>
      <c r="M140" s="33"/>
    </row>
    <row r="141" spans="1:13" ht="15.12" thickBot="1" customHeight="1">
      <c r="A141" s="33"/>
      <c r="B141" s="33"/>
      <c r="C141" s="33"/>
      <c r="D141" s="37"/>
      <c r="E141" s="38" t="s">
        <v>331</v>
      </c>
      <c r="F141" s="39">
        <v>1</v>
      </c>
      <c r="G141" s="40">
        <v>17.800</v>
      </c>
      <c r="H141" s="40"/>
      <c r="I141" s="40"/>
      <c r="J141" s="42">
        <f ca="1">ROUND(F141*G141,3)</f>
        <v>0</v>
      </c>
      <c r="K141" s="45"/>
      <c r="L141" s="33"/>
      <c r="M141" s="33"/>
    </row>
    <row r="142" spans="1:13" ht="15.12" thickBot="1" customHeight="1">
      <c r="A142" s="33"/>
      <c r="B142" s="33"/>
      <c r="C142" s="33"/>
      <c r="D142" s="37"/>
      <c r="E142" s="8" t="s">
        <v>332</v>
      </c>
      <c r="F142" s="6">
        <v>1</v>
      </c>
      <c r="G142" s="31">
        <v>9.100</v>
      </c>
      <c r="H142" s="31"/>
      <c r="I142" s="31"/>
      <c r="J142" s="41">
        <f ca="1">ROUND(F142*G142,3)</f>
        <v>0</v>
      </c>
      <c r="K142" s="33"/>
      <c r="L142" s="33"/>
      <c r="M142" s="33"/>
    </row>
    <row r="143" spans="1:13" ht="15.12" thickBot="1" customHeight="1">
      <c r="A143" s="33"/>
      <c r="B143" s="33"/>
      <c r="C143" s="33"/>
      <c r="D143" s="37"/>
      <c r="E143" s="8" t="s">
        <v>333</v>
      </c>
      <c r="F143" s="6">
        <v>1</v>
      </c>
      <c r="G143" s="31">
        <v>26.000</v>
      </c>
      <c r="H143" s="31"/>
      <c r="I143" s="31"/>
      <c r="J143" s="41">
        <f ca="1">ROUND(F143*G143,3)</f>
        <v>0</v>
      </c>
      <c r="K143" s="33"/>
      <c r="L143" s="33"/>
      <c r="M143" s="33"/>
    </row>
    <row r="144" spans="1:13" ht="15.12" thickBot="1" customHeight="1">
      <c r="A144" s="33"/>
      <c r="B144" s="33"/>
      <c r="C144" s="33"/>
      <c r="D144" s="37"/>
      <c r="E144" s="8" t="s">
        <v>334</v>
      </c>
      <c r="F144" s="6">
        <v>1</v>
      </c>
      <c r="G144" s="31">
        <v>19.500</v>
      </c>
      <c r="H144" s="31"/>
      <c r="I144" s="31"/>
      <c r="J144" s="41">
        <f ca="1">ROUND(F144*G144,3)</f>
        <v>0</v>
      </c>
      <c r="K144" s="33"/>
      <c r="L144" s="33"/>
      <c r="M144" s="33"/>
    </row>
    <row r="145" spans="1:13" ht="15.12" thickBot="1" customHeight="1">
      <c r="A145" s="33"/>
      <c r="B145" s="33"/>
      <c r="C145" s="33"/>
      <c r="D145" s="37"/>
      <c r="E145" s="8" t="s">
        <v>335</v>
      </c>
      <c r="F145" s="6">
        <v>1</v>
      </c>
      <c r="G145" s="31">
        <v>19.800</v>
      </c>
      <c r="H145" s="31"/>
      <c r="I145" s="31"/>
      <c r="J145" s="41">
        <f ca="1">ROUND(F145*G145,3)</f>
        <v>0</v>
      </c>
      <c r="K145" s="33"/>
      <c r="L145" s="33"/>
      <c r="M145" s="33"/>
    </row>
    <row r="146" spans="1:13" ht="15.12" thickBot="1" customHeight="1">
      <c r="A146" s="33"/>
      <c r="B146" s="33"/>
      <c r="C146" s="33"/>
      <c r="D146" s="37"/>
      <c r="E146" s="8" t="s">
        <v>336</v>
      </c>
      <c r="F146" s="6">
        <v>1</v>
      </c>
      <c r="G146" s="31">
        <v>3.300</v>
      </c>
      <c r="H146" s="31"/>
      <c r="I146" s="31"/>
      <c r="J146" s="41">
        <f ca="1">ROUND(F146*G146,3)</f>
        <v>0</v>
      </c>
      <c r="K146" s="43">
        <f ca="1">SUM(J141:J146)</f>
        <v>0</v>
      </c>
      <c r="L146" s="33"/>
      <c r="M146" s="33"/>
    </row>
    <row r="147" spans="1:13" ht="15.48" thickBot="1" customHeight="1">
      <c r="A147" s="15" t="s">
        <v>337</v>
      </c>
      <c r="B147" s="8" t="s">
        <v>338</v>
      </c>
      <c r="C147" s="8" t="s">
        <v>339</v>
      </c>
      <c r="D147" s="30" t="s">
        <v>340</v>
      </c>
      <c r="E147" s="30"/>
      <c r="F147" s="30"/>
      <c r="G147" s="30"/>
      <c r="H147" s="30"/>
      <c r="I147" s="30"/>
      <c r="J147" s="30"/>
      <c r="K147" s="31">
        <f ca="1">SUM(K150:K191)</f>
        <v>0</v>
      </c>
      <c r="L147" s="32">
        <f ca="1">ROUND(14.570*(1+M2/100),2)</f>
        <v>0</v>
      </c>
      <c r="M147" s="32">
        <f ca="1">ROUND(K147*L147,2)</f>
        <v>0</v>
      </c>
    </row>
    <row r="148" spans="1:13" ht="58.32" thickBot="1" customHeight="1">
      <c r="A148" s="33"/>
      <c r="B148" s="33"/>
      <c r="C148" s="33"/>
      <c r="D148" s="30" t="s">
        <v>341</v>
      </c>
      <c r="E148" s="30"/>
      <c r="F148" s="30"/>
      <c r="G148" s="30"/>
      <c r="H148" s="30"/>
      <c r="I148" s="30"/>
      <c r="J148" s="30"/>
      <c r="K148" s="30"/>
      <c r="L148" s="30"/>
      <c r="M148" s="30"/>
    </row>
    <row r="149" spans="1:13" ht="15.12" thickBot="1" customHeight="1">
      <c r="A149" s="33"/>
      <c r="B149" s="33"/>
      <c r="C149" s="33"/>
      <c r="D149" s="33"/>
      <c r="E149" s="34"/>
      <c r="F149" s="36" t="s">
        <v>342</v>
      </c>
      <c r="G149" s="36" t="s">
        <v>343</v>
      </c>
      <c r="H149" s="36" t="s">
        <v>344</v>
      </c>
      <c r="I149" s="36" t="s">
        <v>345</v>
      </c>
      <c r="J149" s="36" t="s">
        <v>346</v>
      </c>
      <c r="K149" s="36" t="s">
        <v>347</v>
      </c>
      <c r="L149" s="33"/>
      <c r="M149" s="33"/>
    </row>
    <row r="150" spans="1:13" ht="15.12" thickBot="1" customHeight="1">
      <c r="A150" s="33"/>
      <c r="B150" s="33"/>
      <c r="C150" s="33"/>
      <c r="D150" s="37"/>
      <c r="E150" s="38" t="s">
        <v>348</v>
      </c>
      <c r="F150" s="39">
        <v>1</v>
      </c>
      <c r="G150" s="40">
        <v>40.000</v>
      </c>
      <c r="H150" s="40"/>
      <c r="I150" s="40">
        <v>0.300</v>
      </c>
      <c r="J150" s="42">
        <f ca="1">ROUND(F150*G150*I150,3)</f>
        <v>0</v>
      </c>
      <c r="K150" s="45"/>
      <c r="L150" s="33"/>
      <c r="M150" s="33"/>
    </row>
    <row r="151" spans="1:13" ht="15.12" thickBot="1" customHeight="1">
      <c r="A151" s="33"/>
      <c r="B151" s="33"/>
      <c r="C151" s="33"/>
      <c r="D151" s="37"/>
      <c r="E151" s="8" t="s">
        <v>349</v>
      </c>
      <c r="F151" s="6">
        <v>-2</v>
      </c>
      <c r="G151" s="31">
        <v>4.700</v>
      </c>
      <c r="H151" s="31"/>
      <c r="I151" s="31">
        <v>0.300</v>
      </c>
      <c r="J151" s="41">
        <f ca="1">ROUND(F151*G151*I151,3)</f>
        <v>0</v>
      </c>
      <c r="K151" s="33"/>
      <c r="L151" s="33"/>
      <c r="M151" s="33"/>
    </row>
    <row r="152" spans="1:13" ht="15.12" thickBot="1" customHeight="1">
      <c r="A152" s="33"/>
      <c r="B152" s="33"/>
      <c r="C152" s="33"/>
      <c r="D152" s="37"/>
      <c r="E152" s="8"/>
      <c r="F152" s="6">
        <v>-2</v>
      </c>
      <c r="G152" s="31">
        <v>1.800</v>
      </c>
      <c r="H152" s="31"/>
      <c r="I152" s="31">
        <v>0.300</v>
      </c>
      <c r="J152" s="41">
        <f ca="1">ROUND(F152*G152*I152,3)</f>
        <v>0</v>
      </c>
      <c r="K152" s="33"/>
      <c r="L152" s="33"/>
      <c r="M152" s="33"/>
    </row>
    <row r="153" spans="1:13" ht="15.12" thickBot="1" customHeight="1">
      <c r="A153" s="33"/>
      <c r="B153" s="33"/>
      <c r="C153" s="33"/>
      <c r="D153" s="37"/>
      <c r="E153" s="8"/>
      <c r="F153" s="6">
        <v>-2</v>
      </c>
      <c r="G153" s="31">
        <v>1.000</v>
      </c>
      <c r="H153" s="31"/>
      <c r="I153" s="31">
        <v>0.300</v>
      </c>
      <c r="J153" s="41">
        <f ca="1">ROUND(F153*G153*I153,3)</f>
        <v>0</v>
      </c>
      <c r="K153" s="33"/>
      <c r="L153" s="33"/>
      <c r="M153" s="33"/>
    </row>
    <row r="154" spans="1:13" ht="15.12" thickBot="1" customHeight="1">
      <c r="A154" s="33"/>
      <c r="B154" s="33"/>
      <c r="C154" s="33"/>
      <c r="D154" s="37"/>
      <c r="E154" s="8"/>
      <c r="F154" s="6">
        <v>-1</v>
      </c>
      <c r="G154" s="31">
        <v>1.150</v>
      </c>
      <c r="H154" s="31"/>
      <c r="I154" s="31">
        <v>0.300</v>
      </c>
      <c r="J154" s="41">
        <f ca="1">ROUND(F154*G154*I154,3)</f>
        <v>0</v>
      </c>
      <c r="K154" s="33"/>
      <c r="L154" s="33"/>
      <c r="M154" s="33"/>
    </row>
    <row r="155" spans="1:13" ht="15.12" thickBot="1" customHeight="1">
      <c r="A155" s="33"/>
      <c r="B155" s="33"/>
      <c r="C155" s="33"/>
      <c r="D155" s="37"/>
      <c r="E155" s="8" t="s">
        <v>350</v>
      </c>
      <c r="F155" s="6">
        <v>1</v>
      </c>
      <c r="G155" s="31">
        <v>36.300</v>
      </c>
      <c r="H155" s="31"/>
      <c r="I155" s="31">
        <v>0.300</v>
      </c>
      <c r="J155" s="41">
        <f ca="1">ROUND(F155*G155*I155,3)</f>
        <v>0</v>
      </c>
      <c r="K155" s="33"/>
      <c r="L155" s="33"/>
      <c r="M155" s="33"/>
    </row>
    <row r="156" spans="1:13" ht="15.12" thickBot="1" customHeight="1">
      <c r="A156" s="33"/>
      <c r="B156" s="33"/>
      <c r="C156" s="33"/>
      <c r="D156" s="37"/>
      <c r="E156" s="8" t="s">
        <v>351</v>
      </c>
      <c r="F156" s="6">
        <v>-1</v>
      </c>
      <c r="G156" s="31">
        <v>15.000</v>
      </c>
      <c r="H156" s="31"/>
      <c r="I156" s="31">
        <v>0.300</v>
      </c>
      <c r="J156" s="41">
        <f ca="1">ROUND(F156*G156*I156,3)</f>
        <v>0</v>
      </c>
      <c r="K156" s="33"/>
      <c r="L156" s="33"/>
      <c r="M156" s="33"/>
    </row>
    <row r="157" spans="1:13" ht="15.12" thickBot="1" customHeight="1">
      <c r="A157" s="33"/>
      <c r="B157" s="33"/>
      <c r="C157" s="33"/>
      <c r="D157" s="37"/>
      <c r="E157" s="8"/>
      <c r="F157" s="6">
        <v>-1</v>
      </c>
      <c r="G157" s="31">
        <v>2.000</v>
      </c>
      <c r="H157" s="31"/>
      <c r="I157" s="31">
        <v>0.300</v>
      </c>
      <c r="J157" s="41">
        <f ca="1">ROUND(F157*G157*I157,3)</f>
        <v>0</v>
      </c>
      <c r="K157" s="33"/>
      <c r="L157" s="33"/>
      <c r="M157" s="33"/>
    </row>
    <row r="158" spans="1:13" ht="15.12" thickBot="1" customHeight="1">
      <c r="A158" s="33"/>
      <c r="B158" s="33"/>
      <c r="C158" s="33"/>
      <c r="D158" s="37"/>
      <c r="E158" s="8"/>
      <c r="F158" s="6">
        <v>-2</v>
      </c>
      <c r="G158" s="31">
        <v>2.200</v>
      </c>
      <c r="H158" s="31"/>
      <c r="I158" s="31">
        <v>0.300</v>
      </c>
      <c r="J158" s="41">
        <f ca="1">ROUND(F158*G158*I158,3)</f>
        <v>0</v>
      </c>
      <c r="K158" s="33"/>
      <c r="L158" s="33"/>
      <c r="M158" s="33"/>
    </row>
    <row r="159" spans="1:13" ht="15.12" thickBot="1" customHeight="1">
      <c r="A159" s="33"/>
      <c r="B159" s="33"/>
      <c r="C159" s="33"/>
      <c r="D159" s="37"/>
      <c r="E159" s="8" t="s">
        <v>352</v>
      </c>
      <c r="F159" s="6">
        <v>1</v>
      </c>
      <c r="G159" s="31">
        <v>14.200</v>
      </c>
      <c r="H159" s="31"/>
      <c r="I159" s="31">
        <v>0.300</v>
      </c>
      <c r="J159" s="41">
        <f ca="1">ROUND(F159*G159*I159,3)</f>
        <v>0</v>
      </c>
      <c r="K159" s="33"/>
      <c r="L159" s="33"/>
      <c r="M159" s="33"/>
    </row>
    <row r="160" spans="1:13" ht="15.12" thickBot="1" customHeight="1">
      <c r="A160" s="33"/>
      <c r="B160" s="33"/>
      <c r="C160" s="33"/>
      <c r="D160" s="37"/>
      <c r="E160" s="8" t="s">
        <v>353</v>
      </c>
      <c r="F160" s="6">
        <v>-1</v>
      </c>
      <c r="G160" s="31">
        <v>1.500</v>
      </c>
      <c r="H160" s="31"/>
      <c r="I160" s="31">
        <v>0.300</v>
      </c>
      <c r="J160" s="41">
        <f ca="1">ROUND(F160*G160*I160,3)</f>
        <v>0</v>
      </c>
      <c r="K160" s="33"/>
      <c r="L160" s="33"/>
      <c r="M160" s="33"/>
    </row>
    <row r="161" spans="1:13" ht="15.12" thickBot="1" customHeight="1">
      <c r="A161" s="33"/>
      <c r="B161" s="33"/>
      <c r="C161" s="33"/>
      <c r="D161" s="37"/>
      <c r="E161" s="8"/>
      <c r="F161" s="6">
        <v>-1</v>
      </c>
      <c r="G161" s="31">
        <v>2.900</v>
      </c>
      <c r="H161" s="31"/>
      <c r="I161" s="31">
        <v>0.300</v>
      </c>
      <c r="J161" s="41">
        <f ca="1">ROUND(F161*G161*I161,3)</f>
        <v>0</v>
      </c>
      <c r="K161" s="33"/>
      <c r="L161" s="33"/>
      <c r="M161" s="33"/>
    </row>
    <row r="162" spans="1:13" ht="15.12" thickBot="1" customHeight="1">
      <c r="A162" s="33"/>
      <c r="B162" s="33"/>
      <c r="C162" s="33"/>
      <c r="D162" s="37"/>
      <c r="E162" s="8" t="s">
        <v>354</v>
      </c>
      <c r="F162" s="6">
        <v>1</v>
      </c>
      <c r="G162" s="31">
        <v>24.300</v>
      </c>
      <c r="H162" s="31"/>
      <c r="I162" s="31">
        <v>0.300</v>
      </c>
      <c r="J162" s="41">
        <f ca="1">ROUND(F162*G162*I162,3)</f>
        <v>0</v>
      </c>
      <c r="K162" s="33"/>
      <c r="L162" s="33"/>
      <c r="M162" s="33"/>
    </row>
    <row r="163" spans="1:13" ht="15.12" thickBot="1" customHeight="1">
      <c r="A163" s="33"/>
      <c r="B163" s="33"/>
      <c r="C163" s="33"/>
      <c r="D163" s="37"/>
      <c r="E163" s="8"/>
      <c r="F163" s="6">
        <v>-2</v>
      </c>
      <c r="G163" s="31">
        <v>0.600</v>
      </c>
      <c r="H163" s="31"/>
      <c r="I163" s="31">
        <v>0.300</v>
      </c>
      <c r="J163" s="41">
        <f ca="1">ROUND(F163*G163*I163,3)</f>
        <v>0</v>
      </c>
      <c r="K163" s="33"/>
      <c r="L163" s="33"/>
      <c r="M163" s="33"/>
    </row>
    <row r="164" spans="1:13" ht="15.12" thickBot="1" customHeight="1">
      <c r="A164" s="33"/>
      <c r="B164" s="33"/>
      <c r="C164" s="33"/>
      <c r="D164" s="37"/>
      <c r="E164" s="8"/>
      <c r="F164" s="6">
        <v>-2</v>
      </c>
      <c r="G164" s="31">
        <v>1.200</v>
      </c>
      <c r="H164" s="31"/>
      <c r="I164" s="31">
        <v>0.300</v>
      </c>
      <c r="J164" s="41">
        <f ca="1">ROUND(F164*G164*I164,3)</f>
        <v>0</v>
      </c>
      <c r="K164" s="33"/>
      <c r="L164" s="33"/>
      <c r="M164" s="33"/>
    </row>
    <row r="165" spans="1:13" ht="15.12" thickBot="1" customHeight="1">
      <c r="A165" s="33"/>
      <c r="B165" s="33"/>
      <c r="C165" s="33"/>
      <c r="D165" s="37"/>
      <c r="E165" s="8"/>
      <c r="F165" s="6">
        <v>-2</v>
      </c>
      <c r="G165" s="31">
        <v>1.000</v>
      </c>
      <c r="H165" s="31"/>
      <c r="I165" s="31">
        <v>0.300</v>
      </c>
      <c r="J165" s="41">
        <f ca="1">ROUND(F165*G165*I165,3)</f>
        <v>0</v>
      </c>
      <c r="K165" s="33"/>
      <c r="L165" s="33"/>
      <c r="M165" s="33"/>
    </row>
    <row r="166" spans="1:13" ht="15.12" thickBot="1" customHeight="1">
      <c r="A166" s="33"/>
      <c r="B166" s="33"/>
      <c r="C166" s="33"/>
      <c r="D166" s="37"/>
      <c r="E166" s="8" t="s">
        <v>355</v>
      </c>
      <c r="F166" s="6">
        <v>1</v>
      </c>
      <c r="G166" s="31">
        <v>17.100</v>
      </c>
      <c r="H166" s="31"/>
      <c r="I166" s="31">
        <v>0.300</v>
      </c>
      <c r="J166" s="41">
        <f ca="1">ROUND(F166*G166*I166,3)</f>
        <v>0</v>
      </c>
      <c r="K166" s="33"/>
      <c r="L166" s="33"/>
      <c r="M166" s="33"/>
    </row>
    <row r="167" spans="1:13" ht="15.12" thickBot="1" customHeight="1">
      <c r="A167" s="33"/>
      <c r="B167" s="33"/>
      <c r="C167" s="33"/>
      <c r="D167" s="37"/>
      <c r="E167" s="8" t="s">
        <v>356</v>
      </c>
      <c r="F167" s="6">
        <v>-1</v>
      </c>
      <c r="G167" s="31">
        <v>1.850</v>
      </c>
      <c r="H167" s="31"/>
      <c r="I167" s="31">
        <v>0.300</v>
      </c>
      <c r="J167" s="41">
        <f ca="1">ROUND(F167*G167*I167,3)</f>
        <v>0</v>
      </c>
      <c r="K167" s="33"/>
      <c r="L167" s="33"/>
      <c r="M167" s="33"/>
    </row>
    <row r="168" spans="1:13" ht="15.12" thickBot="1" customHeight="1">
      <c r="A168" s="33"/>
      <c r="B168" s="33"/>
      <c r="C168" s="33"/>
      <c r="D168" s="37"/>
      <c r="E168" s="8"/>
      <c r="F168" s="6">
        <v>-1</v>
      </c>
      <c r="G168" s="31">
        <v>3.300</v>
      </c>
      <c r="H168" s="31"/>
      <c r="I168" s="31">
        <v>0.300</v>
      </c>
      <c r="J168" s="41">
        <f ca="1">ROUND(F168*G168*I168,3)</f>
        <v>0</v>
      </c>
      <c r="K168" s="33"/>
      <c r="L168" s="33"/>
      <c r="M168" s="33"/>
    </row>
    <row r="169" spans="1:13" ht="15.12" thickBot="1" customHeight="1">
      <c r="A169" s="33"/>
      <c r="B169" s="33"/>
      <c r="C169" s="33"/>
      <c r="D169" s="37"/>
      <c r="E169" s="8" t="s">
        <v>357</v>
      </c>
      <c r="F169" s="6">
        <v>1</v>
      </c>
      <c r="G169" s="31">
        <v>27.600</v>
      </c>
      <c r="H169" s="31"/>
      <c r="I169" s="31">
        <v>0.300</v>
      </c>
      <c r="J169" s="41">
        <f ca="1">ROUND(F169*G169*I169,3)</f>
        <v>0</v>
      </c>
      <c r="K169" s="33"/>
      <c r="L169" s="33"/>
      <c r="M169" s="33"/>
    </row>
    <row r="170" spans="1:13" ht="15.12" thickBot="1" customHeight="1">
      <c r="A170" s="33"/>
      <c r="B170" s="33"/>
      <c r="C170" s="33"/>
      <c r="D170" s="37"/>
      <c r="E170" s="8" t="s">
        <v>358</v>
      </c>
      <c r="F170" s="6">
        <v>-2</v>
      </c>
      <c r="G170" s="31">
        <v>0.700</v>
      </c>
      <c r="H170" s="31"/>
      <c r="I170" s="31">
        <v>0.300</v>
      </c>
      <c r="J170" s="41">
        <f ca="1">ROUND(F170*G170*I170,3)</f>
        <v>0</v>
      </c>
      <c r="K170" s="33"/>
      <c r="L170" s="33"/>
      <c r="M170" s="33"/>
    </row>
    <row r="171" spans="1:13" ht="15.12" thickBot="1" customHeight="1">
      <c r="A171" s="33"/>
      <c r="B171" s="33"/>
      <c r="C171" s="33"/>
      <c r="D171" s="37"/>
      <c r="E171" s="8"/>
      <c r="F171" s="6">
        <v>-2</v>
      </c>
      <c r="G171" s="31">
        <v>1.200</v>
      </c>
      <c r="H171" s="31"/>
      <c r="I171" s="31">
        <v>0.300</v>
      </c>
      <c r="J171" s="41">
        <f ca="1">ROUND(F171*G171*I171,3)</f>
        <v>0</v>
      </c>
      <c r="K171" s="33"/>
      <c r="L171" s="33"/>
      <c r="M171" s="33"/>
    </row>
    <row r="172" spans="1:13" ht="15.12" thickBot="1" customHeight="1">
      <c r="A172" s="33"/>
      <c r="B172" s="33"/>
      <c r="C172" s="33"/>
      <c r="D172" s="37"/>
      <c r="E172" s="8"/>
      <c r="F172" s="6">
        <v>-1</v>
      </c>
      <c r="G172" s="31">
        <v>1.000</v>
      </c>
      <c r="H172" s="31"/>
      <c r="I172" s="31">
        <v>0.300</v>
      </c>
      <c r="J172" s="41">
        <f ca="1">ROUND(F172*G172*I172,3)</f>
        <v>0</v>
      </c>
      <c r="K172" s="33"/>
      <c r="L172" s="33"/>
      <c r="M172" s="33"/>
    </row>
    <row r="173" spans="1:13" ht="15.12" thickBot="1" customHeight="1">
      <c r="A173" s="33"/>
      <c r="B173" s="33"/>
      <c r="C173" s="33"/>
      <c r="D173" s="37"/>
      <c r="E173" s="8"/>
      <c r="F173" s="6">
        <v>-1</v>
      </c>
      <c r="G173" s="31">
        <v>1.300</v>
      </c>
      <c r="H173" s="31"/>
      <c r="I173" s="31">
        <v>0.300</v>
      </c>
      <c r="J173" s="41">
        <f ca="1">ROUND(F173*G173*I173,3)</f>
        <v>0</v>
      </c>
      <c r="K173" s="33"/>
      <c r="L173" s="33"/>
      <c r="M173" s="33"/>
    </row>
    <row r="174" spans="1:13" ht="15.12" thickBot="1" customHeight="1">
      <c r="A174" s="33"/>
      <c r="B174" s="33"/>
      <c r="C174" s="33"/>
      <c r="D174" s="37"/>
      <c r="E174" s="8" t="s">
        <v>359</v>
      </c>
      <c r="F174" s="6">
        <v>1</v>
      </c>
      <c r="G174" s="31">
        <v>17.000</v>
      </c>
      <c r="H174" s="31"/>
      <c r="I174" s="31">
        <v>0.300</v>
      </c>
      <c r="J174" s="41">
        <f ca="1">ROUND(F174*G174*I174,3)</f>
        <v>0</v>
      </c>
      <c r="K174" s="33"/>
      <c r="L174" s="33"/>
      <c r="M174" s="33"/>
    </row>
    <row r="175" spans="1:13" ht="15.12" thickBot="1" customHeight="1">
      <c r="A175" s="33"/>
      <c r="B175" s="33"/>
      <c r="C175" s="33"/>
      <c r="D175" s="37"/>
      <c r="E175" s="8" t="s">
        <v>360</v>
      </c>
      <c r="F175" s="6">
        <v>-1</v>
      </c>
      <c r="G175" s="31">
        <v>1.600</v>
      </c>
      <c r="H175" s="31"/>
      <c r="I175" s="31">
        <v>0.300</v>
      </c>
      <c r="J175" s="41">
        <f ca="1">ROUND(F175*G175*I175,3)</f>
        <v>0</v>
      </c>
      <c r="K175" s="33"/>
      <c r="L175" s="33"/>
      <c r="M175" s="33"/>
    </row>
    <row r="176" spans="1:13" ht="15.12" thickBot="1" customHeight="1">
      <c r="A176" s="33"/>
      <c r="B176" s="33"/>
      <c r="C176" s="33"/>
      <c r="D176" s="37"/>
      <c r="E176" s="8"/>
      <c r="F176" s="6">
        <v>-1</v>
      </c>
      <c r="G176" s="31">
        <v>3.200</v>
      </c>
      <c r="H176" s="31"/>
      <c r="I176" s="31">
        <v>0.300</v>
      </c>
      <c r="J176" s="41">
        <f ca="1">ROUND(F176*G176*I176,3)</f>
        <v>0</v>
      </c>
      <c r="K176" s="33"/>
      <c r="L176" s="33"/>
      <c r="M176" s="33"/>
    </row>
    <row r="177" spans="1:13" ht="15.12" thickBot="1" customHeight="1">
      <c r="A177" s="33"/>
      <c r="B177" s="33"/>
      <c r="C177" s="33"/>
      <c r="D177" s="37"/>
      <c r="E177" s="8" t="s">
        <v>361</v>
      </c>
      <c r="F177" s="6">
        <v>1</v>
      </c>
      <c r="G177" s="31">
        <v>37.800</v>
      </c>
      <c r="H177" s="31"/>
      <c r="I177" s="31">
        <v>0.300</v>
      </c>
      <c r="J177" s="41">
        <f ca="1">ROUND(F177*G177*I177,3)</f>
        <v>0</v>
      </c>
      <c r="K177" s="33"/>
      <c r="L177" s="33"/>
      <c r="M177" s="33"/>
    </row>
    <row r="178" spans="1:13" ht="15.12" thickBot="1" customHeight="1">
      <c r="A178" s="33"/>
      <c r="B178" s="33"/>
      <c r="C178" s="33"/>
      <c r="D178" s="37"/>
      <c r="E178" s="8" t="s">
        <v>362</v>
      </c>
      <c r="F178" s="6">
        <v>-1</v>
      </c>
      <c r="G178" s="31">
        <v>21.500</v>
      </c>
      <c r="H178" s="31"/>
      <c r="I178" s="31">
        <v>0.300</v>
      </c>
      <c r="J178" s="41">
        <f ca="1">ROUND(F178*G178*I178,3)</f>
        <v>0</v>
      </c>
      <c r="K178" s="33"/>
      <c r="L178" s="33"/>
      <c r="M178" s="33"/>
    </row>
    <row r="179" spans="1:13" ht="15.12" thickBot="1" customHeight="1">
      <c r="A179" s="33"/>
      <c r="B179" s="33"/>
      <c r="C179" s="33"/>
      <c r="D179" s="37"/>
      <c r="E179" s="8" t="s">
        <v>363</v>
      </c>
      <c r="F179" s="6">
        <v>1</v>
      </c>
      <c r="G179" s="31">
        <v>38.600</v>
      </c>
      <c r="H179" s="31"/>
      <c r="I179" s="31">
        <v>0.300</v>
      </c>
      <c r="J179" s="41">
        <f ca="1">ROUND(F179*G179*I179,3)</f>
        <v>0</v>
      </c>
      <c r="K179" s="33"/>
      <c r="L179" s="33"/>
      <c r="M179" s="33"/>
    </row>
    <row r="180" spans="1:13" ht="15.12" thickBot="1" customHeight="1">
      <c r="A180" s="33"/>
      <c r="B180" s="33"/>
      <c r="C180" s="33"/>
      <c r="D180" s="37"/>
      <c r="E180" s="8"/>
      <c r="F180" s="6">
        <v>-2</v>
      </c>
      <c r="G180" s="31">
        <v>4.800</v>
      </c>
      <c r="H180" s="31"/>
      <c r="I180" s="31">
        <v>0.300</v>
      </c>
      <c r="J180" s="41">
        <f ca="1">ROUND(F180*G180*I180,3)</f>
        <v>0</v>
      </c>
      <c r="K180" s="33"/>
      <c r="L180" s="33"/>
      <c r="M180" s="33"/>
    </row>
    <row r="181" spans="1:13" ht="15.12" thickBot="1" customHeight="1">
      <c r="A181" s="33"/>
      <c r="B181" s="33"/>
      <c r="C181" s="33"/>
      <c r="D181" s="37"/>
      <c r="E181" s="8"/>
      <c r="F181" s="6">
        <v>-2</v>
      </c>
      <c r="G181" s="31">
        <v>1.800</v>
      </c>
      <c r="H181" s="31"/>
      <c r="I181" s="31">
        <v>0.300</v>
      </c>
      <c r="J181" s="41">
        <f ca="1">ROUND(F181*G181*I181,3)</f>
        <v>0</v>
      </c>
      <c r="K181" s="33"/>
      <c r="L181" s="33"/>
      <c r="M181" s="33"/>
    </row>
    <row r="182" spans="1:13" ht="15.12" thickBot="1" customHeight="1">
      <c r="A182" s="33"/>
      <c r="B182" s="33"/>
      <c r="C182" s="33"/>
      <c r="D182" s="37"/>
      <c r="E182" s="8"/>
      <c r="F182" s="6">
        <v>-2</v>
      </c>
      <c r="G182" s="31">
        <v>1.000</v>
      </c>
      <c r="H182" s="31"/>
      <c r="I182" s="31">
        <v>0.300</v>
      </c>
      <c r="J182" s="41">
        <f ca="1">ROUND(F182*G182*I182,3)</f>
        <v>0</v>
      </c>
      <c r="K182" s="33"/>
      <c r="L182" s="33"/>
      <c r="M182" s="33"/>
    </row>
    <row r="183" spans="1:13" ht="15.12" thickBot="1" customHeight="1">
      <c r="A183" s="33"/>
      <c r="B183" s="33"/>
      <c r="C183" s="33"/>
      <c r="D183" s="37"/>
      <c r="E183" s="8" t="s">
        <v>364</v>
      </c>
      <c r="F183" s="6">
        <v>1</v>
      </c>
      <c r="G183" s="31">
        <v>80.400</v>
      </c>
      <c r="H183" s="31"/>
      <c r="I183" s="31">
        <v>0.300</v>
      </c>
      <c r="J183" s="41">
        <f ca="1">ROUND(F183*G183*I183,3)</f>
        <v>0</v>
      </c>
      <c r="K183" s="33"/>
      <c r="L183" s="33"/>
      <c r="M183" s="33"/>
    </row>
    <row r="184" spans="1:13" ht="15.12" thickBot="1" customHeight="1">
      <c r="A184" s="33"/>
      <c r="B184" s="33"/>
      <c r="C184" s="33"/>
      <c r="D184" s="37"/>
      <c r="E184" s="8" t="s">
        <v>365</v>
      </c>
      <c r="F184" s="6">
        <v>-3</v>
      </c>
      <c r="G184" s="31">
        <v>1.800</v>
      </c>
      <c r="H184" s="31"/>
      <c r="I184" s="31">
        <v>0.300</v>
      </c>
      <c r="J184" s="41">
        <f ca="1">ROUND(F184*G184*I184,3)</f>
        <v>0</v>
      </c>
      <c r="K184" s="33"/>
      <c r="L184" s="33"/>
      <c r="M184" s="33"/>
    </row>
    <row r="185" spans="1:13" ht="15.12" thickBot="1" customHeight="1">
      <c r="A185" s="33"/>
      <c r="B185" s="33"/>
      <c r="C185" s="33"/>
      <c r="D185" s="37"/>
      <c r="E185" s="8"/>
      <c r="F185" s="6">
        <v>-1</v>
      </c>
      <c r="G185" s="31">
        <v>1.300</v>
      </c>
      <c r="H185" s="31"/>
      <c r="I185" s="31">
        <v>0.300</v>
      </c>
      <c r="J185" s="41">
        <f ca="1">ROUND(F185*G185*I185,3)</f>
        <v>0</v>
      </c>
      <c r="K185" s="33"/>
      <c r="L185" s="33"/>
      <c r="M185" s="33"/>
    </row>
    <row r="186" spans="1:13" ht="15.12" thickBot="1" customHeight="1">
      <c r="A186" s="33"/>
      <c r="B186" s="33"/>
      <c r="C186" s="33"/>
      <c r="D186" s="37"/>
      <c r="E186" s="8"/>
      <c r="F186" s="6">
        <v>-1</v>
      </c>
      <c r="G186" s="31">
        <v>12.400</v>
      </c>
      <c r="H186" s="31"/>
      <c r="I186" s="31">
        <v>0.300</v>
      </c>
      <c r="J186" s="41">
        <f ca="1">ROUND(F186*G186*I186,3)</f>
        <v>0</v>
      </c>
      <c r="K186" s="33"/>
      <c r="L186" s="33"/>
      <c r="M186" s="33"/>
    </row>
    <row r="187" spans="1:13" ht="15.12" thickBot="1" customHeight="1">
      <c r="A187" s="33"/>
      <c r="B187" s="33"/>
      <c r="C187" s="33"/>
      <c r="D187" s="37"/>
      <c r="E187" s="8"/>
      <c r="F187" s="6">
        <v>-1</v>
      </c>
      <c r="G187" s="31">
        <v>12.700</v>
      </c>
      <c r="H187" s="31"/>
      <c r="I187" s="31">
        <v>0.300</v>
      </c>
      <c r="J187" s="41">
        <f ca="1">ROUND(F187*G187*I187,3)</f>
        <v>0</v>
      </c>
      <c r="K187" s="33"/>
      <c r="L187" s="33"/>
      <c r="M187" s="33"/>
    </row>
    <row r="188" spans="1:13" ht="15.12" thickBot="1" customHeight="1">
      <c r="A188" s="33"/>
      <c r="B188" s="33"/>
      <c r="C188" s="33"/>
      <c r="D188" s="37"/>
      <c r="E188" s="8"/>
      <c r="F188" s="6">
        <v>-2</v>
      </c>
      <c r="G188" s="31">
        <v>1.600</v>
      </c>
      <c r="H188" s="31"/>
      <c r="I188" s="31">
        <v>0.300</v>
      </c>
      <c r="J188" s="41">
        <f ca="1">ROUND(F188*G188*I188,3)</f>
        <v>0</v>
      </c>
      <c r="K188" s="33"/>
      <c r="L188" s="33"/>
      <c r="M188" s="33"/>
    </row>
    <row r="189" spans="1:13" ht="15.12" thickBot="1" customHeight="1">
      <c r="A189" s="33"/>
      <c r="B189" s="33"/>
      <c r="C189" s="33"/>
      <c r="D189" s="37"/>
      <c r="E189" s="8"/>
      <c r="F189" s="6">
        <v>-1</v>
      </c>
      <c r="G189" s="31">
        <v>3.300</v>
      </c>
      <c r="H189" s="31"/>
      <c r="I189" s="31">
        <v>0.300</v>
      </c>
      <c r="J189" s="41">
        <f ca="1">ROUND(F189*G189*I189,3)</f>
        <v>0</v>
      </c>
      <c r="K189" s="33"/>
      <c r="L189" s="33"/>
      <c r="M189" s="33"/>
    </row>
    <row r="190" spans="1:13" ht="15.12" thickBot="1" customHeight="1">
      <c r="A190" s="33"/>
      <c r="B190" s="33"/>
      <c r="C190" s="33"/>
      <c r="D190" s="37"/>
      <c r="E190" s="8"/>
      <c r="F190" s="6">
        <v>-4</v>
      </c>
      <c r="G190" s="31">
        <v>0.850</v>
      </c>
      <c r="H190" s="31"/>
      <c r="I190" s="31">
        <v>0.300</v>
      </c>
      <c r="J190" s="41">
        <f ca="1">ROUND(F190*G190*I190,3)</f>
        <v>0</v>
      </c>
      <c r="K190" s="33"/>
      <c r="L190" s="33"/>
      <c r="M190" s="33"/>
    </row>
    <row r="191" spans="1:13" ht="15.12" thickBot="1" customHeight="1">
      <c r="A191" s="33"/>
      <c r="B191" s="33"/>
      <c r="C191" s="33"/>
      <c r="D191" s="37"/>
      <c r="E191" s="8" t="s">
        <v>366</v>
      </c>
      <c r="F191" s="6">
        <v>1</v>
      </c>
      <c r="G191" s="31">
        <v>6.500</v>
      </c>
      <c r="H191" s="31"/>
      <c r="I191" s="31">
        <v>0.300</v>
      </c>
      <c r="J191" s="41">
        <f ca="1">ROUND(F191*G191*I191,3)</f>
        <v>0</v>
      </c>
      <c r="K191" s="43">
        <f ca="1">SUM(J150:J191)</f>
        <v>0</v>
      </c>
      <c r="L191" s="33"/>
      <c r="M191" s="33"/>
    </row>
    <row r="192" spans="1:13" ht="15.48" thickBot="1" customHeight="1">
      <c r="A192" s="15" t="s">
        <v>367</v>
      </c>
      <c r="B192" s="8" t="s">
        <v>368</v>
      </c>
      <c r="C192" s="8" t="s">
        <v>369</v>
      </c>
      <c r="D192" s="30" t="s">
        <v>370</v>
      </c>
      <c r="E192" s="30"/>
      <c r="F192" s="30"/>
      <c r="G192" s="30"/>
      <c r="H192" s="30"/>
      <c r="I192" s="30"/>
      <c r="J192" s="30"/>
      <c r="K192" s="31">
        <f ca="1">ROUND(1.00,2)</f>
        <v>0</v>
      </c>
      <c r="L192" s="32">
        <f ca="1">ROUND(216.920*(1+M2/100),2)</f>
        <v>0</v>
      </c>
      <c r="M192" s="32">
        <f ca="1">ROUND(K192*L192,2)</f>
        <v>0</v>
      </c>
    </row>
    <row r="193" spans="1:13" ht="39.84" thickBot="1" customHeight="1">
      <c r="A193" s="33"/>
      <c r="B193" s="33"/>
      <c r="C193" s="33"/>
      <c r="D193" s="30" t="s">
        <v>371</v>
      </c>
      <c r="E193" s="30"/>
      <c r="F193" s="30"/>
      <c r="G193" s="30"/>
      <c r="H193" s="30"/>
      <c r="I193" s="30"/>
      <c r="J193" s="30"/>
      <c r="K193" s="30"/>
      <c r="L193" s="30"/>
      <c r="M193" s="30"/>
    </row>
    <row r="194" spans="1:13" ht="15.48" thickBot="1" customHeight="1">
      <c r="A194" s="15" t="s">
        <v>372</v>
      </c>
      <c r="B194" s="8" t="s">
        <v>373</v>
      </c>
      <c r="C194" s="8" t="s">
        <v>374</v>
      </c>
      <c r="D194" s="30" t="s">
        <v>375</v>
      </c>
      <c r="E194" s="30"/>
      <c r="F194" s="30"/>
      <c r="G194" s="30"/>
      <c r="H194" s="30"/>
      <c r="I194" s="30"/>
      <c r="J194" s="30"/>
      <c r="K194" s="31">
        <f ca="1">ROUND(1.00,2)</f>
        <v>0</v>
      </c>
      <c r="L194" s="32">
        <f ca="1">ROUND(27.050*(1+M2/100),2)</f>
        <v>0</v>
      </c>
      <c r="M194" s="32">
        <f ca="1">ROUND(K194*L194,2)</f>
        <v>0</v>
      </c>
    </row>
    <row r="195" spans="1:13" ht="49.08" thickBot="1" customHeight="1">
      <c r="A195" s="33"/>
      <c r="B195" s="33"/>
      <c r="C195" s="33"/>
      <c r="D195" s="30" t="s">
        <v>376</v>
      </c>
      <c r="E195" s="30"/>
      <c r="F195" s="30"/>
      <c r="G195" s="30"/>
      <c r="H195" s="30"/>
      <c r="I195" s="30"/>
      <c r="J195" s="30"/>
      <c r="K195" s="30"/>
      <c r="L195" s="30"/>
      <c r="M195" s="30"/>
    </row>
    <row r="196" spans="1:13" ht="15.48" thickBot="1" customHeight="1">
      <c r="A196" s="15" t="s">
        <v>377</v>
      </c>
      <c r="B196" s="8" t="s">
        <v>378</v>
      </c>
      <c r="C196" s="8" t="s">
        <v>379</v>
      </c>
      <c r="D196" s="30" t="s">
        <v>380</v>
      </c>
      <c r="E196" s="30"/>
      <c r="F196" s="30"/>
      <c r="G196" s="30"/>
      <c r="H196" s="30"/>
      <c r="I196" s="30"/>
      <c r="J196" s="30"/>
      <c r="K196" s="31">
        <f ca="1">ROUND(1.00,2)</f>
        <v>0</v>
      </c>
      <c r="L196" s="32">
        <f ca="1">ROUND(20.350*(1+M2/100),2)</f>
        <v>0</v>
      </c>
      <c r="M196" s="32">
        <f ca="1">ROUND(K196*L196,2)</f>
        <v>0</v>
      </c>
    </row>
    <row r="197" spans="1:13" ht="39.84" thickBot="1" customHeight="1">
      <c r="A197" s="33"/>
      <c r="B197" s="33"/>
      <c r="C197" s="33"/>
      <c r="D197" s="30" t="s">
        <v>381</v>
      </c>
      <c r="E197" s="30"/>
      <c r="F197" s="30"/>
      <c r="G197" s="30"/>
      <c r="H197" s="30"/>
      <c r="I197" s="30"/>
      <c r="J197" s="30"/>
      <c r="K197" s="30"/>
      <c r="L197" s="30"/>
      <c r="M197" s="30"/>
    </row>
    <row r="198" spans="1:13" ht="15.48" thickBot="1" customHeight="1">
      <c r="A198" s="15" t="s">
        <v>382</v>
      </c>
      <c r="B198" s="8" t="s">
        <v>383</v>
      </c>
      <c r="C198" s="8" t="s">
        <v>384</v>
      </c>
      <c r="D198" s="30" t="s">
        <v>385</v>
      </c>
      <c r="E198" s="30"/>
      <c r="F198" s="30"/>
      <c r="G198" s="30"/>
      <c r="H198" s="30"/>
      <c r="I198" s="30"/>
      <c r="J198" s="30"/>
      <c r="K198" s="31">
        <f ca="1">ROUND(1.00,2)</f>
        <v>0</v>
      </c>
      <c r="L198" s="32">
        <f ca="1">ROUND(51.940*(1+M2/100),2)</f>
        <v>0</v>
      </c>
      <c r="M198" s="32">
        <f ca="1">ROUND(K198*L198,2)</f>
        <v>0</v>
      </c>
    </row>
    <row r="199" spans="1:13" ht="39.84" thickBot="1" customHeight="1">
      <c r="A199" s="33"/>
      <c r="B199" s="33"/>
      <c r="C199" s="33"/>
      <c r="D199" s="30" t="s">
        <v>386</v>
      </c>
      <c r="E199" s="30"/>
      <c r="F199" s="30"/>
      <c r="G199" s="30"/>
      <c r="H199" s="30"/>
      <c r="I199" s="30"/>
      <c r="J199" s="30"/>
      <c r="K199" s="30"/>
      <c r="L199" s="30"/>
      <c r="M199" s="30"/>
    </row>
    <row r="200" spans="1:13" ht="15.48" thickBot="1" customHeight="1">
      <c r="A200" s="15" t="s">
        <v>387</v>
      </c>
      <c r="B200" s="8" t="s">
        <v>388</v>
      </c>
      <c r="C200" s="8" t="s">
        <v>389</v>
      </c>
      <c r="D200" s="30" t="s">
        <v>390</v>
      </c>
      <c r="E200" s="30"/>
      <c r="F200" s="30"/>
      <c r="G200" s="30"/>
      <c r="H200" s="30"/>
      <c r="I200" s="30"/>
      <c r="J200" s="30"/>
      <c r="K200" s="31">
        <f ca="1">ROUND(1.00,2)</f>
        <v>0</v>
      </c>
      <c r="L200" s="32">
        <f ca="1">ROUND(33.750*(1+M2/100),2)</f>
        <v>0</v>
      </c>
      <c r="M200" s="32">
        <f ca="1">ROUND(K200*L200,2)</f>
        <v>0</v>
      </c>
    </row>
    <row r="201" spans="1:13" ht="39.84" thickBot="1" customHeight="1">
      <c r="A201" s="33"/>
      <c r="B201" s="33"/>
      <c r="C201" s="33"/>
      <c r="D201" s="30" t="s">
        <v>391</v>
      </c>
      <c r="E201" s="30"/>
      <c r="F201" s="30"/>
      <c r="G201" s="30"/>
      <c r="H201" s="30"/>
      <c r="I201" s="30"/>
      <c r="J201" s="30"/>
      <c r="K201" s="30"/>
      <c r="L201" s="30"/>
      <c r="M201" s="30"/>
    </row>
    <row r="202" spans="1:13" ht="15.48" thickBot="1" customHeight="1">
      <c r="A202" s="15" t="s">
        <v>392</v>
      </c>
      <c r="B202" s="8" t="s">
        <v>393</v>
      </c>
      <c r="C202" s="8" t="s">
        <v>394</v>
      </c>
      <c r="D202" s="30" t="s">
        <v>395</v>
      </c>
      <c r="E202" s="30"/>
      <c r="F202" s="30"/>
      <c r="G202" s="30"/>
      <c r="H202" s="30"/>
      <c r="I202" s="30"/>
      <c r="J202" s="30"/>
      <c r="K202" s="31">
        <f ca="1">ROUND(1.00,2)</f>
        <v>0</v>
      </c>
      <c r="L202" s="32">
        <f ca="1">ROUND(454.720*(1+M2/100),2)</f>
        <v>0</v>
      </c>
      <c r="M202" s="32">
        <f ca="1">ROUND(K202*L202,2)</f>
        <v>0</v>
      </c>
    </row>
    <row r="203" spans="1:13" ht="39.84" thickBot="1" customHeight="1">
      <c r="A203" s="33"/>
      <c r="B203" s="33"/>
      <c r="C203" s="33"/>
      <c r="D203" s="30" t="s">
        <v>396</v>
      </c>
      <c r="E203" s="30"/>
      <c r="F203" s="30"/>
      <c r="G203" s="30"/>
      <c r="H203" s="30"/>
      <c r="I203" s="30"/>
      <c r="J203" s="30"/>
      <c r="K203" s="30"/>
      <c r="L203" s="30"/>
      <c r="M203" s="30"/>
    </row>
    <row r="204" spans="1:13" ht="15.48" thickBot="1" customHeight="1">
      <c r="A204" s="15" t="s">
        <v>397</v>
      </c>
      <c r="B204" s="8" t="s">
        <v>398</v>
      </c>
      <c r="C204" s="8" t="s">
        <v>399</v>
      </c>
      <c r="D204" s="30" t="s">
        <v>400</v>
      </c>
      <c r="E204" s="30"/>
      <c r="F204" s="30"/>
      <c r="G204" s="30"/>
      <c r="H204" s="30"/>
      <c r="I204" s="30"/>
      <c r="J204" s="30"/>
      <c r="K204" s="31">
        <f ca="1">ROUND(1.00,2)</f>
        <v>0</v>
      </c>
      <c r="L204" s="32">
        <f ca="1">ROUND(454.720*(1+M2/100),2)</f>
        <v>0</v>
      </c>
      <c r="M204" s="32">
        <f ca="1">ROUND(K204*L204,2)</f>
        <v>0</v>
      </c>
    </row>
    <row r="205" spans="1:13" ht="39.84" thickBot="1" customHeight="1">
      <c r="A205" s="33"/>
      <c r="B205" s="33"/>
      <c r="C205" s="33"/>
      <c r="D205" s="30" t="s">
        <v>401</v>
      </c>
      <c r="E205" s="30"/>
      <c r="F205" s="30"/>
      <c r="G205" s="30"/>
      <c r="H205" s="30"/>
      <c r="I205" s="30"/>
      <c r="J205" s="30"/>
      <c r="K205" s="30"/>
      <c r="L205" s="30"/>
      <c r="M205" s="30"/>
    </row>
    <row r="206" spans="1:13" ht="15.48" thickBot="1" customHeight="1">
      <c r="A206" s="15" t="s">
        <v>402</v>
      </c>
      <c r="B206" s="8" t="s">
        <v>403</v>
      </c>
      <c r="C206" s="8" t="s">
        <v>404</v>
      </c>
      <c r="D206" s="30" t="s">
        <v>405</v>
      </c>
      <c r="E206" s="30"/>
      <c r="F206" s="30"/>
      <c r="G206" s="30"/>
      <c r="H206" s="30"/>
      <c r="I206" s="30"/>
      <c r="J206" s="30"/>
      <c r="K206" s="31">
        <f ca="1">ROUND(1.00,2)</f>
        <v>0</v>
      </c>
      <c r="L206" s="32">
        <f ca="1">ROUND(157.980*(1+M2/100),2)</f>
        <v>0</v>
      </c>
      <c r="M206" s="32">
        <f ca="1">ROUND(K206*L206,2)</f>
        <v>0</v>
      </c>
    </row>
    <row r="207" spans="1:13" ht="39.84" thickBot="1" customHeight="1">
      <c r="A207" s="33"/>
      <c r="B207" s="33"/>
      <c r="C207" s="33"/>
      <c r="D207" s="30" t="s">
        <v>406</v>
      </c>
      <c r="E207" s="30"/>
      <c r="F207" s="30"/>
      <c r="G207" s="30"/>
      <c r="H207" s="30"/>
      <c r="I207" s="30"/>
      <c r="J207" s="30"/>
      <c r="K207" s="30"/>
      <c r="L207" s="30"/>
      <c r="M207" s="30"/>
    </row>
    <row r="208" spans="1:13" ht="15.48" thickBot="1" customHeight="1">
      <c r="A208" s="15" t="s">
        <v>407</v>
      </c>
      <c r="B208" s="8" t="s">
        <v>408</v>
      </c>
      <c r="C208" s="8" t="s">
        <v>409</v>
      </c>
      <c r="D208" s="30" t="s">
        <v>410</v>
      </c>
      <c r="E208" s="30"/>
      <c r="F208" s="30"/>
      <c r="G208" s="30"/>
      <c r="H208" s="30"/>
      <c r="I208" s="30"/>
      <c r="J208" s="30"/>
      <c r="K208" s="31">
        <f ca="1">ROUND(20.00,2)</f>
        <v>0</v>
      </c>
      <c r="L208" s="32">
        <f ca="1">ROUND(66.140*(1+M2/100),2)</f>
        <v>0</v>
      </c>
      <c r="M208" s="32">
        <f ca="1">ROUND(K208*L208,2)</f>
        <v>0</v>
      </c>
    </row>
    <row r="209" spans="1:13" ht="39.84" thickBot="1" customHeight="1">
      <c r="A209" s="33"/>
      <c r="B209" s="33"/>
      <c r="C209" s="33"/>
      <c r="D209" s="30" t="s">
        <v>411</v>
      </c>
      <c r="E209" s="30"/>
      <c r="F209" s="30"/>
      <c r="G209" s="30"/>
      <c r="H209" s="30"/>
      <c r="I209" s="30"/>
      <c r="J209" s="30"/>
      <c r="K209" s="30"/>
      <c r="L209" s="30"/>
      <c r="M209" s="30"/>
    </row>
    <row r="210" spans="1:13" ht="15.48" thickBot="1" customHeight="1">
      <c r="A210" s="46"/>
      <c r="B210" s="46"/>
      <c r="C210" s="46"/>
      <c r="D210" s="47" t="s">
        <v>412</v>
      </c>
      <c r="E210" s="48"/>
      <c r="F210" s="48"/>
      <c r="G210" s="48"/>
      <c r="H210" s="48"/>
      <c r="I210" s="48"/>
      <c r="J210" s="48"/>
      <c r="K210" s="48"/>
      <c r="L210" s="49">
        <f ca="1">M34+M36+M38+M61+M65+M67+M72+M82+M88+M94+M98+M102+M107+M111+M115+M119+M124+M133+M138+M147+M192+M194+M196+M198+M200+M202+M204+M206+M208</f>
        <v>0</v>
      </c>
      <c r="M210" s="49">
        <f ca="1">ROUND(L210,2)</f>
        <v>0</v>
      </c>
    </row>
    <row r="211" spans="1:13" ht="15.48" thickBot="1" customHeight="1">
      <c r="A211" s="50" t="s">
        <v>413</v>
      </c>
      <c r="B211" s="50" t="s">
        <v>414</v>
      </c>
      <c r="C211" s="51"/>
      <c r="D211" s="52" t="s">
        <v>415</v>
      </c>
      <c r="E211" s="52"/>
      <c r="F211" s="52"/>
      <c r="G211" s="52"/>
      <c r="H211" s="52"/>
      <c r="I211" s="52"/>
      <c r="J211" s="52"/>
      <c r="K211" s="51"/>
      <c r="L211" s="53">
        <f ca="1">L301</f>
        <v>0</v>
      </c>
      <c r="M211" s="53">
        <f ca="1">ROUND(L211,2)</f>
        <v>0</v>
      </c>
    </row>
    <row r="212" spans="1:13" ht="15.48" thickBot="1" customHeight="1">
      <c r="A212" s="15" t="s">
        <v>416</v>
      </c>
      <c r="B212" s="8" t="s">
        <v>417</v>
      </c>
      <c r="C212" s="8" t="s">
        <v>418</v>
      </c>
      <c r="D212" s="30" t="s">
        <v>419</v>
      </c>
      <c r="E212" s="30"/>
      <c r="F212" s="30"/>
      <c r="G212" s="30"/>
      <c r="H212" s="30"/>
      <c r="I212" s="30"/>
      <c r="J212" s="30"/>
      <c r="K212" s="31">
        <f ca="1">ROUND(1.00,2)</f>
        <v>0</v>
      </c>
      <c r="L212" s="32">
        <f ca="1">ROUND(265.550*(1+M2/100),2)</f>
        <v>0</v>
      </c>
      <c r="M212" s="32">
        <f ca="1">ROUND(K212*L212,2)</f>
        <v>0</v>
      </c>
    </row>
    <row r="213" spans="1:13" ht="21.36" thickBot="1" customHeight="1">
      <c r="A213" s="33"/>
      <c r="B213" s="33"/>
      <c r="C213" s="33"/>
      <c r="D213" s="30" t="s">
        <v>420</v>
      </c>
      <c r="E213" s="30"/>
      <c r="F213" s="30"/>
      <c r="G213" s="30"/>
      <c r="H213" s="30"/>
      <c r="I213" s="30"/>
      <c r="J213" s="30"/>
      <c r="K213" s="30"/>
      <c r="L213" s="30"/>
      <c r="M213" s="30"/>
    </row>
    <row r="214" spans="1:13" ht="15.48" thickBot="1" customHeight="1">
      <c r="A214" s="15" t="s">
        <v>421</v>
      </c>
      <c r="B214" s="8" t="s">
        <v>422</v>
      </c>
      <c r="C214" s="8" t="s">
        <v>423</v>
      </c>
      <c r="D214" s="30" t="s">
        <v>424</v>
      </c>
      <c r="E214" s="30"/>
      <c r="F214" s="30"/>
      <c r="G214" s="30"/>
      <c r="H214" s="30"/>
      <c r="I214" s="30"/>
      <c r="J214" s="30"/>
      <c r="K214" s="31">
        <f ca="1">SUM(K217:K258)</f>
        <v>0</v>
      </c>
      <c r="L214" s="32">
        <f ca="1">ROUND(19.960*(1+M2/100),2)</f>
        <v>0</v>
      </c>
      <c r="M214" s="32">
        <f ca="1">ROUND(K214*L214,2)</f>
        <v>0</v>
      </c>
    </row>
    <row r="215" spans="1:13" ht="86.04" thickBot="1" customHeight="1">
      <c r="A215" s="33"/>
      <c r="B215" s="33"/>
      <c r="C215" s="33"/>
      <c r="D215" s="30" t="s">
        <v>425</v>
      </c>
      <c r="E215" s="30"/>
      <c r="F215" s="30"/>
      <c r="G215" s="30"/>
      <c r="H215" s="30"/>
      <c r="I215" s="30"/>
      <c r="J215" s="30"/>
      <c r="K215" s="30"/>
      <c r="L215" s="30"/>
      <c r="M215" s="30"/>
    </row>
    <row r="216" spans="1:13" ht="15.12" thickBot="1" customHeight="1">
      <c r="A216" s="33"/>
      <c r="B216" s="33"/>
      <c r="C216" s="33"/>
      <c r="D216" s="33"/>
      <c r="E216" s="34"/>
      <c r="F216" s="36" t="s">
        <v>426</v>
      </c>
      <c r="G216" s="36" t="s">
        <v>427</v>
      </c>
      <c r="H216" s="36" t="s">
        <v>428</v>
      </c>
      <c r="I216" s="36" t="s">
        <v>429</v>
      </c>
      <c r="J216" s="36" t="s">
        <v>430</v>
      </c>
      <c r="K216" s="36" t="s">
        <v>431</v>
      </c>
      <c r="L216" s="33"/>
      <c r="M216" s="33"/>
    </row>
    <row r="217" spans="1:13" ht="15.12" thickBot="1" customHeight="1">
      <c r="A217" s="33"/>
      <c r="B217" s="33"/>
      <c r="C217" s="33"/>
      <c r="D217" s="37"/>
      <c r="E217" s="38" t="s">
        <v>432</v>
      </c>
      <c r="F217" s="39">
        <v>1</v>
      </c>
      <c r="G217" s="40">
        <v>40.000</v>
      </c>
      <c r="H217" s="40"/>
      <c r="I217" s="40"/>
      <c r="J217" s="42">
        <f ca="1">ROUND(F217*G217,3)</f>
        <v>0</v>
      </c>
      <c r="K217" s="45"/>
      <c r="L217" s="33"/>
      <c r="M217" s="33"/>
    </row>
    <row r="218" spans="1:13" ht="15.12" thickBot="1" customHeight="1">
      <c r="A218" s="33"/>
      <c r="B218" s="33"/>
      <c r="C218" s="33"/>
      <c r="D218" s="37"/>
      <c r="E218" s="8" t="s">
        <v>433</v>
      </c>
      <c r="F218" s="6">
        <v>-2</v>
      </c>
      <c r="G218" s="31">
        <v>4.700</v>
      </c>
      <c r="H218" s="31"/>
      <c r="I218" s="31"/>
      <c r="J218" s="41">
        <f ca="1">ROUND(F218*G218,3)</f>
        <v>0</v>
      </c>
      <c r="K218" s="33"/>
      <c r="L218" s="33"/>
      <c r="M218" s="33"/>
    </row>
    <row r="219" spans="1:13" ht="15.12" thickBot="1" customHeight="1">
      <c r="A219" s="33"/>
      <c r="B219" s="33"/>
      <c r="C219" s="33"/>
      <c r="D219" s="37"/>
      <c r="E219" s="8"/>
      <c r="F219" s="6">
        <v>-2</v>
      </c>
      <c r="G219" s="31">
        <v>1.800</v>
      </c>
      <c r="H219" s="31"/>
      <c r="I219" s="31"/>
      <c r="J219" s="41">
        <f ca="1">ROUND(F219*G219,3)</f>
        <v>0</v>
      </c>
      <c r="K219" s="33"/>
      <c r="L219" s="33"/>
      <c r="M219" s="33"/>
    </row>
    <row r="220" spans="1:13" ht="15.12" thickBot="1" customHeight="1">
      <c r="A220" s="33"/>
      <c r="B220" s="33"/>
      <c r="C220" s="33"/>
      <c r="D220" s="37"/>
      <c r="E220" s="8"/>
      <c r="F220" s="6">
        <v>-2</v>
      </c>
      <c r="G220" s="31">
        <v>1.000</v>
      </c>
      <c r="H220" s="31"/>
      <c r="I220" s="31"/>
      <c r="J220" s="41">
        <f ca="1">ROUND(F220*G220,3)</f>
        <v>0</v>
      </c>
      <c r="K220" s="33"/>
      <c r="L220" s="33"/>
      <c r="M220" s="33"/>
    </row>
    <row r="221" spans="1:13" ht="15.12" thickBot="1" customHeight="1">
      <c r="A221" s="33"/>
      <c r="B221" s="33"/>
      <c r="C221" s="33"/>
      <c r="D221" s="37"/>
      <c r="E221" s="8"/>
      <c r="F221" s="6">
        <v>-1</v>
      </c>
      <c r="G221" s="31">
        <v>1.150</v>
      </c>
      <c r="H221" s="31"/>
      <c r="I221" s="31"/>
      <c r="J221" s="41">
        <f ca="1">ROUND(F221*G221,3)</f>
        <v>0</v>
      </c>
      <c r="K221" s="33"/>
      <c r="L221" s="33"/>
      <c r="M221" s="33"/>
    </row>
    <row r="222" spans="1:13" ht="15.12" thickBot="1" customHeight="1">
      <c r="A222" s="33"/>
      <c r="B222" s="33"/>
      <c r="C222" s="33"/>
      <c r="D222" s="37"/>
      <c r="E222" s="8" t="s">
        <v>434</v>
      </c>
      <c r="F222" s="6">
        <v>1</v>
      </c>
      <c r="G222" s="31">
        <v>36.300</v>
      </c>
      <c r="H222" s="31"/>
      <c r="I222" s="31"/>
      <c r="J222" s="41">
        <f ca="1">ROUND(F222*G222,3)</f>
        <v>0</v>
      </c>
      <c r="K222" s="33"/>
      <c r="L222" s="33"/>
      <c r="M222" s="33"/>
    </row>
    <row r="223" spans="1:13" ht="15.12" thickBot="1" customHeight="1">
      <c r="A223" s="33"/>
      <c r="B223" s="33"/>
      <c r="C223" s="33"/>
      <c r="D223" s="37"/>
      <c r="E223" s="8" t="s">
        <v>435</v>
      </c>
      <c r="F223" s="6">
        <v>-1</v>
      </c>
      <c r="G223" s="31">
        <v>15.000</v>
      </c>
      <c r="H223" s="31"/>
      <c r="I223" s="31"/>
      <c r="J223" s="41">
        <f ca="1">ROUND(F223*G223,3)</f>
        <v>0</v>
      </c>
      <c r="K223" s="33"/>
      <c r="L223" s="33"/>
      <c r="M223" s="33"/>
    </row>
    <row r="224" spans="1:13" ht="15.12" thickBot="1" customHeight="1">
      <c r="A224" s="33"/>
      <c r="B224" s="33"/>
      <c r="C224" s="33"/>
      <c r="D224" s="37"/>
      <c r="E224" s="8"/>
      <c r="F224" s="6">
        <v>-1</v>
      </c>
      <c r="G224" s="31">
        <v>2.000</v>
      </c>
      <c r="H224" s="31"/>
      <c r="I224" s="31"/>
      <c r="J224" s="41">
        <f ca="1">ROUND(F224*G224,3)</f>
        <v>0</v>
      </c>
      <c r="K224" s="33"/>
      <c r="L224" s="33"/>
      <c r="M224" s="33"/>
    </row>
    <row r="225" spans="1:13" ht="15.12" thickBot="1" customHeight="1">
      <c r="A225" s="33"/>
      <c r="B225" s="33"/>
      <c r="C225" s="33"/>
      <c r="D225" s="37"/>
      <c r="E225" s="8"/>
      <c r="F225" s="6">
        <v>-2</v>
      </c>
      <c r="G225" s="31">
        <v>2.200</v>
      </c>
      <c r="H225" s="31"/>
      <c r="I225" s="31"/>
      <c r="J225" s="41">
        <f ca="1">ROUND(F225*G225,3)</f>
        <v>0</v>
      </c>
      <c r="K225" s="33"/>
      <c r="L225" s="33"/>
      <c r="M225" s="33"/>
    </row>
    <row r="226" spans="1:13" ht="15.12" thickBot="1" customHeight="1">
      <c r="A226" s="33"/>
      <c r="B226" s="33"/>
      <c r="C226" s="33"/>
      <c r="D226" s="37"/>
      <c r="E226" s="8" t="s">
        <v>436</v>
      </c>
      <c r="F226" s="6">
        <v>1</v>
      </c>
      <c r="G226" s="31">
        <v>14.200</v>
      </c>
      <c r="H226" s="31"/>
      <c r="I226" s="31"/>
      <c r="J226" s="41">
        <f ca="1">ROUND(F226*G226,3)</f>
        <v>0</v>
      </c>
      <c r="K226" s="33"/>
      <c r="L226" s="33"/>
      <c r="M226" s="33"/>
    </row>
    <row r="227" spans="1:13" ht="15.12" thickBot="1" customHeight="1">
      <c r="A227" s="33"/>
      <c r="B227" s="33"/>
      <c r="C227" s="33"/>
      <c r="D227" s="37"/>
      <c r="E227" s="8" t="s">
        <v>437</v>
      </c>
      <c r="F227" s="6">
        <v>-1</v>
      </c>
      <c r="G227" s="31">
        <v>1.500</v>
      </c>
      <c r="H227" s="31"/>
      <c r="I227" s="31"/>
      <c r="J227" s="41">
        <f ca="1">ROUND(F227*G227,3)</f>
        <v>0</v>
      </c>
      <c r="K227" s="33"/>
      <c r="L227" s="33"/>
      <c r="M227" s="33"/>
    </row>
    <row r="228" spans="1:13" ht="15.12" thickBot="1" customHeight="1">
      <c r="A228" s="33"/>
      <c r="B228" s="33"/>
      <c r="C228" s="33"/>
      <c r="D228" s="37"/>
      <c r="E228" s="8"/>
      <c r="F228" s="6">
        <v>-1</v>
      </c>
      <c r="G228" s="31">
        <v>2.900</v>
      </c>
      <c r="H228" s="31"/>
      <c r="I228" s="31"/>
      <c r="J228" s="41">
        <f ca="1">ROUND(F228*G228,3)</f>
        <v>0</v>
      </c>
      <c r="K228" s="33"/>
      <c r="L228" s="33"/>
      <c r="M228" s="33"/>
    </row>
    <row r="229" spans="1:13" ht="15.12" thickBot="1" customHeight="1">
      <c r="A229" s="33"/>
      <c r="B229" s="33"/>
      <c r="C229" s="33"/>
      <c r="D229" s="37"/>
      <c r="E229" s="8" t="s">
        <v>438</v>
      </c>
      <c r="F229" s="6">
        <v>1</v>
      </c>
      <c r="G229" s="31">
        <v>24.300</v>
      </c>
      <c r="H229" s="31"/>
      <c r="I229" s="31"/>
      <c r="J229" s="41">
        <f ca="1">ROUND(F229*G229,3)</f>
        <v>0</v>
      </c>
      <c r="K229" s="33"/>
      <c r="L229" s="33"/>
      <c r="M229" s="33"/>
    </row>
    <row r="230" spans="1:13" ht="15.12" thickBot="1" customHeight="1">
      <c r="A230" s="33"/>
      <c r="B230" s="33"/>
      <c r="C230" s="33"/>
      <c r="D230" s="37"/>
      <c r="E230" s="8"/>
      <c r="F230" s="6">
        <v>-2</v>
      </c>
      <c r="G230" s="31">
        <v>0.600</v>
      </c>
      <c r="H230" s="31"/>
      <c r="I230" s="31"/>
      <c r="J230" s="41">
        <f ca="1">ROUND(F230*G230,3)</f>
        <v>0</v>
      </c>
      <c r="K230" s="33"/>
      <c r="L230" s="33"/>
      <c r="M230" s="33"/>
    </row>
    <row r="231" spans="1:13" ht="15.12" thickBot="1" customHeight="1">
      <c r="A231" s="33"/>
      <c r="B231" s="33"/>
      <c r="C231" s="33"/>
      <c r="D231" s="37"/>
      <c r="E231" s="8"/>
      <c r="F231" s="6">
        <v>-2</v>
      </c>
      <c r="G231" s="31">
        <v>1.200</v>
      </c>
      <c r="H231" s="31"/>
      <c r="I231" s="31"/>
      <c r="J231" s="41">
        <f ca="1">ROUND(F231*G231,3)</f>
        <v>0</v>
      </c>
      <c r="K231" s="33"/>
      <c r="L231" s="33"/>
      <c r="M231" s="33"/>
    </row>
    <row r="232" spans="1:13" ht="15.12" thickBot="1" customHeight="1">
      <c r="A232" s="33"/>
      <c r="B232" s="33"/>
      <c r="C232" s="33"/>
      <c r="D232" s="37"/>
      <c r="E232" s="8"/>
      <c r="F232" s="6">
        <v>-2</v>
      </c>
      <c r="G232" s="31">
        <v>1.000</v>
      </c>
      <c r="H232" s="31"/>
      <c r="I232" s="31"/>
      <c r="J232" s="41">
        <f ca="1">ROUND(F232*G232,3)</f>
        <v>0</v>
      </c>
      <c r="K232" s="33"/>
      <c r="L232" s="33"/>
      <c r="M232" s="33"/>
    </row>
    <row r="233" spans="1:13" ht="15.12" thickBot="1" customHeight="1">
      <c r="A233" s="33"/>
      <c r="B233" s="33"/>
      <c r="C233" s="33"/>
      <c r="D233" s="37"/>
      <c r="E233" s="8" t="s">
        <v>439</v>
      </c>
      <c r="F233" s="6">
        <v>1</v>
      </c>
      <c r="G233" s="31">
        <v>17.100</v>
      </c>
      <c r="H233" s="31"/>
      <c r="I233" s="31"/>
      <c r="J233" s="41">
        <f ca="1">ROUND(F233*G233,3)</f>
        <v>0</v>
      </c>
      <c r="K233" s="33"/>
      <c r="L233" s="33"/>
      <c r="M233" s="33"/>
    </row>
    <row r="234" spans="1:13" ht="15.12" thickBot="1" customHeight="1">
      <c r="A234" s="33"/>
      <c r="B234" s="33"/>
      <c r="C234" s="33"/>
      <c r="D234" s="37"/>
      <c r="E234" s="8" t="s">
        <v>440</v>
      </c>
      <c r="F234" s="6">
        <v>-1</v>
      </c>
      <c r="G234" s="31">
        <v>1.850</v>
      </c>
      <c r="H234" s="31"/>
      <c r="I234" s="31"/>
      <c r="J234" s="41">
        <f ca="1">ROUND(F234*G234,3)</f>
        <v>0</v>
      </c>
      <c r="K234" s="33"/>
      <c r="L234" s="33"/>
      <c r="M234" s="33"/>
    </row>
    <row r="235" spans="1:13" ht="15.12" thickBot="1" customHeight="1">
      <c r="A235" s="33"/>
      <c r="B235" s="33"/>
      <c r="C235" s="33"/>
      <c r="D235" s="37"/>
      <c r="E235" s="8"/>
      <c r="F235" s="6">
        <v>-1</v>
      </c>
      <c r="G235" s="31">
        <v>3.300</v>
      </c>
      <c r="H235" s="31"/>
      <c r="I235" s="31"/>
      <c r="J235" s="41">
        <f ca="1">ROUND(F235*G235,3)</f>
        <v>0</v>
      </c>
      <c r="K235" s="33"/>
      <c r="L235" s="33"/>
      <c r="M235" s="33"/>
    </row>
    <row r="236" spans="1:13" ht="15.12" thickBot="1" customHeight="1">
      <c r="A236" s="33"/>
      <c r="B236" s="33"/>
      <c r="C236" s="33"/>
      <c r="D236" s="37"/>
      <c r="E236" s="8" t="s">
        <v>441</v>
      </c>
      <c r="F236" s="6">
        <v>1</v>
      </c>
      <c r="G236" s="31">
        <v>27.600</v>
      </c>
      <c r="H236" s="31"/>
      <c r="I236" s="31"/>
      <c r="J236" s="41">
        <f ca="1">ROUND(F236*G236,3)</f>
        <v>0</v>
      </c>
      <c r="K236" s="33"/>
      <c r="L236" s="33"/>
      <c r="M236" s="33"/>
    </row>
    <row r="237" spans="1:13" ht="15.12" thickBot="1" customHeight="1">
      <c r="A237" s="33"/>
      <c r="B237" s="33"/>
      <c r="C237" s="33"/>
      <c r="D237" s="37"/>
      <c r="E237" s="8" t="s">
        <v>442</v>
      </c>
      <c r="F237" s="6">
        <v>-2</v>
      </c>
      <c r="G237" s="31">
        <v>0.700</v>
      </c>
      <c r="H237" s="31"/>
      <c r="I237" s="31"/>
      <c r="J237" s="41">
        <f ca="1">ROUND(F237*G237,3)</f>
        <v>0</v>
      </c>
      <c r="K237" s="33"/>
      <c r="L237" s="33"/>
      <c r="M237" s="33"/>
    </row>
    <row r="238" spans="1:13" ht="15.12" thickBot="1" customHeight="1">
      <c r="A238" s="33"/>
      <c r="B238" s="33"/>
      <c r="C238" s="33"/>
      <c r="D238" s="37"/>
      <c r="E238" s="8"/>
      <c r="F238" s="6">
        <v>-2</v>
      </c>
      <c r="G238" s="31">
        <v>1.200</v>
      </c>
      <c r="H238" s="31"/>
      <c r="I238" s="31"/>
      <c r="J238" s="41">
        <f ca="1">ROUND(F238*G238,3)</f>
        <v>0</v>
      </c>
      <c r="K238" s="33"/>
      <c r="L238" s="33"/>
      <c r="M238" s="33"/>
    </row>
    <row r="239" spans="1:13" ht="15.12" thickBot="1" customHeight="1">
      <c r="A239" s="33"/>
      <c r="B239" s="33"/>
      <c r="C239" s="33"/>
      <c r="D239" s="37"/>
      <c r="E239" s="8"/>
      <c r="F239" s="6">
        <v>-1</v>
      </c>
      <c r="G239" s="31">
        <v>1.000</v>
      </c>
      <c r="H239" s="31"/>
      <c r="I239" s="31"/>
      <c r="J239" s="41">
        <f ca="1">ROUND(F239*G239,3)</f>
        <v>0</v>
      </c>
      <c r="K239" s="33"/>
      <c r="L239" s="33"/>
      <c r="M239" s="33"/>
    </row>
    <row r="240" spans="1:13" ht="15.12" thickBot="1" customHeight="1">
      <c r="A240" s="33"/>
      <c r="B240" s="33"/>
      <c r="C240" s="33"/>
      <c r="D240" s="37"/>
      <c r="E240" s="8"/>
      <c r="F240" s="6">
        <v>-1</v>
      </c>
      <c r="G240" s="31">
        <v>1.300</v>
      </c>
      <c r="H240" s="31"/>
      <c r="I240" s="31"/>
      <c r="J240" s="41">
        <f ca="1">ROUND(F240*G240,3)</f>
        <v>0</v>
      </c>
      <c r="K240" s="33"/>
      <c r="L240" s="33"/>
      <c r="M240" s="33"/>
    </row>
    <row r="241" spans="1:13" ht="15.12" thickBot="1" customHeight="1">
      <c r="A241" s="33"/>
      <c r="B241" s="33"/>
      <c r="C241" s="33"/>
      <c r="D241" s="37"/>
      <c r="E241" s="8" t="s">
        <v>443</v>
      </c>
      <c r="F241" s="6">
        <v>1</v>
      </c>
      <c r="G241" s="31">
        <v>17.000</v>
      </c>
      <c r="H241" s="31"/>
      <c r="I241" s="31"/>
      <c r="J241" s="41">
        <f ca="1">ROUND(F241*G241,3)</f>
        <v>0</v>
      </c>
      <c r="K241" s="33"/>
      <c r="L241" s="33"/>
      <c r="M241" s="33"/>
    </row>
    <row r="242" spans="1:13" ht="15.12" thickBot="1" customHeight="1">
      <c r="A242" s="33"/>
      <c r="B242" s="33"/>
      <c r="C242" s="33"/>
      <c r="D242" s="37"/>
      <c r="E242" s="8" t="s">
        <v>444</v>
      </c>
      <c r="F242" s="6">
        <v>-1</v>
      </c>
      <c r="G242" s="31">
        <v>1.600</v>
      </c>
      <c r="H242" s="31"/>
      <c r="I242" s="31"/>
      <c r="J242" s="41">
        <f ca="1">ROUND(F242*G242,3)</f>
        <v>0</v>
      </c>
      <c r="K242" s="33"/>
      <c r="L242" s="33"/>
      <c r="M242" s="33"/>
    </row>
    <row r="243" spans="1:13" ht="15.12" thickBot="1" customHeight="1">
      <c r="A243" s="33"/>
      <c r="B243" s="33"/>
      <c r="C243" s="33"/>
      <c r="D243" s="37"/>
      <c r="E243" s="8"/>
      <c r="F243" s="6">
        <v>-1</v>
      </c>
      <c r="G243" s="31">
        <v>3.200</v>
      </c>
      <c r="H243" s="31"/>
      <c r="I243" s="31"/>
      <c r="J243" s="41">
        <f ca="1">ROUND(F243*G243,3)</f>
        <v>0</v>
      </c>
      <c r="K243" s="33"/>
      <c r="L243" s="33"/>
      <c r="M243" s="33"/>
    </row>
    <row r="244" spans="1:13" ht="15.12" thickBot="1" customHeight="1">
      <c r="A244" s="33"/>
      <c r="B244" s="33"/>
      <c r="C244" s="33"/>
      <c r="D244" s="37"/>
      <c r="E244" s="8" t="s">
        <v>445</v>
      </c>
      <c r="F244" s="6">
        <v>1</v>
      </c>
      <c r="G244" s="31">
        <v>37.800</v>
      </c>
      <c r="H244" s="31"/>
      <c r="I244" s="31"/>
      <c r="J244" s="41">
        <f ca="1">ROUND(F244*G244,3)</f>
        <v>0</v>
      </c>
      <c r="K244" s="33"/>
      <c r="L244" s="33"/>
      <c r="M244" s="33"/>
    </row>
    <row r="245" spans="1:13" ht="15.12" thickBot="1" customHeight="1">
      <c r="A245" s="33"/>
      <c r="B245" s="33"/>
      <c r="C245" s="33"/>
      <c r="D245" s="37"/>
      <c r="E245" s="8" t="s">
        <v>446</v>
      </c>
      <c r="F245" s="6">
        <v>-1</v>
      </c>
      <c r="G245" s="31">
        <v>21.500</v>
      </c>
      <c r="H245" s="31"/>
      <c r="I245" s="31"/>
      <c r="J245" s="41">
        <f ca="1">ROUND(F245*G245,3)</f>
        <v>0</v>
      </c>
      <c r="K245" s="33"/>
      <c r="L245" s="33"/>
      <c r="M245" s="33"/>
    </row>
    <row r="246" spans="1:13" ht="15.12" thickBot="1" customHeight="1">
      <c r="A246" s="33"/>
      <c r="B246" s="33"/>
      <c r="C246" s="33"/>
      <c r="D246" s="37"/>
      <c r="E246" s="8" t="s">
        <v>447</v>
      </c>
      <c r="F246" s="6">
        <v>1</v>
      </c>
      <c r="G246" s="31">
        <v>38.600</v>
      </c>
      <c r="H246" s="31"/>
      <c r="I246" s="31"/>
      <c r="J246" s="41">
        <f ca="1">ROUND(F246*G246,3)</f>
        <v>0</v>
      </c>
      <c r="K246" s="33"/>
      <c r="L246" s="33"/>
      <c r="M246" s="33"/>
    </row>
    <row r="247" spans="1:13" ht="15.12" thickBot="1" customHeight="1">
      <c r="A247" s="33"/>
      <c r="B247" s="33"/>
      <c r="C247" s="33"/>
      <c r="D247" s="37"/>
      <c r="E247" s="8"/>
      <c r="F247" s="6">
        <v>-2</v>
      </c>
      <c r="G247" s="31">
        <v>4.800</v>
      </c>
      <c r="H247" s="31"/>
      <c r="I247" s="31"/>
      <c r="J247" s="41">
        <f ca="1">ROUND(F247*G247,3)</f>
        <v>0</v>
      </c>
      <c r="K247" s="33"/>
      <c r="L247" s="33"/>
      <c r="M247" s="33"/>
    </row>
    <row r="248" spans="1:13" ht="15.12" thickBot="1" customHeight="1">
      <c r="A248" s="33"/>
      <c r="B248" s="33"/>
      <c r="C248" s="33"/>
      <c r="D248" s="37"/>
      <c r="E248" s="8"/>
      <c r="F248" s="6">
        <v>-2</v>
      </c>
      <c r="G248" s="31">
        <v>1.800</v>
      </c>
      <c r="H248" s="31"/>
      <c r="I248" s="31"/>
      <c r="J248" s="41">
        <f ca="1">ROUND(F248*G248,3)</f>
        <v>0</v>
      </c>
      <c r="K248" s="33"/>
      <c r="L248" s="33"/>
      <c r="M248" s="33"/>
    </row>
    <row r="249" spans="1:13" ht="15.12" thickBot="1" customHeight="1">
      <c r="A249" s="33"/>
      <c r="B249" s="33"/>
      <c r="C249" s="33"/>
      <c r="D249" s="37"/>
      <c r="E249" s="8"/>
      <c r="F249" s="6">
        <v>-2</v>
      </c>
      <c r="G249" s="31">
        <v>1.000</v>
      </c>
      <c r="H249" s="31"/>
      <c r="I249" s="31"/>
      <c r="J249" s="41">
        <f ca="1">ROUND(F249*G249,3)</f>
        <v>0</v>
      </c>
      <c r="K249" s="33"/>
      <c r="L249" s="33"/>
      <c r="M249" s="33"/>
    </row>
    <row r="250" spans="1:13" ht="15.12" thickBot="1" customHeight="1">
      <c r="A250" s="33"/>
      <c r="B250" s="33"/>
      <c r="C250" s="33"/>
      <c r="D250" s="37"/>
      <c r="E250" s="8" t="s">
        <v>448</v>
      </c>
      <c r="F250" s="6">
        <v>1</v>
      </c>
      <c r="G250" s="31">
        <v>80.400</v>
      </c>
      <c r="H250" s="31"/>
      <c r="I250" s="31"/>
      <c r="J250" s="41">
        <f ca="1">ROUND(F250*G250,3)</f>
        <v>0</v>
      </c>
      <c r="K250" s="33"/>
      <c r="L250" s="33"/>
      <c r="M250" s="33"/>
    </row>
    <row r="251" spans="1:13" ht="15.12" thickBot="1" customHeight="1">
      <c r="A251" s="33"/>
      <c r="B251" s="33"/>
      <c r="C251" s="33"/>
      <c r="D251" s="37"/>
      <c r="E251" s="8" t="s">
        <v>449</v>
      </c>
      <c r="F251" s="6">
        <v>-3</v>
      </c>
      <c r="G251" s="31">
        <v>1.800</v>
      </c>
      <c r="H251" s="31"/>
      <c r="I251" s="31"/>
      <c r="J251" s="41">
        <f ca="1">ROUND(F251*G251,3)</f>
        <v>0</v>
      </c>
      <c r="K251" s="33"/>
      <c r="L251" s="33"/>
      <c r="M251" s="33"/>
    </row>
    <row r="252" spans="1:13" ht="15.12" thickBot="1" customHeight="1">
      <c r="A252" s="33"/>
      <c r="B252" s="33"/>
      <c r="C252" s="33"/>
      <c r="D252" s="37"/>
      <c r="E252" s="8"/>
      <c r="F252" s="6">
        <v>-1</v>
      </c>
      <c r="G252" s="31">
        <v>1.300</v>
      </c>
      <c r="H252" s="31"/>
      <c r="I252" s="31"/>
      <c r="J252" s="41">
        <f ca="1">ROUND(F252*G252,3)</f>
        <v>0</v>
      </c>
      <c r="K252" s="33"/>
      <c r="L252" s="33"/>
      <c r="M252" s="33"/>
    </row>
    <row r="253" spans="1:13" ht="15.12" thickBot="1" customHeight="1">
      <c r="A253" s="33"/>
      <c r="B253" s="33"/>
      <c r="C253" s="33"/>
      <c r="D253" s="37"/>
      <c r="E253" s="8"/>
      <c r="F253" s="6">
        <v>-1</v>
      </c>
      <c r="G253" s="31">
        <v>12.400</v>
      </c>
      <c r="H253" s="31"/>
      <c r="I253" s="31"/>
      <c r="J253" s="41">
        <f ca="1">ROUND(F253*G253,3)</f>
        <v>0</v>
      </c>
      <c r="K253" s="33"/>
      <c r="L253" s="33"/>
      <c r="M253" s="33"/>
    </row>
    <row r="254" spans="1:13" ht="15.12" thickBot="1" customHeight="1">
      <c r="A254" s="33"/>
      <c r="B254" s="33"/>
      <c r="C254" s="33"/>
      <c r="D254" s="37"/>
      <c r="E254" s="8"/>
      <c r="F254" s="6">
        <v>-1</v>
      </c>
      <c r="G254" s="31">
        <v>12.700</v>
      </c>
      <c r="H254" s="31"/>
      <c r="I254" s="31"/>
      <c r="J254" s="41">
        <f ca="1">ROUND(F254*G254,3)</f>
        <v>0</v>
      </c>
      <c r="K254" s="33"/>
      <c r="L254" s="33"/>
      <c r="M254" s="33"/>
    </row>
    <row r="255" spans="1:13" ht="15.12" thickBot="1" customHeight="1">
      <c r="A255" s="33"/>
      <c r="B255" s="33"/>
      <c r="C255" s="33"/>
      <c r="D255" s="37"/>
      <c r="E255" s="8"/>
      <c r="F255" s="6">
        <v>-2</v>
      </c>
      <c r="G255" s="31">
        <v>1.600</v>
      </c>
      <c r="H255" s="31"/>
      <c r="I255" s="31"/>
      <c r="J255" s="41">
        <f ca="1">ROUND(F255*G255,3)</f>
        <v>0</v>
      </c>
      <c r="K255" s="33"/>
      <c r="L255" s="33"/>
      <c r="M255" s="33"/>
    </row>
    <row r="256" spans="1:13" ht="15.12" thickBot="1" customHeight="1">
      <c r="A256" s="33"/>
      <c r="B256" s="33"/>
      <c r="C256" s="33"/>
      <c r="D256" s="37"/>
      <c r="E256" s="8"/>
      <c r="F256" s="6">
        <v>-1</v>
      </c>
      <c r="G256" s="31">
        <v>3.300</v>
      </c>
      <c r="H256" s="31"/>
      <c r="I256" s="31"/>
      <c r="J256" s="41">
        <f ca="1">ROUND(F256*G256,3)</f>
        <v>0</v>
      </c>
      <c r="K256" s="33"/>
      <c r="L256" s="33"/>
      <c r="M256" s="33"/>
    </row>
    <row r="257" spans="1:13" ht="15.12" thickBot="1" customHeight="1">
      <c r="A257" s="33"/>
      <c r="B257" s="33"/>
      <c r="C257" s="33"/>
      <c r="D257" s="37"/>
      <c r="E257" s="8"/>
      <c r="F257" s="6">
        <v>-4</v>
      </c>
      <c r="G257" s="31">
        <v>0.850</v>
      </c>
      <c r="H257" s="31"/>
      <c r="I257" s="31"/>
      <c r="J257" s="41">
        <f ca="1">ROUND(F257*G257,3)</f>
        <v>0</v>
      </c>
      <c r="K257" s="33"/>
      <c r="L257" s="33"/>
      <c r="M257" s="33"/>
    </row>
    <row r="258" spans="1:13" ht="15.12" thickBot="1" customHeight="1">
      <c r="A258" s="33"/>
      <c r="B258" s="33"/>
      <c r="C258" s="33"/>
      <c r="D258" s="37"/>
      <c r="E258" s="8" t="s">
        <v>450</v>
      </c>
      <c r="F258" s="6">
        <v>1</v>
      </c>
      <c r="G258" s="31">
        <v>6.500</v>
      </c>
      <c r="H258" s="31"/>
      <c r="I258" s="31"/>
      <c r="J258" s="41">
        <f ca="1">ROUND(F258*G258,3)</f>
        <v>0</v>
      </c>
      <c r="K258" s="43">
        <f ca="1">SUM(J217:J258)</f>
        <v>0</v>
      </c>
      <c r="L258" s="33"/>
      <c r="M258" s="33"/>
    </row>
    <row r="259" spans="1:13" ht="15.48" thickBot="1" customHeight="1">
      <c r="A259" s="15" t="s">
        <v>451</v>
      </c>
      <c r="B259" s="8" t="s">
        <v>452</v>
      </c>
      <c r="C259" s="8" t="s">
        <v>453</v>
      </c>
      <c r="D259" s="30" t="s">
        <v>454</v>
      </c>
      <c r="E259" s="30"/>
      <c r="F259" s="30"/>
      <c r="G259" s="30"/>
      <c r="H259" s="30"/>
      <c r="I259" s="30"/>
      <c r="J259" s="30"/>
      <c r="K259" s="31">
        <f ca="1">SUM(K262:K262)</f>
        <v>0</v>
      </c>
      <c r="L259" s="32">
        <f ca="1">ROUND(19.960*(1+M2/100),2)</f>
        <v>0</v>
      </c>
      <c r="M259" s="32">
        <f ca="1">ROUND(K259*L259,2)</f>
        <v>0</v>
      </c>
    </row>
    <row r="260" spans="1:13" ht="86.04" thickBot="1" customHeight="1">
      <c r="A260" s="33"/>
      <c r="B260" s="33"/>
      <c r="C260" s="33"/>
      <c r="D260" s="30" t="s">
        <v>455</v>
      </c>
      <c r="E260" s="30"/>
      <c r="F260" s="30"/>
      <c r="G260" s="30"/>
      <c r="H260" s="30"/>
      <c r="I260" s="30"/>
      <c r="J260" s="30"/>
      <c r="K260" s="30"/>
      <c r="L260" s="30"/>
      <c r="M260" s="30"/>
    </row>
    <row r="261" spans="1:13" ht="15.12" thickBot="1" customHeight="1">
      <c r="A261" s="33"/>
      <c r="B261" s="33"/>
      <c r="C261" s="33"/>
      <c r="D261" s="33"/>
      <c r="E261" s="34"/>
      <c r="F261" s="36" t="s">
        <v>456</v>
      </c>
      <c r="G261" s="36" t="s">
        <v>457</v>
      </c>
      <c r="H261" s="36" t="s">
        <v>458</v>
      </c>
      <c r="I261" s="36" t="s">
        <v>459</v>
      </c>
      <c r="J261" s="36" t="s">
        <v>460</v>
      </c>
      <c r="K261" s="36" t="s">
        <v>461</v>
      </c>
      <c r="L261" s="33"/>
      <c r="M261" s="33"/>
    </row>
    <row r="262" spans="1:13" ht="15.12" thickBot="1" customHeight="1">
      <c r="A262" s="33"/>
      <c r="B262" s="33"/>
      <c r="C262" s="33"/>
      <c r="D262" s="37"/>
      <c r="E262" s="38" t="s">
        <v>462</v>
      </c>
      <c r="F262" s="39">
        <v>1.5</v>
      </c>
      <c r="G262" s="40">
        <v>145.000</v>
      </c>
      <c r="H262" s="40"/>
      <c r="I262" s="40"/>
      <c r="J262" s="42">
        <f ca="1">ROUND(F262*G262,3)</f>
        <v>0</v>
      </c>
      <c r="K262" s="44">
        <f ca="1">SUM(J262:J262)</f>
        <v>0</v>
      </c>
      <c r="L262" s="33"/>
      <c r="M262" s="33"/>
    </row>
    <row r="263" spans="1:13" ht="15.48" thickBot="1" customHeight="1">
      <c r="A263" s="15" t="s">
        <v>463</v>
      </c>
      <c r="B263" s="8" t="s">
        <v>464</v>
      </c>
      <c r="C263" s="8" t="s">
        <v>465</v>
      </c>
      <c r="D263" s="30" t="s">
        <v>466</v>
      </c>
      <c r="E263" s="30"/>
      <c r="F263" s="30"/>
      <c r="G263" s="30"/>
      <c r="H263" s="30"/>
      <c r="I263" s="30"/>
      <c r="J263" s="30"/>
      <c r="K263" s="31">
        <f ca="1">SUM(K266:K277)</f>
        <v>0</v>
      </c>
      <c r="L263" s="32">
        <f ca="1">ROUND(73.680*(1+M2/100),2)</f>
        <v>0</v>
      </c>
      <c r="M263" s="32">
        <f ca="1">ROUND(K263*L263,2)</f>
        <v>0</v>
      </c>
    </row>
    <row r="264" spans="1:13" ht="58.32" thickBot="1" customHeight="1">
      <c r="A264" s="33"/>
      <c r="B264" s="33"/>
      <c r="C264" s="33"/>
      <c r="D264" s="30" t="s">
        <v>467</v>
      </c>
      <c r="E264" s="30"/>
      <c r="F264" s="30"/>
      <c r="G264" s="30"/>
      <c r="H264" s="30"/>
      <c r="I264" s="30"/>
      <c r="J264" s="30"/>
      <c r="K264" s="30"/>
      <c r="L264" s="30"/>
      <c r="M264" s="30"/>
    </row>
    <row r="265" spans="1:13" ht="15.12" thickBot="1" customHeight="1">
      <c r="A265" s="33"/>
      <c r="B265" s="33"/>
      <c r="C265" s="33"/>
      <c r="D265" s="33"/>
      <c r="E265" s="34"/>
      <c r="F265" s="36" t="s">
        <v>468</v>
      </c>
      <c r="G265" s="36" t="s">
        <v>469</v>
      </c>
      <c r="H265" s="36" t="s">
        <v>470</v>
      </c>
      <c r="I265" s="36" t="s">
        <v>471</v>
      </c>
      <c r="J265" s="36" t="s">
        <v>472</v>
      </c>
      <c r="K265" s="36" t="s">
        <v>473</v>
      </c>
      <c r="L265" s="33"/>
      <c r="M265" s="33"/>
    </row>
    <row r="266" spans="1:13" ht="15.12" thickBot="1" customHeight="1">
      <c r="A266" s="33"/>
      <c r="B266" s="33"/>
      <c r="C266" s="33"/>
      <c r="D266" s="37"/>
      <c r="E266" s="38" t="s">
        <v>474</v>
      </c>
      <c r="F266" s="39">
        <v>1</v>
      </c>
      <c r="G266" s="40">
        <v>17.780</v>
      </c>
      <c r="H266" s="40"/>
      <c r="I266" s="40">
        <v>2.200</v>
      </c>
      <c r="J266" s="42">
        <f ca="1">ROUND(F266*G266*I266,3)</f>
        <v>0</v>
      </c>
      <c r="K266" s="45"/>
      <c r="L266" s="33"/>
      <c r="M266" s="33"/>
    </row>
    <row r="267" spans="1:13" ht="15.12" thickBot="1" customHeight="1">
      <c r="A267" s="33"/>
      <c r="B267" s="33"/>
      <c r="C267" s="33"/>
      <c r="D267" s="37"/>
      <c r="E267" s="8" t="s">
        <v>475</v>
      </c>
      <c r="F267" s="6">
        <v>1</v>
      </c>
      <c r="G267" s="31">
        <v>6.100</v>
      </c>
      <c r="H267" s="31"/>
      <c r="I267" s="31">
        <v>5.400</v>
      </c>
      <c r="J267" s="41">
        <f ca="1">ROUND(F267*G267*I267,3)</f>
        <v>0</v>
      </c>
      <c r="K267" s="33"/>
      <c r="L267" s="33"/>
      <c r="M267" s="33"/>
    </row>
    <row r="268" spans="1:13" ht="15.12" thickBot="1" customHeight="1">
      <c r="A268" s="33"/>
      <c r="B268" s="33"/>
      <c r="C268" s="33"/>
      <c r="D268" s="37"/>
      <c r="E268" s="8" t="s">
        <v>476</v>
      </c>
      <c r="F268" s="6">
        <v>1</v>
      </c>
      <c r="G268" s="31">
        <v>17.900</v>
      </c>
      <c r="H268" s="31"/>
      <c r="I268" s="31">
        <v>2.200</v>
      </c>
      <c r="J268" s="41">
        <f ca="1">ROUND(F268*G268*I268,3)</f>
        <v>0</v>
      </c>
      <c r="K268" s="33"/>
      <c r="L268" s="33"/>
      <c r="M268" s="33"/>
    </row>
    <row r="269" spans="1:13" ht="15.12" thickBot="1" customHeight="1">
      <c r="A269" s="33"/>
      <c r="B269" s="33"/>
      <c r="C269" s="33"/>
      <c r="D269" s="37"/>
      <c r="E269" s="8" t="s">
        <v>477</v>
      </c>
      <c r="F269" s="6">
        <v>1</v>
      </c>
      <c r="G269" s="31">
        <v>5.500</v>
      </c>
      <c r="H269" s="31"/>
      <c r="I269" s="31">
        <v>5.250</v>
      </c>
      <c r="J269" s="41">
        <f ca="1">ROUND(F269*G269*I269,3)</f>
        <v>0</v>
      </c>
      <c r="K269" s="33"/>
      <c r="L269" s="33"/>
      <c r="M269" s="33"/>
    </row>
    <row r="270" spans="1:13" ht="15.12" thickBot="1" customHeight="1">
      <c r="A270" s="33"/>
      <c r="B270" s="33"/>
      <c r="C270" s="33"/>
      <c r="D270" s="37"/>
      <c r="E270" s="8" t="s">
        <v>478</v>
      </c>
      <c r="F270" s="6">
        <v>1</v>
      </c>
      <c r="G270" s="31">
        <v>7.700</v>
      </c>
      <c r="H270" s="31"/>
      <c r="I270" s="31">
        <v>3.410</v>
      </c>
      <c r="J270" s="41">
        <f ca="1">ROUND(F270*G270*I270,3)</f>
        <v>0</v>
      </c>
      <c r="K270" s="33"/>
      <c r="L270" s="33"/>
      <c r="M270" s="33"/>
    </row>
    <row r="271" spans="1:13" ht="15.12" thickBot="1" customHeight="1">
      <c r="A271" s="33"/>
      <c r="B271" s="33"/>
      <c r="C271" s="33"/>
      <c r="D271" s="37"/>
      <c r="E271" s="8" t="s">
        <v>479</v>
      </c>
      <c r="F271" s="6">
        <v>1</v>
      </c>
      <c r="G271" s="31">
        <v>26.000</v>
      </c>
      <c r="H271" s="31"/>
      <c r="I271" s="31">
        <v>3.660</v>
      </c>
      <c r="J271" s="41">
        <f ca="1">ROUND(F271*G271*I271,3)</f>
        <v>0</v>
      </c>
      <c r="K271" s="33"/>
      <c r="L271" s="33"/>
      <c r="M271" s="33"/>
    </row>
    <row r="272" spans="1:13" ht="15.12" thickBot="1" customHeight="1">
      <c r="A272" s="33"/>
      <c r="B272" s="33"/>
      <c r="C272" s="33"/>
      <c r="D272" s="37"/>
      <c r="E272" s="8" t="s">
        <v>480</v>
      </c>
      <c r="F272" s="6">
        <v>1.5</v>
      </c>
      <c r="G272" s="31">
        <v>50.100</v>
      </c>
      <c r="H272" s="31"/>
      <c r="I272" s="31"/>
      <c r="J272" s="41">
        <f ca="1">ROUND(F272*G272,3)</f>
        <v>0</v>
      </c>
      <c r="K272" s="33"/>
      <c r="L272" s="33"/>
      <c r="M272" s="33"/>
    </row>
    <row r="273" spans="1:13" ht="15.12" thickBot="1" customHeight="1">
      <c r="A273" s="33"/>
      <c r="B273" s="33"/>
      <c r="C273" s="33"/>
      <c r="D273" s="37"/>
      <c r="E273" s="8" t="s">
        <v>481</v>
      </c>
      <c r="F273" s="6">
        <v>1</v>
      </c>
      <c r="G273" s="31">
        <v>19.500</v>
      </c>
      <c r="H273" s="31"/>
      <c r="I273" s="31">
        <v>2.850</v>
      </c>
      <c r="J273" s="41">
        <f ca="1">ROUND(F273*G273*I273,3)</f>
        <v>0</v>
      </c>
      <c r="K273" s="33"/>
      <c r="L273" s="33"/>
      <c r="M273" s="33"/>
    </row>
    <row r="274" spans="1:13" ht="15.12" thickBot="1" customHeight="1">
      <c r="A274" s="33"/>
      <c r="B274" s="33"/>
      <c r="C274" s="33"/>
      <c r="D274" s="37"/>
      <c r="E274" s="8" t="s">
        <v>482</v>
      </c>
      <c r="F274" s="6">
        <v>1.5</v>
      </c>
      <c r="G274" s="31">
        <v>19.700</v>
      </c>
      <c r="H274" s="31"/>
      <c r="I274" s="31"/>
      <c r="J274" s="41">
        <f ca="1">ROUND(F274*G274,3)</f>
        <v>0</v>
      </c>
      <c r="K274" s="33"/>
      <c r="L274" s="33"/>
      <c r="M274" s="33"/>
    </row>
    <row r="275" spans="1:13" ht="15.12" thickBot="1" customHeight="1">
      <c r="A275" s="33"/>
      <c r="B275" s="33"/>
      <c r="C275" s="33"/>
      <c r="D275" s="37"/>
      <c r="E275" s="8" t="s">
        <v>483</v>
      </c>
      <c r="F275" s="6">
        <v>1</v>
      </c>
      <c r="G275" s="31">
        <v>19.800</v>
      </c>
      <c r="H275" s="31"/>
      <c r="I275" s="31">
        <v>2.850</v>
      </c>
      <c r="J275" s="41">
        <f ca="1">ROUND(F275*G275*I275,3)</f>
        <v>0</v>
      </c>
      <c r="K275" s="33"/>
      <c r="L275" s="33"/>
      <c r="M275" s="33"/>
    </row>
    <row r="276" spans="1:13" ht="15.12" thickBot="1" customHeight="1">
      <c r="A276" s="33"/>
      <c r="B276" s="33"/>
      <c r="C276" s="33"/>
      <c r="D276" s="37"/>
      <c r="E276" s="8" t="s">
        <v>484</v>
      </c>
      <c r="F276" s="6">
        <v>1.5</v>
      </c>
      <c r="G276" s="31">
        <v>20.200</v>
      </c>
      <c r="H276" s="31"/>
      <c r="I276" s="31"/>
      <c r="J276" s="41">
        <f ca="1">ROUND(F276*G276,3)</f>
        <v>0</v>
      </c>
      <c r="K276" s="33"/>
      <c r="L276" s="33"/>
      <c r="M276" s="33"/>
    </row>
    <row r="277" spans="1:13" ht="15.12" thickBot="1" customHeight="1">
      <c r="A277" s="33"/>
      <c r="B277" s="33"/>
      <c r="C277" s="33"/>
      <c r="D277" s="37"/>
      <c r="E277" s="8" t="s">
        <v>485</v>
      </c>
      <c r="F277" s="6">
        <v>1</v>
      </c>
      <c r="G277" s="31">
        <v>6.800</v>
      </c>
      <c r="H277" s="31"/>
      <c r="I277" s="31">
        <v>3.000</v>
      </c>
      <c r="J277" s="41">
        <f ca="1">ROUND(F277*G277*I277,3)</f>
        <v>0</v>
      </c>
      <c r="K277" s="43">
        <f ca="1">SUM(J266:J277)</f>
        <v>0</v>
      </c>
      <c r="L277" s="33"/>
      <c r="M277" s="33"/>
    </row>
    <row r="278" spans="1:13" ht="15.48" thickBot="1" customHeight="1">
      <c r="A278" s="15" t="s">
        <v>486</v>
      </c>
      <c r="B278" s="8" t="s">
        <v>487</v>
      </c>
      <c r="C278" s="8" t="s">
        <v>488</v>
      </c>
      <c r="D278" s="30" t="s">
        <v>489</v>
      </c>
      <c r="E278" s="30"/>
      <c r="F278" s="30"/>
      <c r="G278" s="30"/>
      <c r="H278" s="30"/>
      <c r="I278" s="30"/>
      <c r="J278" s="30"/>
      <c r="K278" s="31">
        <f ca="1">SUM(K281:K283)</f>
        <v>0</v>
      </c>
      <c r="L278" s="32">
        <f ca="1">ROUND(20.050*(1+M2/100),2)</f>
        <v>0</v>
      </c>
      <c r="M278" s="32">
        <f ca="1">ROUND(K278*L278,2)</f>
        <v>0</v>
      </c>
    </row>
    <row r="279" spans="1:13" ht="67.56" thickBot="1" customHeight="1">
      <c r="A279" s="33"/>
      <c r="B279" s="33"/>
      <c r="C279" s="33"/>
      <c r="D279" s="30" t="s">
        <v>490</v>
      </c>
      <c r="E279" s="30"/>
      <c r="F279" s="30"/>
      <c r="G279" s="30"/>
      <c r="H279" s="30"/>
      <c r="I279" s="30"/>
      <c r="J279" s="30"/>
      <c r="K279" s="30"/>
      <c r="L279" s="30"/>
      <c r="M279" s="30"/>
    </row>
    <row r="280" spans="1:13" ht="15.12" thickBot="1" customHeight="1">
      <c r="A280" s="33"/>
      <c r="B280" s="33"/>
      <c r="C280" s="33"/>
      <c r="D280" s="33"/>
      <c r="E280" s="34"/>
      <c r="F280" s="36" t="s">
        <v>491</v>
      </c>
      <c r="G280" s="36" t="s">
        <v>492</v>
      </c>
      <c r="H280" s="36" t="s">
        <v>493</v>
      </c>
      <c r="I280" s="36" t="s">
        <v>494</v>
      </c>
      <c r="J280" s="36" t="s">
        <v>495</v>
      </c>
      <c r="K280" s="36" t="s">
        <v>496</v>
      </c>
      <c r="L280" s="33"/>
      <c r="M280" s="33"/>
    </row>
    <row r="281" spans="1:13" ht="15.12" thickBot="1" customHeight="1">
      <c r="A281" s="33"/>
      <c r="B281" s="33"/>
      <c r="C281" s="33"/>
      <c r="D281" s="37"/>
      <c r="E281" s="38" t="s">
        <v>497</v>
      </c>
      <c r="F281" s="39">
        <v>1</v>
      </c>
      <c r="G281" s="40">
        <v>2.000</v>
      </c>
      <c r="H281" s="40"/>
      <c r="I281" s="40">
        <v>0.900</v>
      </c>
      <c r="J281" s="42">
        <f ca="1">ROUND(F281*G281*I281,3)</f>
        <v>0</v>
      </c>
      <c r="K281" s="45"/>
      <c r="L281" s="33"/>
      <c r="M281" s="33"/>
    </row>
    <row r="282" spans="1:13" ht="21.36" thickBot="1" customHeight="1">
      <c r="A282" s="33"/>
      <c r="B282" s="33"/>
      <c r="C282" s="33"/>
      <c r="D282" s="37"/>
      <c r="E282" s="8" t="s">
        <v>498</v>
      </c>
      <c r="F282" s="6">
        <v>4</v>
      </c>
      <c r="G282" s="31">
        <v>0.450</v>
      </c>
      <c r="H282" s="31"/>
      <c r="I282" s="31">
        <v>5.600</v>
      </c>
      <c r="J282" s="41">
        <f ca="1">ROUND(F282*G282*I282,3)</f>
        <v>0</v>
      </c>
      <c r="K282" s="33"/>
      <c r="L282" s="33"/>
      <c r="M282" s="33"/>
    </row>
    <row r="283" spans="1:13" ht="15.12" thickBot="1" customHeight="1">
      <c r="A283" s="33"/>
      <c r="B283" s="33"/>
      <c r="C283" s="33"/>
      <c r="D283" s="37"/>
      <c r="E283" s="8"/>
      <c r="F283" s="6">
        <v>4</v>
      </c>
      <c r="G283" s="31">
        <v>0.450</v>
      </c>
      <c r="H283" s="31"/>
      <c r="I283" s="31">
        <v>3.700</v>
      </c>
      <c r="J283" s="41">
        <f ca="1">ROUND(F283*G283*I283,3)</f>
        <v>0</v>
      </c>
      <c r="K283" s="43">
        <f ca="1">SUM(J281:J283)</f>
        <v>0</v>
      </c>
      <c r="L283" s="33"/>
      <c r="M283" s="33"/>
    </row>
    <row r="284" spans="1:13" ht="15.48" thickBot="1" customHeight="1">
      <c r="A284" s="15" t="s">
        <v>499</v>
      </c>
      <c r="B284" s="8" t="s">
        <v>500</v>
      </c>
      <c r="C284" s="8" t="s">
        <v>501</v>
      </c>
      <c r="D284" s="30" t="s">
        <v>502</v>
      </c>
      <c r="E284" s="30"/>
      <c r="F284" s="30"/>
      <c r="G284" s="30"/>
      <c r="H284" s="30"/>
      <c r="I284" s="30"/>
      <c r="J284" s="30"/>
      <c r="K284" s="31">
        <f ca="1">SUM(K287:K287)</f>
        <v>0</v>
      </c>
      <c r="L284" s="32">
        <f ca="1">ROUND(88.250*(1+M2/100),2)</f>
        <v>0</v>
      </c>
      <c r="M284" s="32">
        <f ca="1">ROUND(K284*L284,2)</f>
        <v>0</v>
      </c>
    </row>
    <row r="285" spans="1:13" ht="76.80" thickBot="1" customHeight="1">
      <c r="A285" s="33"/>
      <c r="B285" s="33"/>
      <c r="C285" s="33"/>
      <c r="D285" s="30" t="s">
        <v>503</v>
      </c>
      <c r="E285" s="30"/>
      <c r="F285" s="30"/>
      <c r="G285" s="30"/>
      <c r="H285" s="30"/>
      <c r="I285" s="30"/>
      <c r="J285" s="30"/>
      <c r="K285" s="30"/>
      <c r="L285" s="30"/>
      <c r="M285" s="30"/>
    </row>
    <row r="286" spans="1:13" ht="15.12" thickBot="1" customHeight="1">
      <c r="A286" s="33"/>
      <c r="B286" s="33"/>
      <c r="C286" s="33"/>
      <c r="D286" s="33"/>
      <c r="E286" s="34"/>
      <c r="F286" s="36" t="s">
        <v>504</v>
      </c>
      <c r="G286" s="36" t="s">
        <v>505</v>
      </c>
      <c r="H286" s="36" t="s">
        <v>506</v>
      </c>
      <c r="I286" s="36" t="s">
        <v>507</v>
      </c>
      <c r="J286" s="36" t="s">
        <v>508</v>
      </c>
      <c r="K286" s="36" t="s">
        <v>509</v>
      </c>
      <c r="L286" s="33"/>
      <c r="M286" s="33"/>
    </row>
    <row r="287" spans="1:13" ht="21.36" thickBot="1" customHeight="1">
      <c r="A287" s="33"/>
      <c r="B287" s="33"/>
      <c r="C287" s="33"/>
      <c r="D287" s="37"/>
      <c r="E287" s="38" t="s">
        <v>510</v>
      </c>
      <c r="F287" s="39">
        <v>1</v>
      </c>
      <c r="G287" s="40">
        <v>15.860</v>
      </c>
      <c r="H287" s="40"/>
      <c r="I287" s="40"/>
      <c r="J287" s="42">
        <f ca="1">ROUND(F287*G287,3)</f>
        <v>0</v>
      </c>
      <c r="K287" s="44">
        <f ca="1">SUM(J287:J287)</f>
        <v>0</v>
      </c>
      <c r="L287" s="33"/>
      <c r="M287" s="33"/>
    </row>
    <row r="288" spans="1:13" ht="15.48" thickBot="1" customHeight="1">
      <c r="A288" s="15" t="s">
        <v>511</v>
      </c>
      <c r="B288" s="8" t="s">
        <v>512</v>
      </c>
      <c r="C288" s="8" t="s">
        <v>513</v>
      </c>
      <c r="D288" s="30" t="s">
        <v>514</v>
      </c>
      <c r="E288" s="30"/>
      <c r="F288" s="30"/>
      <c r="G288" s="30"/>
      <c r="H288" s="30"/>
      <c r="I288" s="30"/>
      <c r="J288" s="30"/>
      <c r="K288" s="31">
        <f ca="1">SUM(K291:K291)</f>
        <v>0</v>
      </c>
      <c r="L288" s="32">
        <f ca="1">ROUND(34.740*(1+M2/100),2)</f>
        <v>0</v>
      </c>
      <c r="M288" s="32">
        <f ca="1">ROUND(K288*L288,2)</f>
        <v>0</v>
      </c>
    </row>
    <row r="289" spans="1:13" ht="76.80" thickBot="1" customHeight="1">
      <c r="A289" s="33"/>
      <c r="B289" s="33"/>
      <c r="C289" s="33"/>
      <c r="D289" s="30" t="s">
        <v>515</v>
      </c>
      <c r="E289" s="30"/>
      <c r="F289" s="30"/>
      <c r="G289" s="30"/>
      <c r="H289" s="30"/>
      <c r="I289" s="30"/>
      <c r="J289" s="30"/>
      <c r="K289" s="30"/>
      <c r="L289" s="30"/>
      <c r="M289" s="30"/>
    </row>
    <row r="290" spans="1:13" ht="15.12" thickBot="1" customHeight="1">
      <c r="A290" s="33"/>
      <c r="B290" s="33"/>
      <c r="C290" s="33"/>
      <c r="D290" s="33"/>
      <c r="E290" s="34"/>
      <c r="F290" s="36" t="s">
        <v>516</v>
      </c>
      <c r="G290" s="36" t="s">
        <v>517</v>
      </c>
      <c r="H290" s="36" t="s">
        <v>518</v>
      </c>
      <c r="I290" s="36" t="s">
        <v>519</v>
      </c>
      <c r="J290" s="36" t="s">
        <v>520</v>
      </c>
      <c r="K290" s="36" t="s">
        <v>521</v>
      </c>
      <c r="L290" s="33"/>
      <c r="M290" s="33"/>
    </row>
    <row r="291" spans="1:13" ht="21.36" thickBot="1" customHeight="1">
      <c r="A291" s="33"/>
      <c r="B291" s="33"/>
      <c r="C291" s="33"/>
      <c r="D291" s="37"/>
      <c r="E291" s="38" t="s">
        <v>522</v>
      </c>
      <c r="F291" s="39">
        <v>1</v>
      </c>
      <c r="G291" s="40">
        <v>62.720</v>
      </c>
      <c r="H291" s="40"/>
      <c r="I291" s="40"/>
      <c r="J291" s="42">
        <f ca="1">ROUND(F291*G291,3)</f>
        <v>0</v>
      </c>
      <c r="K291" s="44">
        <f ca="1">SUM(J291:J291)</f>
        <v>0</v>
      </c>
      <c r="L291" s="33"/>
      <c r="M291" s="33"/>
    </row>
    <row r="292" spans="1:13" ht="15.48" thickBot="1" customHeight="1">
      <c r="A292" s="15" t="s">
        <v>523</v>
      </c>
      <c r="B292" s="8" t="s">
        <v>524</v>
      </c>
      <c r="C292" s="8" t="s">
        <v>525</v>
      </c>
      <c r="D292" s="30" t="s">
        <v>526</v>
      </c>
      <c r="E292" s="30"/>
      <c r="F292" s="30"/>
      <c r="G292" s="30"/>
      <c r="H292" s="30"/>
      <c r="I292" s="30"/>
      <c r="J292" s="30"/>
      <c r="K292" s="31">
        <f ca="1">SUM(K295:K300)</f>
        <v>0</v>
      </c>
      <c r="L292" s="32">
        <f ca="1">ROUND(32.900*(1+M2/100),2)</f>
        <v>0</v>
      </c>
      <c r="M292" s="32">
        <f ca="1">ROUND(K292*L292,2)</f>
        <v>0</v>
      </c>
    </row>
    <row r="293" spans="1:13" ht="67.56" thickBot="1" customHeight="1">
      <c r="A293" s="33"/>
      <c r="B293" s="33"/>
      <c r="C293" s="33"/>
      <c r="D293" s="30" t="s">
        <v>527</v>
      </c>
      <c r="E293" s="30"/>
      <c r="F293" s="30"/>
      <c r="G293" s="30"/>
      <c r="H293" s="30"/>
      <c r="I293" s="30"/>
      <c r="J293" s="30"/>
      <c r="K293" s="30"/>
      <c r="L293" s="30"/>
      <c r="M293" s="30"/>
    </row>
    <row r="294" spans="1:13" ht="15.12" thickBot="1" customHeight="1">
      <c r="A294" s="33"/>
      <c r="B294" s="33"/>
      <c r="C294" s="33"/>
      <c r="D294" s="33"/>
      <c r="E294" s="34"/>
      <c r="F294" s="36" t="s">
        <v>528</v>
      </c>
      <c r="G294" s="36" t="s">
        <v>529</v>
      </c>
      <c r="H294" s="36" t="s">
        <v>530</v>
      </c>
      <c r="I294" s="36" t="s">
        <v>531</v>
      </c>
      <c r="J294" s="36" t="s">
        <v>532</v>
      </c>
      <c r="K294" s="36" t="s">
        <v>533</v>
      </c>
      <c r="L294" s="33"/>
      <c r="M294" s="33"/>
    </row>
    <row r="295" spans="1:13" ht="15.12" thickBot="1" customHeight="1">
      <c r="A295" s="33"/>
      <c r="B295" s="33"/>
      <c r="C295" s="33"/>
      <c r="D295" s="37"/>
      <c r="E295" s="38" t="s">
        <v>534</v>
      </c>
      <c r="F295" s="39">
        <v>1</v>
      </c>
      <c r="G295" s="40">
        <v>4.000</v>
      </c>
      <c r="H295" s="40"/>
      <c r="I295" s="40"/>
      <c r="J295" s="42">
        <f ca="1">ROUND(F295*G295,3)</f>
        <v>0</v>
      </c>
      <c r="K295" s="45"/>
      <c r="L295" s="33"/>
      <c r="M295" s="33"/>
    </row>
    <row r="296" spans="1:13" ht="15.12" thickBot="1" customHeight="1">
      <c r="A296" s="33"/>
      <c r="B296" s="33"/>
      <c r="C296" s="33"/>
      <c r="D296" s="37"/>
      <c r="E296" s="8"/>
      <c r="F296" s="6">
        <v>1</v>
      </c>
      <c r="G296" s="31">
        <v>2.400</v>
      </c>
      <c r="H296" s="31"/>
      <c r="I296" s="31"/>
      <c r="J296" s="41">
        <f ca="1">ROUND(F296*G296,3)</f>
        <v>0</v>
      </c>
      <c r="K296" s="33"/>
      <c r="L296" s="33"/>
      <c r="M296" s="33"/>
    </row>
    <row r="297" spans="1:13" ht="15.12" thickBot="1" customHeight="1">
      <c r="A297" s="33"/>
      <c r="B297" s="33"/>
      <c r="C297" s="33"/>
      <c r="D297" s="37"/>
      <c r="E297" s="8" t="s">
        <v>535</v>
      </c>
      <c r="F297" s="6">
        <v>1</v>
      </c>
      <c r="G297" s="31">
        <v>85.800</v>
      </c>
      <c r="H297" s="31"/>
      <c r="I297" s="31"/>
      <c r="J297" s="41">
        <f ca="1">ROUND(F297*G297,3)</f>
        <v>0</v>
      </c>
      <c r="K297" s="33"/>
      <c r="L297" s="33"/>
      <c r="M297" s="33"/>
    </row>
    <row r="298" spans="1:13" ht="15.12" thickBot="1" customHeight="1">
      <c r="A298" s="33"/>
      <c r="B298" s="33"/>
      <c r="C298" s="33"/>
      <c r="D298" s="37"/>
      <c r="E298" s="8" t="s">
        <v>536</v>
      </c>
      <c r="F298" s="6">
        <v>1</v>
      </c>
      <c r="G298" s="31">
        <v>20.200</v>
      </c>
      <c r="H298" s="31"/>
      <c r="I298" s="31"/>
      <c r="J298" s="41">
        <f ca="1">ROUND(F298*G298,3)</f>
        <v>0</v>
      </c>
      <c r="K298" s="33"/>
      <c r="L298" s="33"/>
      <c r="M298" s="33"/>
    </row>
    <row r="299" spans="1:13" ht="15.12" thickBot="1" customHeight="1">
      <c r="A299" s="33"/>
      <c r="B299" s="33"/>
      <c r="C299" s="33"/>
      <c r="D299" s="37"/>
      <c r="E299" s="8" t="s">
        <v>537</v>
      </c>
      <c r="F299" s="6">
        <v>1</v>
      </c>
      <c r="G299" s="31">
        <v>19.700</v>
      </c>
      <c r="H299" s="31"/>
      <c r="I299" s="31"/>
      <c r="J299" s="41">
        <f ca="1">ROUND(F299*G299,3)</f>
        <v>0</v>
      </c>
      <c r="K299" s="33"/>
      <c r="L299" s="33"/>
      <c r="M299" s="33"/>
    </row>
    <row r="300" spans="1:13" ht="15.12" thickBot="1" customHeight="1">
      <c r="A300" s="33"/>
      <c r="B300" s="33"/>
      <c r="C300" s="33"/>
      <c r="D300" s="37"/>
      <c r="E300" s="8" t="s">
        <v>538</v>
      </c>
      <c r="F300" s="6">
        <v>1</v>
      </c>
      <c r="G300" s="31">
        <v>1.300</v>
      </c>
      <c r="H300" s="31"/>
      <c r="I300" s="31"/>
      <c r="J300" s="41">
        <f ca="1">ROUND(F300*G300,3)</f>
        <v>0</v>
      </c>
      <c r="K300" s="43">
        <f ca="1">SUM(J295:J300)</f>
        <v>0</v>
      </c>
      <c r="L300" s="33"/>
      <c r="M300" s="33"/>
    </row>
    <row r="301" spans="1:13" ht="15.48" thickBot="1" customHeight="1">
      <c r="A301" s="46"/>
      <c r="B301" s="46"/>
      <c r="C301" s="46"/>
      <c r="D301" s="47" t="s">
        <v>539</v>
      </c>
      <c r="E301" s="48"/>
      <c r="F301" s="48"/>
      <c r="G301" s="48"/>
      <c r="H301" s="48"/>
      <c r="I301" s="48"/>
      <c r="J301" s="48"/>
      <c r="K301" s="48"/>
      <c r="L301" s="49">
        <f ca="1">M212+M214+M259+M263+M278+M284+M288+M292</f>
        <v>0</v>
      </c>
      <c r="M301" s="49">
        <f ca="1">ROUND(L301,2)</f>
        <v>0</v>
      </c>
    </row>
    <row r="302" spans="1:13" ht="15.48" thickBot="1" customHeight="1">
      <c r="A302" s="50" t="s">
        <v>540</v>
      </c>
      <c r="B302" s="50" t="s">
        <v>541</v>
      </c>
      <c r="C302" s="51"/>
      <c r="D302" s="52" t="s">
        <v>542</v>
      </c>
      <c r="E302" s="52"/>
      <c r="F302" s="52"/>
      <c r="G302" s="52"/>
      <c r="H302" s="52"/>
      <c r="I302" s="52"/>
      <c r="J302" s="52"/>
      <c r="K302" s="51"/>
      <c r="L302" s="53">
        <f ca="1">L329</f>
        <v>0</v>
      </c>
      <c r="M302" s="53">
        <f ca="1">ROUND(L302,2)</f>
        <v>0</v>
      </c>
    </row>
    <row r="303" spans="1:13" ht="15.48" thickBot="1" customHeight="1">
      <c r="A303" s="15" t="s">
        <v>543</v>
      </c>
      <c r="B303" s="8" t="s">
        <v>544</v>
      </c>
      <c r="C303" s="8" t="s">
        <v>545</v>
      </c>
      <c r="D303" s="30" t="s">
        <v>546</v>
      </c>
      <c r="E303" s="30"/>
      <c r="F303" s="30"/>
      <c r="G303" s="30"/>
      <c r="H303" s="30"/>
      <c r="I303" s="30"/>
      <c r="J303" s="30"/>
      <c r="K303" s="31">
        <f ca="1">ROUND(1.00,2)</f>
        <v>0</v>
      </c>
      <c r="L303" s="32">
        <f ca="1">ROUND(25.370*(1+M2/100),2)</f>
        <v>0</v>
      </c>
      <c r="M303" s="32">
        <f ca="1">ROUND(K303*L303,2)</f>
        <v>0</v>
      </c>
    </row>
    <row r="304" spans="1:13" ht="21.36" thickBot="1" customHeight="1">
      <c r="A304" s="33"/>
      <c r="B304" s="33"/>
      <c r="C304" s="33"/>
      <c r="D304" s="30" t="s">
        <v>547</v>
      </c>
      <c r="E304" s="30"/>
      <c r="F304" s="30"/>
      <c r="G304" s="30"/>
      <c r="H304" s="30"/>
      <c r="I304" s="30"/>
      <c r="J304" s="30"/>
      <c r="K304" s="30"/>
      <c r="L304" s="30"/>
      <c r="M304" s="30"/>
    </row>
    <row r="305" spans="1:13" ht="15.48" thickBot="1" customHeight="1">
      <c r="A305" s="15" t="s">
        <v>548</v>
      </c>
      <c r="B305" s="8" t="s">
        <v>549</v>
      </c>
      <c r="C305" s="8" t="s">
        <v>550</v>
      </c>
      <c r="D305" s="30" t="s">
        <v>551</v>
      </c>
      <c r="E305" s="30"/>
      <c r="F305" s="30"/>
      <c r="G305" s="30"/>
      <c r="H305" s="30"/>
      <c r="I305" s="30"/>
      <c r="J305" s="30"/>
      <c r="K305" s="31">
        <f ca="1">SUM(K308:K308)</f>
        <v>0</v>
      </c>
      <c r="L305" s="32">
        <f ca="1">ROUND(17.810*(1+M2/100),2)</f>
        <v>0</v>
      </c>
      <c r="M305" s="32">
        <f ca="1">ROUND(K305*L305,2)</f>
        <v>0</v>
      </c>
    </row>
    <row r="306" spans="1:13" ht="30.60" thickBot="1" customHeight="1">
      <c r="A306" s="33"/>
      <c r="B306" s="33"/>
      <c r="C306" s="33"/>
      <c r="D306" s="30" t="s">
        <v>552</v>
      </c>
      <c r="E306" s="30"/>
      <c r="F306" s="30"/>
      <c r="G306" s="30"/>
      <c r="H306" s="30"/>
      <c r="I306" s="30"/>
      <c r="J306" s="30"/>
      <c r="K306" s="30"/>
      <c r="L306" s="30"/>
      <c r="M306" s="30"/>
    </row>
    <row r="307" spans="1:13" ht="15.12" thickBot="1" customHeight="1">
      <c r="A307" s="33"/>
      <c r="B307" s="33"/>
      <c r="C307" s="33"/>
      <c r="D307" s="33"/>
      <c r="E307" s="34"/>
      <c r="F307" s="36" t="s">
        <v>553</v>
      </c>
      <c r="G307" s="36" t="s">
        <v>554</v>
      </c>
      <c r="H307" s="36" t="s">
        <v>555</v>
      </c>
      <c r="I307" s="36" t="s">
        <v>556</v>
      </c>
      <c r="J307" s="36" t="s">
        <v>557</v>
      </c>
      <c r="K307" s="36" t="s">
        <v>558</v>
      </c>
      <c r="L307" s="33"/>
      <c r="M307" s="33"/>
    </row>
    <row r="308" spans="1:13" ht="15.12" thickBot="1" customHeight="1">
      <c r="A308" s="33"/>
      <c r="B308" s="33"/>
      <c r="C308" s="33"/>
      <c r="D308" s="37"/>
      <c r="E308" s="38" t="s">
        <v>559</v>
      </c>
      <c r="F308" s="39">
        <v>1</v>
      </c>
      <c r="G308" s="40">
        <v>144.000</v>
      </c>
      <c r="H308" s="40">
        <v>2.000</v>
      </c>
      <c r="I308" s="40">
        <v>0.100</v>
      </c>
      <c r="J308" s="42">
        <f ca="1">ROUND(F308*G308*H308*I308,3)</f>
        <v>0</v>
      </c>
      <c r="K308" s="44">
        <f ca="1">SUM(J308:J308)</f>
        <v>0</v>
      </c>
      <c r="L308" s="33"/>
      <c r="M308" s="33"/>
    </row>
    <row r="309" spans="1:13" ht="15.48" thickBot="1" customHeight="1">
      <c r="A309" s="15" t="s">
        <v>560</v>
      </c>
      <c r="B309" s="8" t="s">
        <v>561</v>
      </c>
      <c r="C309" s="8" t="s">
        <v>562</v>
      </c>
      <c r="D309" s="30" t="s">
        <v>563</v>
      </c>
      <c r="E309" s="30"/>
      <c r="F309" s="30"/>
      <c r="G309" s="30"/>
      <c r="H309" s="30"/>
      <c r="I309" s="30"/>
      <c r="J309" s="30"/>
      <c r="K309" s="31">
        <f ca="1">SUM(K312:K313)</f>
        <v>0</v>
      </c>
      <c r="L309" s="32">
        <f ca="1">ROUND(28.290*(1+M2/100),2)</f>
        <v>0</v>
      </c>
      <c r="M309" s="32">
        <f ca="1">ROUND(K309*L309,2)</f>
        <v>0</v>
      </c>
    </row>
    <row r="310" spans="1:13" ht="39.84" thickBot="1" customHeight="1">
      <c r="A310" s="33"/>
      <c r="B310" s="33"/>
      <c r="C310" s="33"/>
      <c r="D310" s="30" t="s">
        <v>564</v>
      </c>
      <c r="E310" s="30"/>
      <c r="F310" s="30"/>
      <c r="G310" s="30"/>
      <c r="H310" s="30"/>
      <c r="I310" s="30"/>
      <c r="J310" s="30"/>
      <c r="K310" s="30"/>
      <c r="L310" s="30"/>
      <c r="M310" s="30"/>
    </row>
    <row r="311" spans="1:13" ht="15.12" thickBot="1" customHeight="1">
      <c r="A311" s="33"/>
      <c r="B311" s="33"/>
      <c r="C311" s="33"/>
      <c r="D311" s="33"/>
      <c r="E311" s="34"/>
      <c r="F311" s="36" t="s">
        <v>565</v>
      </c>
      <c r="G311" s="36" t="s">
        <v>566</v>
      </c>
      <c r="H311" s="36" t="s">
        <v>567</v>
      </c>
      <c r="I311" s="36" t="s">
        <v>568</v>
      </c>
      <c r="J311" s="36" t="s">
        <v>569</v>
      </c>
      <c r="K311" s="36" t="s">
        <v>570</v>
      </c>
      <c r="L311" s="33"/>
      <c r="M311" s="33"/>
    </row>
    <row r="312" spans="1:13" ht="21.36" thickBot="1" customHeight="1">
      <c r="A312" s="33"/>
      <c r="B312" s="33"/>
      <c r="C312" s="33"/>
      <c r="D312" s="37"/>
      <c r="E312" s="38" t="s">
        <v>571</v>
      </c>
      <c r="F312" s="39">
        <v>1</v>
      </c>
      <c r="G312" s="40">
        <v>35.000</v>
      </c>
      <c r="H312" s="40">
        <v>0.700</v>
      </c>
      <c r="I312" s="40">
        <v>1.000</v>
      </c>
      <c r="J312" s="42">
        <f ca="1">ROUND(F312*G312*H312*I312,3)</f>
        <v>0</v>
      </c>
      <c r="K312" s="45"/>
      <c r="L312" s="33"/>
      <c r="M312" s="33"/>
    </row>
    <row r="313" spans="1:13" ht="15.12" thickBot="1" customHeight="1">
      <c r="A313" s="33"/>
      <c r="B313" s="33"/>
      <c r="C313" s="33"/>
      <c r="D313" s="37"/>
      <c r="E313" s="8"/>
      <c r="F313" s="6">
        <v>1</v>
      </c>
      <c r="G313" s="31">
        <v>10.000</v>
      </c>
      <c r="H313" s="31">
        <v>0.700</v>
      </c>
      <c r="I313" s="31">
        <v>1.000</v>
      </c>
      <c r="J313" s="41">
        <f ca="1">ROUND(F313*G313*H313*I313,3)</f>
        <v>0</v>
      </c>
      <c r="K313" s="43">
        <f ca="1">SUM(J312:J313)</f>
        <v>0</v>
      </c>
      <c r="L313" s="33"/>
      <c r="M313" s="33"/>
    </row>
    <row r="314" spans="1:13" ht="15.48" thickBot="1" customHeight="1">
      <c r="A314" s="15" t="s">
        <v>572</v>
      </c>
      <c r="B314" s="8" t="s">
        <v>573</v>
      </c>
      <c r="C314" s="8" t="s">
        <v>574</v>
      </c>
      <c r="D314" s="30" t="s">
        <v>575</v>
      </c>
      <c r="E314" s="30"/>
      <c r="F314" s="30"/>
      <c r="G314" s="30"/>
      <c r="H314" s="30"/>
      <c r="I314" s="30"/>
      <c r="J314" s="30"/>
      <c r="K314" s="31">
        <f ca="1">SUM(K317:K318)</f>
        <v>0</v>
      </c>
      <c r="L314" s="32">
        <f ca="1">ROUND(23.700*(1+M2/100),2)</f>
        <v>0</v>
      </c>
      <c r="M314" s="32">
        <f ca="1">ROUND(K314*L314,2)</f>
        <v>0</v>
      </c>
    </row>
    <row r="315" spans="1:13" ht="39.84" thickBot="1" customHeight="1">
      <c r="A315" s="33"/>
      <c r="B315" s="33"/>
      <c r="C315" s="33"/>
      <c r="D315" s="30" t="s">
        <v>576</v>
      </c>
      <c r="E315" s="30"/>
      <c r="F315" s="30"/>
      <c r="G315" s="30"/>
      <c r="H315" s="30"/>
      <c r="I315" s="30"/>
      <c r="J315" s="30"/>
      <c r="K315" s="30"/>
      <c r="L315" s="30"/>
      <c r="M315" s="30"/>
    </row>
    <row r="316" spans="1:13" ht="15.12" thickBot="1" customHeight="1">
      <c r="A316" s="33"/>
      <c r="B316" s="33"/>
      <c r="C316" s="33"/>
      <c r="D316" s="33"/>
      <c r="E316" s="34"/>
      <c r="F316" s="36" t="s">
        <v>577</v>
      </c>
      <c r="G316" s="36" t="s">
        <v>578</v>
      </c>
      <c r="H316" s="36" t="s">
        <v>579</v>
      </c>
      <c r="I316" s="36" t="s">
        <v>580</v>
      </c>
      <c r="J316" s="36" t="s">
        <v>581</v>
      </c>
      <c r="K316" s="36" t="s">
        <v>582</v>
      </c>
      <c r="L316" s="33"/>
      <c r="M316" s="33"/>
    </row>
    <row r="317" spans="1:13" ht="21.36" thickBot="1" customHeight="1">
      <c r="A317" s="33"/>
      <c r="B317" s="33"/>
      <c r="C317" s="33"/>
      <c r="D317" s="37"/>
      <c r="E317" s="38" t="s">
        <v>583</v>
      </c>
      <c r="F317" s="39">
        <v>1</v>
      </c>
      <c r="G317" s="40">
        <v>35.000</v>
      </c>
      <c r="H317" s="40">
        <v>0.700</v>
      </c>
      <c r="I317" s="40">
        <v>0.700</v>
      </c>
      <c r="J317" s="42">
        <f ca="1">ROUND(F317*G317*H317*I317,3)</f>
        <v>0</v>
      </c>
      <c r="K317" s="45"/>
      <c r="L317" s="33"/>
      <c r="M317" s="33"/>
    </row>
    <row r="318" spans="1:13" ht="15.12" thickBot="1" customHeight="1">
      <c r="A318" s="33"/>
      <c r="B318" s="33"/>
      <c r="C318" s="33"/>
      <c r="D318" s="37"/>
      <c r="E318" s="8"/>
      <c r="F318" s="6">
        <v>1</v>
      </c>
      <c r="G318" s="31">
        <v>10.000</v>
      </c>
      <c r="H318" s="31">
        <v>0.700</v>
      </c>
      <c r="I318" s="31">
        <v>0.700</v>
      </c>
      <c r="J318" s="41">
        <f ca="1">ROUND(F318*G318*H318*I318,3)</f>
        <v>0</v>
      </c>
      <c r="K318" s="43">
        <f ca="1">SUM(J317:J318)</f>
        <v>0</v>
      </c>
      <c r="L318" s="33"/>
      <c r="M318" s="33"/>
    </row>
    <row r="319" spans="1:13" ht="15.48" thickBot="1" customHeight="1">
      <c r="A319" s="15" t="s">
        <v>584</v>
      </c>
      <c r="B319" s="8" t="s">
        <v>585</v>
      </c>
      <c r="C319" s="8" t="s">
        <v>586</v>
      </c>
      <c r="D319" s="30" t="s">
        <v>587</v>
      </c>
      <c r="E319" s="30"/>
      <c r="F319" s="30"/>
      <c r="G319" s="30"/>
      <c r="H319" s="30"/>
      <c r="I319" s="30"/>
      <c r="J319" s="30"/>
      <c r="K319" s="31">
        <f ca="1">SUM(K322:K323)</f>
        <v>0</v>
      </c>
      <c r="L319" s="32">
        <f ca="1">ROUND(44.200*(1+M2/100),2)</f>
        <v>0</v>
      </c>
      <c r="M319" s="32">
        <f ca="1">ROUND(K319*L319,2)</f>
        <v>0</v>
      </c>
    </row>
    <row r="320" spans="1:13" ht="39.84" thickBot="1" customHeight="1">
      <c r="A320" s="33"/>
      <c r="B320" s="33"/>
      <c r="C320" s="33"/>
      <c r="D320" s="30" t="s">
        <v>588</v>
      </c>
      <c r="E320" s="30"/>
      <c r="F320" s="30"/>
      <c r="G320" s="30"/>
      <c r="H320" s="30"/>
      <c r="I320" s="30"/>
      <c r="J320" s="30"/>
      <c r="K320" s="30"/>
      <c r="L320" s="30"/>
      <c r="M320" s="30"/>
    </row>
    <row r="321" spans="1:13" ht="15.12" thickBot="1" customHeight="1">
      <c r="A321" s="33"/>
      <c r="B321" s="33"/>
      <c r="C321" s="33"/>
      <c r="D321" s="33"/>
      <c r="E321" s="34"/>
      <c r="F321" s="36" t="s">
        <v>589</v>
      </c>
      <c r="G321" s="36" t="s">
        <v>590</v>
      </c>
      <c r="H321" s="36" t="s">
        <v>591</v>
      </c>
      <c r="I321" s="36" t="s">
        <v>592</v>
      </c>
      <c r="J321" s="36" t="s">
        <v>593</v>
      </c>
      <c r="K321" s="36" t="s">
        <v>594</v>
      </c>
      <c r="L321" s="33"/>
      <c r="M321" s="33"/>
    </row>
    <row r="322" spans="1:13" ht="21.36" thickBot="1" customHeight="1">
      <c r="A322" s="33"/>
      <c r="B322" s="33"/>
      <c r="C322" s="33"/>
      <c r="D322" s="37"/>
      <c r="E322" s="38" t="s">
        <v>595</v>
      </c>
      <c r="F322" s="39">
        <v>1</v>
      </c>
      <c r="G322" s="40">
        <v>35.000</v>
      </c>
      <c r="H322" s="40">
        <v>0.700</v>
      </c>
      <c r="I322" s="40">
        <v>0.300</v>
      </c>
      <c r="J322" s="42">
        <f ca="1">ROUND(F322*G322*H322*I322,3)</f>
        <v>0</v>
      </c>
      <c r="K322" s="45"/>
      <c r="L322" s="33"/>
      <c r="M322" s="33"/>
    </row>
    <row r="323" spans="1:13" ht="15.12" thickBot="1" customHeight="1">
      <c r="A323" s="33"/>
      <c r="B323" s="33"/>
      <c r="C323" s="33"/>
      <c r="D323" s="37"/>
      <c r="E323" s="8"/>
      <c r="F323" s="6">
        <v>1</v>
      </c>
      <c r="G323" s="31">
        <v>10.000</v>
      </c>
      <c r="H323" s="31">
        <v>0.700</v>
      </c>
      <c r="I323" s="31">
        <v>0.300</v>
      </c>
      <c r="J323" s="41">
        <f ca="1">ROUND(F323*G323*H323*I323,3)</f>
        <v>0</v>
      </c>
      <c r="K323" s="43">
        <f ca="1">SUM(J322:J323)</f>
        <v>0</v>
      </c>
      <c r="L323" s="33"/>
      <c r="M323" s="33"/>
    </row>
    <row r="324" spans="1:13" ht="15.48" thickBot="1" customHeight="1">
      <c r="A324" s="15" t="s">
        <v>596</v>
      </c>
      <c r="B324" s="8" t="s">
        <v>597</v>
      </c>
      <c r="C324" s="8" t="s">
        <v>598</v>
      </c>
      <c r="D324" s="30" t="s">
        <v>599</v>
      </c>
      <c r="E324" s="30"/>
      <c r="F324" s="30"/>
      <c r="G324" s="30"/>
      <c r="H324" s="30"/>
      <c r="I324" s="30"/>
      <c r="J324" s="30"/>
      <c r="K324" s="31">
        <f ca="1">SUM(K327:K328)</f>
        <v>0</v>
      </c>
      <c r="L324" s="32">
        <f ca="1">ROUND(76.320*(1+M2/100),2)</f>
        <v>0</v>
      </c>
      <c r="M324" s="32">
        <f ca="1">ROUND(K324*L324,2)</f>
        <v>0</v>
      </c>
    </row>
    <row r="325" spans="1:13" ht="39.84" thickBot="1" customHeight="1">
      <c r="A325" s="33"/>
      <c r="B325" s="33"/>
      <c r="C325" s="33"/>
      <c r="D325" s="30" t="s">
        <v>600</v>
      </c>
      <c r="E325" s="30"/>
      <c r="F325" s="30"/>
      <c r="G325" s="30"/>
      <c r="H325" s="30"/>
      <c r="I325" s="30"/>
      <c r="J325" s="30"/>
      <c r="K325" s="30"/>
      <c r="L325" s="30"/>
      <c r="M325" s="30"/>
    </row>
    <row r="326" spans="1:13" ht="15.12" thickBot="1" customHeight="1">
      <c r="A326" s="33"/>
      <c r="B326" s="33"/>
      <c r="C326" s="33"/>
      <c r="D326" s="33"/>
      <c r="E326" s="34"/>
      <c r="F326" s="36" t="s">
        <v>601</v>
      </c>
      <c r="G326" s="36" t="s">
        <v>602</v>
      </c>
      <c r="H326" s="36" t="s">
        <v>603</v>
      </c>
      <c r="I326" s="36" t="s">
        <v>604</v>
      </c>
      <c r="J326" s="36" t="s">
        <v>605</v>
      </c>
      <c r="K326" s="36" t="s">
        <v>606</v>
      </c>
      <c r="L326" s="33"/>
      <c r="M326" s="33"/>
    </row>
    <row r="327" spans="1:13" ht="21.36" thickBot="1" customHeight="1">
      <c r="A327" s="33"/>
      <c r="B327" s="33"/>
      <c r="C327" s="33"/>
      <c r="D327" s="37"/>
      <c r="E327" s="38" t="s">
        <v>607</v>
      </c>
      <c r="F327" s="39">
        <v>1</v>
      </c>
      <c r="G327" s="40">
        <v>35.000</v>
      </c>
      <c r="H327" s="40">
        <v>0.100</v>
      </c>
      <c r="I327" s="40">
        <v>1.000</v>
      </c>
      <c r="J327" s="42">
        <f ca="1">ROUND(F327*G327*H327*I327,3)</f>
        <v>0</v>
      </c>
      <c r="K327" s="45"/>
      <c r="L327" s="33"/>
      <c r="M327" s="33"/>
    </row>
    <row r="328" spans="1:13" ht="15.12" thickBot="1" customHeight="1">
      <c r="A328" s="33"/>
      <c r="B328" s="33"/>
      <c r="C328" s="33"/>
      <c r="D328" s="37"/>
      <c r="E328" s="8"/>
      <c r="F328" s="6">
        <v>1</v>
      </c>
      <c r="G328" s="31">
        <v>10.000</v>
      </c>
      <c r="H328" s="31">
        <v>0.100</v>
      </c>
      <c r="I328" s="31">
        <v>1.000</v>
      </c>
      <c r="J328" s="41">
        <f ca="1">ROUND(F328*G328*H328*I328,3)</f>
        <v>0</v>
      </c>
      <c r="K328" s="43">
        <f ca="1">SUM(J327:J328)</f>
        <v>0</v>
      </c>
      <c r="L328" s="33"/>
      <c r="M328" s="33"/>
    </row>
    <row r="329" spans="1:13" ht="15.48" thickBot="1" customHeight="1">
      <c r="A329" s="46"/>
      <c r="B329" s="46"/>
      <c r="C329" s="46"/>
      <c r="D329" s="47" t="s">
        <v>608</v>
      </c>
      <c r="E329" s="48"/>
      <c r="F329" s="48"/>
      <c r="G329" s="48"/>
      <c r="H329" s="48"/>
      <c r="I329" s="48"/>
      <c r="J329" s="48"/>
      <c r="K329" s="48"/>
      <c r="L329" s="49">
        <f ca="1">M303+M305+M309+M314+M319+M324</f>
        <v>0</v>
      </c>
      <c r="M329" s="49">
        <f ca="1">ROUND(L329,2)</f>
        <v>0</v>
      </c>
    </row>
    <row r="330" spans="1:13" ht="15.48" thickBot="1" customHeight="1">
      <c r="A330" s="55"/>
      <c r="B330" s="55"/>
      <c r="C330" s="55"/>
      <c r="D330" s="56" t="s">
        <v>609</v>
      </c>
      <c r="E330" s="57"/>
      <c r="F330" s="57"/>
      <c r="G330" s="57"/>
      <c r="H330" s="57"/>
      <c r="I330" s="57"/>
      <c r="J330" s="57"/>
      <c r="K330" s="57"/>
      <c r="L330" s="58">
        <f ca="1">M32+M210+M301+M329</f>
        <v>0</v>
      </c>
      <c r="M330" s="58">
        <f ca="1">ROUND(L330,2)</f>
        <v>0</v>
      </c>
    </row>
    <row r="331" spans="1:13" ht="15.48" thickBot="1" customHeight="1">
      <c r="A331" s="59" t="s">
        <v>610</v>
      </c>
      <c r="B331" s="59" t="s">
        <v>611</v>
      </c>
      <c r="C331" s="60"/>
      <c r="D331" s="61" t="s">
        <v>612</v>
      </c>
      <c r="E331" s="61"/>
      <c r="F331" s="61"/>
      <c r="G331" s="61"/>
      <c r="H331" s="61"/>
      <c r="I331" s="61"/>
      <c r="J331" s="61"/>
      <c r="K331" s="60"/>
      <c r="L331" s="62">
        <f ca="1">L464</f>
        <v>0</v>
      </c>
      <c r="M331" s="62">
        <f ca="1">ROUND(L331,2)</f>
        <v>0</v>
      </c>
    </row>
    <row r="332" spans="1:13" ht="15.48" thickBot="1" customHeight="1">
      <c r="A332" s="26" t="s">
        <v>613</v>
      </c>
      <c r="B332" s="26" t="s">
        <v>614</v>
      </c>
      <c r="C332" s="27"/>
      <c r="D332" s="28" t="s">
        <v>615</v>
      </c>
      <c r="E332" s="28"/>
      <c r="F332" s="28"/>
      <c r="G332" s="28"/>
      <c r="H332" s="28"/>
      <c r="I332" s="28"/>
      <c r="J332" s="28"/>
      <c r="K332" s="27"/>
      <c r="L332" s="29">
        <f ca="1">L354</f>
        <v>0</v>
      </c>
      <c r="M332" s="29">
        <f ca="1">ROUND(L332,2)</f>
        <v>0</v>
      </c>
    </row>
    <row r="333" spans="1:13" ht="15.48" thickBot="1" customHeight="1">
      <c r="A333" s="15" t="s">
        <v>616</v>
      </c>
      <c r="B333" s="8" t="s">
        <v>617</v>
      </c>
      <c r="C333" s="8" t="s">
        <v>618</v>
      </c>
      <c r="D333" s="30" t="s">
        <v>619</v>
      </c>
      <c r="E333" s="30"/>
      <c r="F333" s="30"/>
      <c r="G333" s="30"/>
      <c r="H333" s="30"/>
      <c r="I333" s="30"/>
      <c r="J333" s="30"/>
      <c r="K333" s="31">
        <f ca="1">SUM(K336:K336)</f>
        <v>0</v>
      </c>
      <c r="L333" s="32">
        <f ca="1">ROUND(17.910*(1+M2/100),2)</f>
        <v>0</v>
      </c>
      <c r="M333" s="32">
        <f ca="1">ROUND(K333*L333,2)</f>
        <v>0</v>
      </c>
    </row>
    <row r="334" spans="1:13" ht="39.84" thickBot="1" customHeight="1">
      <c r="A334" s="33"/>
      <c r="B334" s="33"/>
      <c r="C334" s="33"/>
      <c r="D334" s="30" t="s">
        <v>620</v>
      </c>
      <c r="E334" s="30"/>
      <c r="F334" s="30"/>
      <c r="G334" s="30"/>
      <c r="H334" s="30"/>
      <c r="I334" s="30"/>
      <c r="J334" s="30"/>
      <c r="K334" s="30"/>
      <c r="L334" s="30"/>
      <c r="M334" s="30"/>
    </row>
    <row r="335" spans="1:13" ht="15.12" thickBot="1" customHeight="1">
      <c r="A335" s="33"/>
      <c r="B335" s="33"/>
      <c r="C335" s="33"/>
      <c r="D335" s="33"/>
      <c r="E335" s="34"/>
      <c r="F335" s="36" t="s">
        <v>621</v>
      </c>
      <c r="G335" s="36" t="s">
        <v>622</v>
      </c>
      <c r="H335" s="36" t="s">
        <v>623</v>
      </c>
      <c r="I335" s="36" t="s">
        <v>624</v>
      </c>
      <c r="J335" s="36" t="s">
        <v>625</v>
      </c>
      <c r="K335" s="36" t="s">
        <v>626</v>
      </c>
      <c r="L335" s="33"/>
      <c r="M335" s="33"/>
    </row>
    <row r="336" spans="1:13" ht="21.36" thickBot="1" customHeight="1">
      <c r="A336" s="33"/>
      <c r="B336" s="33"/>
      <c r="C336" s="33"/>
      <c r="D336" s="37"/>
      <c r="E336" s="38" t="s">
        <v>627</v>
      </c>
      <c r="F336" s="39">
        <v>1</v>
      </c>
      <c r="G336" s="40">
        <v>32.000</v>
      </c>
      <c r="H336" s="40"/>
      <c r="I336" s="40"/>
      <c r="J336" s="42">
        <f ca="1">ROUND(F336*G336,3)</f>
        <v>0</v>
      </c>
      <c r="K336" s="44">
        <f ca="1">SUM(J336:J336)</f>
        <v>0</v>
      </c>
      <c r="L336" s="33"/>
      <c r="M336" s="33"/>
    </row>
    <row r="337" spans="1:13" ht="15.48" thickBot="1" customHeight="1">
      <c r="A337" s="15" t="s">
        <v>628</v>
      </c>
      <c r="B337" s="8" t="s">
        <v>629</v>
      </c>
      <c r="C337" s="8" t="s">
        <v>630</v>
      </c>
      <c r="D337" s="30" t="s">
        <v>631</v>
      </c>
      <c r="E337" s="30"/>
      <c r="F337" s="30"/>
      <c r="G337" s="30"/>
      <c r="H337" s="30"/>
      <c r="I337" s="30"/>
      <c r="J337" s="30"/>
      <c r="K337" s="31">
        <f ca="1">ROUND(3.00,2)</f>
        <v>0</v>
      </c>
      <c r="L337" s="32">
        <f ca="1">ROUND(36.920*(1+M2/100),2)</f>
        <v>0</v>
      </c>
      <c r="M337" s="32">
        <f ca="1">ROUND(K337*L337,2)</f>
        <v>0</v>
      </c>
    </row>
    <row r="338" spans="1:13" ht="49.08" thickBot="1" customHeight="1">
      <c r="A338" s="33"/>
      <c r="B338" s="33"/>
      <c r="C338" s="33"/>
      <c r="D338" s="30" t="s">
        <v>632</v>
      </c>
      <c r="E338" s="30"/>
      <c r="F338" s="30"/>
      <c r="G338" s="30"/>
      <c r="H338" s="30"/>
      <c r="I338" s="30"/>
      <c r="J338" s="30"/>
      <c r="K338" s="30"/>
      <c r="L338" s="30"/>
      <c r="M338" s="30"/>
    </row>
    <row r="339" spans="1:13" ht="15.48" thickBot="1" customHeight="1">
      <c r="A339" s="15" t="s">
        <v>633</v>
      </c>
      <c r="B339" s="8" t="s">
        <v>634</v>
      </c>
      <c r="C339" s="8" t="s">
        <v>635</v>
      </c>
      <c r="D339" s="30" t="s">
        <v>636</v>
      </c>
      <c r="E339" s="30"/>
      <c r="F339" s="30"/>
      <c r="G339" s="30"/>
      <c r="H339" s="30"/>
      <c r="I339" s="30"/>
      <c r="J339" s="30"/>
      <c r="K339" s="31">
        <f ca="1">SUM(K342:K343)</f>
        <v>0</v>
      </c>
      <c r="L339" s="32">
        <f ca="1">ROUND(22.190*(1+M2/100),2)</f>
        <v>0</v>
      </c>
      <c r="M339" s="32">
        <f ca="1">ROUND(K339*L339,2)</f>
        <v>0</v>
      </c>
    </row>
    <row r="340" spans="1:13" ht="67.56" thickBot="1" customHeight="1">
      <c r="A340" s="33"/>
      <c r="B340" s="33"/>
      <c r="C340" s="33"/>
      <c r="D340" s="30" t="s">
        <v>637</v>
      </c>
      <c r="E340" s="30"/>
      <c r="F340" s="30"/>
      <c r="G340" s="30"/>
      <c r="H340" s="30"/>
      <c r="I340" s="30"/>
      <c r="J340" s="30"/>
      <c r="K340" s="30"/>
      <c r="L340" s="30"/>
      <c r="M340" s="30"/>
    </row>
    <row r="341" spans="1:13" ht="15.12" thickBot="1" customHeight="1">
      <c r="A341" s="33"/>
      <c r="B341" s="33"/>
      <c r="C341" s="33"/>
      <c r="D341" s="33"/>
      <c r="E341" s="34"/>
      <c r="F341" s="36" t="s">
        <v>638</v>
      </c>
      <c r="G341" s="36" t="s">
        <v>639</v>
      </c>
      <c r="H341" s="36" t="s">
        <v>640</v>
      </c>
      <c r="I341" s="36" t="s">
        <v>641</v>
      </c>
      <c r="J341" s="36" t="s">
        <v>642</v>
      </c>
      <c r="K341" s="36" t="s">
        <v>643</v>
      </c>
      <c r="L341" s="33"/>
      <c r="M341" s="33"/>
    </row>
    <row r="342" spans="1:13" ht="21.36" thickBot="1" customHeight="1">
      <c r="A342" s="33"/>
      <c r="B342" s="33"/>
      <c r="C342" s="33"/>
      <c r="D342" s="37"/>
      <c r="E342" s="38" t="s">
        <v>644</v>
      </c>
      <c r="F342" s="39">
        <v>1</v>
      </c>
      <c r="G342" s="40">
        <v>8.800</v>
      </c>
      <c r="H342" s="40"/>
      <c r="I342" s="40"/>
      <c r="J342" s="42">
        <f ca="1">ROUND(F342*G342,3)</f>
        <v>0</v>
      </c>
      <c r="K342" s="45"/>
      <c r="L342" s="33"/>
      <c r="M342" s="33"/>
    </row>
    <row r="343" spans="1:13" ht="21.36" thickBot="1" customHeight="1">
      <c r="A343" s="33"/>
      <c r="B343" s="33"/>
      <c r="C343" s="33"/>
      <c r="D343" s="37"/>
      <c r="E343" s="8" t="s">
        <v>645</v>
      </c>
      <c r="F343" s="6">
        <v>1</v>
      </c>
      <c r="G343" s="31">
        <v>9.600</v>
      </c>
      <c r="H343" s="31"/>
      <c r="I343" s="31"/>
      <c r="J343" s="41">
        <f ca="1">ROUND(F343*G343,3)</f>
        <v>0</v>
      </c>
      <c r="K343" s="43">
        <f ca="1">SUM(J342:J343)</f>
        <v>0</v>
      </c>
      <c r="L343" s="33"/>
      <c r="M343" s="33"/>
    </row>
    <row r="344" spans="1:13" ht="15.48" thickBot="1" customHeight="1">
      <c r="A344" s="15" t="s">
        <v>646</v>
      </c>
      <c r="B344" s="8" t="s">
        <v>647</v>
      </c>
      <c r="C344" s="8" t="s">
        <v>648</v>
      </c>
      <c r="D344" s="30" t="s">
        <v>649</v>
      </c>
      <c r="E344" s="30"/>
      <c r="F344" s="30"/>
      <c r="G344" s="30"/>
      <c r="H344" s="30"/>
      <c r="I344" s="30"/>
      <c r="J344" s="30"/>
      <c r="K344" s="31">
        <f ca="1">ROUND(8.00,2)</f>
        <v>0</v>
      </c>
      <c r="L344" s="32">
        <f ca="1">ROUND(94.190*(1+M2/100),2)</f>
        <v>0</v>
      </c>
      <c r="M344" s="32">
        <f ca="1">ROUND(K344*L344,2)</f>
        <v>0</v>
      </c>
    </row>
    <row r="345" spans="1:13" ht="49.08" thickBot="1" customHeight="1">
      <c r="A345" s="33"/>
      <c r="B345" s="33"/>
      <c r="C345" s="33"/>
      <c r="D345" s="30" t="s">
        <v>650</v>
      </c>
      <c r="E345" s="30"/>
      <c r="F345" s="30"/>
      <c r="G345" s="30"/>
      <c r="H345" s="30"/>
      <c r="I345" s="30"/>
      <c r="J345" s="30"/>
      <c r="K345" s="30"/>
      <c r="L345" s="30"/>
      <c r="M345" s="30"/>
    </row>
    <row r="346" spans="1:13" ht="15.48" thickBot="1" customHeight="1">
      <c r="A346" s="15" t="s">
        <v>651</v>
      </c>
      <c r="B346" s="8" t="s">
        <v>652</v>
      </c>
      <c r="C346" s="8" t="s">
        <v>653</v>
      </c>
      <c r="D346" s="30" t="s">
        <v>654</v>
      </c>
      <c r="E346" s="30"/>
      <c r="F346" s="30"/>
      <c r="G346" s="30"/>
      <c r="H346" s="30"/>
      <c r="I346" s="30"/>
      <c r="J346" s="30"/>
      <c r="K346" s="31">
        <f ca="1">SUM(K349:K349)</f>
        <v>0</v>
      </c>
      <c r="L346" s="32">
        <f ca="1">ROUND(18.720*(1+M2/100),2)</f>
        <v>0</v>
      </c>
      <c r="M346" s="32">
        <f ca="1">ROUND(K346*L346,2)</f>
        <v>0</v>
      </c>
    </row>
    <row r="347" spans="1:13" ht="58.32" thickBot="1" customHeight="1">
      <c r="A347" s="33"/>
      <c r="B347" s="33"/>
      <c r="C347" s="33"/>
      <c r="D347" s="30" t="s">
        <v>655</v>
      </c>
      <c r="E347" s="30"/>
      <c r="F347" s="30"/>
      <c r="G347" s="30"/>
      <c r="H347" s="30"/>
      <c r="I347" s="30"/>
      <c r="J347" s="30"/>
      <c r="K347" s="30"/>
      <c r="L347" s="30"/>
      <c r="M347" s="30"/>
    </row>
    <row r="348" spans="1:13" ht="15.12" thickBot="1" customHeight="1">
      <c r="A348" s="33"/>
      <c r="B348" s="33"/>
      <c r="C348" s="33"/>
      <c r="D348" s="33"/>
      <c r="E348" s="34"/>
      <c r="F348" s="36" t="s">
        <v>656</v>
      </c>
      <c r="G348" s="36" t="s">
        <v>657</v>
      </c>
      <c r="H348" s="36" t="s">
        <v>658</v>
      </c>
      <c r="I348" s="36" t="s">
        <v>659</v>
      </c>
      <c r="J348" s="36" t="s">
        <v>660</v>
      </c>
      <c r="K348" s="36" t="s">
        <v>661</v>
      </c>
      <c r="L348" s="33"/>
      <c r="M348" s="33"/>
    </row>
    <row r="349" spans="1:13" ht="15.12" thickBot="1" customHeight="1">
      <c r="A349" s="33"/>
      <c r="B349" s="33"/>
      <c r="C349" s="33"/>
      <c r="D349" s="37"/>
      <c r="E349" s="38"/>
      <c r="F349" s="39">
        <v>4</v>
      </c>
      <c r="G349" s="40">
        <v>2.500</v>
      </c>
      <c r="H349" s="40"/>
      <c r="I349" s="40"/>
      <c r="J349" s="42">
        <f ca="1">ROUND(F349*G349,3)</f>
        <v>0</v>
      </c>
      <c r="K349" s="44">
        <f ca="1">SUM(J349:J349)</f>
        <v>0</v>
      </c>
      <c r="L349" s="33"/>
      <c r="M349" s="33"/>
    </row>
    <row r="350" spans="1:13" ht="15.48" thickBot="1" customHeight="1">
      <c r="A350" s="15" t="s">
        <v>662</v>
      </c>
      <c r="B350" s="8" t="s">
        <v>663</v>
      </c>
      <c r="C350" s="8" t="s">
        <v>664</v>
      </c>
      <c r="D350" s="30" t="s">
        <v>665</v>
      </c>
      <c r="E350" s="30"/>
      <c r="F350" s="30"/>
      <c r="G350" s="30"/>
      <c r="H350" s="30"/>
      <c r="I350" s="30"/>
      <c r="J350" s="30"/>
      <c r="K350" s="31">
        <f ca="1">ROUND(4.00,2)</f>
        <v>0</v>
      </c>
      <c r="L350" s="32">
        <f ca="1">ROUND(53.250*(1+M2/100),2)</f>
        <v>0</v>
      </c>
      <c r="M350" s="32">
        <f ca="1">ROUND(K350*L350,2)</f>
        <v>0</v>
      </c>
    </row>
    <row r="351" spans="1:13" ht="39.84" thickBot="1" customHeight="1">
      <c r="A351" s="33"/>
      <c r="B351" s="33"/>
      <c r="C351" s="33"/>
      <c r="D351" s="30" t="s">
        <v>666</v>
      </c>
      <c r="E351" s="30"/>
      <c r="F351" s="30"/>
      <c r="G351" s="30"/>
      <c r="H351" s="30"/>
      <c r="I351" s="30"/>
      <c r="J351" s="30"/>
      <c r="K351" s="30"/>
      <c r="L351" s="30"/>
      <c r="M351" s="30"/>
    </row>
    <row r="352" spans="1:13" ht="15.48" thickBot="1" customHeight="1">
      <c r="A352" s="15" t="s">
        <v>667</v>
      </c>
      <c r="B352" s="8" t="s">
        <v>668</v>
      </c>
      <c r="C352" s="8" t="s">
        <v>669</v>
      </c>
      <c r="D352" s="30" t="s">
        <v>670</v>
      </c>
      <c r="E352" s="30"/>
      <c r="F352" s="30"/>
      <c r="G352" s="30"/>
      <c r="H352" s="30"/>
      <c r="I352" s="30"/>
      <c r="J352" s="30"/>
      <c r="K352" s="31">
        <f ca="1">ROUND(1.00,2)</f>
        <v>0</v>
      </c>
      <c r="L352" s="32">
        <f ca="1">ROUND(1186.010*(1+M2/100),2)</f>
        <v>0</v>
      </c>
      <c r="M352" s="32">
        <f ca="1">ROUND(K352*L352,2)</f>
        <v>0</v>
      </c>
    </row>
    <row r="353" spans="1:13" ht="39.84" thickBot="1" customHeight="1">
      <c r="A353" s="33"/>
      <c r="B353" s="33"/>
      <c r="C353" s="33"/>
      <c r="D353" s="30" t="s">
        <v>671</v>
      </c>
      <c r="E353" s="30"/>
      <c r="F353" s="30"/>
      <c r="G353" s="30"/>
      <c r="H353" s="30"/>
      <c r="I353" s="30"/>
      <c r="J353" s="30"/>
      <c r="K353" s="30"/>
      <c r="L353" s="30"/>
      <c r="M353" s="30"/>
    </row>
    <row r="354" spans="1:13" ht="15.48" thickBot="1" customHeight="1">
      <c r="A354" s="46"/>
      <c r="B354" s="46"/>
      <c r="C354" s="46"/>
      <c r="D354" s="47" t="s">
        <v>672</v>
      </c>
      <c r="E354" s="48"/>
      <c r="F354" s="48"/>
      <c r="G354" s="48"/>
      <c r="H354" s="48"/>
      <c r="I354" s="48"/>
      <c r="J354" s="48"/>
      <c r="K354" s="48"/>
      <c r="L354" s="49">
        <f ca="1">M333+M337+M339+M344+M346+M350+M352</f>
        <v>0</v>
      </c>
      <c r="M354" s="49">
        <f ca="1">ROUND(L354,2)</f>
        <v>0</v>
      </c>
    </row>
    <row r="355" spans="1:13" ht="15.48" thickBot="1" customHeight="1">
      <c r="A355" s="50" t="s">
        <v>673</v>
      </c>
      <c r="B355" s="50" t="s">
        <v>674</v>
      </c>
      <c r="C355" s="51"/>
      <c r="D355" s="52" t="s">
        <v>675</v>
      </c>
      <c r="E355" s="52"/>
      <c r="F355" s="52"/>
      <c r="G355" s="52"/>
      <c r="H355" s="52"/>
      <c r="I355" s="52"/>
      <c r="J355" s="52"/>
      <c r="K355" s="51"/>
      <c r="L355" s="53">
        <f ca="1">L451</f>
        <v>0</v>
      </c>
      <c r="M355" s="53">
        <f ca="1">ROUND(L355,2)</f>
        <v>0</v>
      </c>
    </row>
    <row r="356" spans="1:13" ht="15.48" thickBot="1" customHeight="1">
      <c r="A356" s="63" t="s">
        <v>676</v>
      </c>
      <c r="B356" s="63" t="s">
        <v>677</v>
      </c>
      <c r="C356" s="64"/>
      <c r="D356" s="65" t="s">
        <v>678</v>
      </c>
      <c r="E356" s="65"/>
      <c r="F356" s="65"/>
      <c r="G356" s="65"/>
      <c r="H356" s="65"/>
      <c r="I356" s="65"/>
      <c r="J356" s="65"/>
      <c r="K356" s="64"/>
      <c r="L356" s="66">
        <f ca="1">L416</f>
        <v>0</v>
      </c>
      <c r="M356" s="66">
        <f ca="1">ROUND(L356,2)</f>
        <v>0</v>
      </c>
    </row>
    <row r="357" spans="1:13" ht="15.48" thickBot="1" customHeight="1">
      <c r="A357" s="15" t="s">
        <v>679</v>
      </c>
      <c r="B357" s="8" t="s">
        <v>680</v>
      </c>
      <c r="C357" s="8" t="s">
        <v>681</v>
      </c>
      <c r="D357" s="30" t="s">
        <v>682</v>
      </c>
      <c r="E357" s="30"/>
      <c r="F357" s="30"/>
      <c r="G357" s="30"/>
      <c r="H357" s="30"/>
      <c r="I357" s="30"/>
      <c r="J357" s="30"/>
      <c r="K357" s="31">
        <f ca="1">SUM(K360:K365)</f>
        <v>0</v>
      </c>
      <c r="L357" s="32">
        <f ca="1">ROUND(24.520*(1+M2/100),2)</f>
        <v>0</v>
      </c>
      <c r="M357" s="32">
        <f ca="1">ROUND(K357*L357,2)</f>
        <v>0</v>
      </c>
    </row>
    <row r="358" spans="1:13" ht="67.56" thickBot="1" customHeight="1">
      <c r="A358" s="33"/>
      <c r="B358" s="33"/>
      <c r="C358" s="33"/>
      <c r="D358" s="30" t="s">
        <v>683</v>
      </c>
      <c r="E358" s="30"/>
      <c r="F358" s="30"/>
      <c r="G358" s="30"/>
      <c r="H358" s="30"/>
      <c r="I358" s="30"/>
      <c r="J358" s="30"/>
      <c r="K358" s="30"/>
      <c r="L358" s="30"/>
      <c r="M358" s="30"/>
    </row>
    <row r="359" spans="1:13" ht="15.12" thickBot="1" customHeight="1">
      <c r="A359" s="33"/>
      <c r="B359" s="33"/>
      <c r="C359" s="33"/>
      <c r="D359" s="33"/>
      <c r="E359" s="34"/>
      <c r="F359" s="36" t="s">
        <v>684</v>
      </c>
      <c r="G359" s="36" t="s">
        <v>685</v>
      </c>
      <c r="H359" s="36" t="s">
        <v>686</v>
      </c>
      <c r="I359" s="36" t="s">
        <v>687</v>
      </c>
      <c r="J359" s="36" t="s">
        <v>688</v>
      </c>
      <c r="K359" s="36" t="s">
        <v>689</v>
      </c>
      <c r="L359" s="33"/>
      <c r="M359" s="33"/>
    </row>
    <row r="360" spans="1:13" ht="15.12" thickBot="1" customHeight="1">
      <c r="A360" s="33"/>
      <c r="B360" s="33"/>
      <c r="C360" s="33"/>
      <c r="D360" s="37"/>
      <c r="E360" s="38" t="s">
        <v>690</v>
      </c>
      <c r="F360" s="39">
        <v>1</v>
      </c>
      <c r="G360" s="40">
        <v>3.200</v>
      </c>
      <c r="H360" s="40"/>
      <c r="I360" s="40"/>
      <c r="J360" s="42">
        <f ca="1">ROUND(F360*G360,3)</f>
        <v>0</v>
      </c>
      <c r="K360" s="45"/>
      <c r="L360" s="33"/>
      <c r="M360" s="33"/>
    </row>
    <row r="361" spans="1:13" ht="15.12" thickBot="1" customHeight="1">
      <c r="A361" s="33"/>
      <c r="B361" s="33"/>
      <c r="C361" s="33"/>
      <c r="D361" s="37"/>
      <c r="E361" s="8"/>
      <c r="F361" s="6">
        <v>1</v>
      </c>
      <c r="G361" s="31">
        <v>1.600</v>
      </c>
      <c r="H361" s="31"/>
      <c r="I361" s="31"/>
      <c r="J361" s="41">
        <f ca="1">ROUND(F361*G361,3)</f>
        <v>0</v>
      </c>
      <c r="K361" s="33"/>
      <c r="L361" s="33"/>
      <c r="M361" s="33"/>
    </row>
    <row r="362" spans="1:13" ht="15.12" thickBot="1" customHeight="1">
      <c r="A362" s="33"/>
      <c r="B362" s="33"/>
      <c r="C362" s="33"/>
      <c r="D362" s="37"/>
      <c r="E362" s="8" t="s">
        <v>691</v>
      </c>
      <c r="F362" s="6">
        <v>2</v>
      </c>
      <c r="G362" s="31">
        <v>1.200</v>
      </c>
      <c r="H362" s="31"/>
      <c r="I362" s="31"/>
      <c r="J362" s="41">
        <f ca="1">ROUND(F362*G362,3)</f>
        <v>0</v>
      </c>
      <c r="K362" s="33"/>
      <c r="L362" s="33"/>
      <c r="M362" s="33"/>
    </row>
    <row r="363" spans="1:13" ht="15.12" thickBot="1" customHeight="1">
      <c r="A363" s="33"/>
      <c r="B363" s="33"/>
      <c r="C363" s="33"/>
      <c r="D363" s="37"/>
      <c r="E363" s="8"/>
      <c r="F363" s="6">
        <v>2</v>
      </c>
      <c r="G363" s="31">
        <v>0.700</v>
      </c>
      <c r="H363" s="31"/>
      <c r="I363" s="31"/>
      <c r="J363" s="41">
        <f ca="1">ROUND(F363*G363,3)</f>
        <v>0</v>
      </c>
      <c r="K363" s="33"/>
      <c r="L363" s="33"/>
      <c r="M363" s="33"/>
    </row>
    <row r="364" spans="1:13" ht="15.12" thickBot="1" customHeight="1">
      <c r="A364" s="33"/>
      <c r="B364" s="33"/>
      <c r="C364" s="33"/>
      <c r="D364" s="37"/>
      <c r="E364" s="8" t="s">
        <v>692</v>
      </c>
      <c r="F364" s="6">
        <v>1</v>
      </c>
      <c r="G364" s="31">
        <v>7.200</v>
      </c>
      <c r="H364" s="31"/>
      <c r="I364" s="31"/>
      <c r="J364" s="41">
        <f ca="1">ROUND(F364*G364,3)</f>
        <v>0</v>
      </c>
      <c r="K364" s="33"/>
      <c r="L364" s="33"/>
      <c r="M364" s="33"/>
    </row>
    <row r="365" spans="1:13" ht="15.12" thickBot="1" customHeight="1">
      <c r="A365" s="33"/>
      <c r="B365" s="33"/>
      <c r="C365" s="33"/>
      <c r="D365" s="37"/>
      <c r="E365" s="8" t="s">
        <v>693</v>
      </c>
      <c r="F365" s="6">
        <v>1</v>
      </c>
      <c r="G365" s="31">
        <v>8.000</v>
      </c>
      <c r="H365" s="31"/>
      <c r="I365" s="31"/>
      <c r="J365" s="41">
        <f ca="1">ROUND(F365*G365,3)</f>
        <v>0</v>
      </c>
      <c r="K365" s="43">
        <f ca="1">SUM(J360:J365)</f>
        <v>0</v>
      </c>
      <c r="L365" s="33"/>
      <c r="M365" s="33"/>
    </row>
    <row r="366" spans="1:13" ht="15.48" thickBot="1" customHeight="1">
      <c r="A366" s="15" t="s">
        <v>694</v>
      </c>
      <c r="B366" s="8" t="s">
        <v>695</v>
      </c>
      <c r="C366" s="8" t="s">
        <v>696</v>
      </c>
      <c r="D366" s="30" t="s">
        <v>697</v>
      </c>
      <c r="E366" s="30"/>
      <c r="F366" s="30"/>
      <c r="G366" s="30"/>
      <c r="H366" s="30"/>
      <c r="I366" s="30"/>
      <c r="J366" s="30"/>
      <c r="K366" s="31">
        <f ca="1">SUM(K369:K379)</f>
        <v>0</v>
      </c>
      <c r="L366" s="32">
        <f ca="1">ROUND(22.350*(1+M2/100),2)</f>
        <v>0</v>
      </c>
      <c r="M366" s="32">
        <f ca="1">ROUND(K366*L366,2)</f>
        <v>0</v>
      </c>
    </row>
    <row r="367" spans="1:13" ht="58.32" thickBot="1" customHeight="1">
      <c r="A367" s="33"/>
      <c r="B367" s="33"/>
      <c r="C367" s="33"/>
      <c r="D367" s="30" t="s">
        <v>698</v>
      </c>
      <c r="E367" s="30"/>
      <c r="F367" s="30"/>
      <c r="G367" s="30"/>
      <c r="H367" s="30"/>
      <c r="I367" s="30"/>
      <c r="J367" s="30"/>
      <c r="K367" s="30"/>
      <c r="L367" s="30"/>
      <c r="M367" s="30"/>
    </row>
    <row r="368" spans="1:13" ht="15.12" thickBot="1" customHeight="1">
      <c r="A368" s="33"/>
      <c r="B368" s="33"/>
      <c r="C368" s="33"/>
      <c r="D368" s="33"/>
      <c r="E368" s="34"/>
      <c r="F368" s="36" t="s">
        <v>699</v>
      </c>
      <c r="G368" s="36" t="s">
        <v>700</v>
      </c>
      <c r="H368" s="36" t="s">
        <v>701</v>
      </c>
      <c r="I368" s="36" t="s">
        <v>702</v>
      </c>
      <c r="J368" s="36" t="s">
        <v>703</v>
      </c>
      <c r="K368" s="36" t="s">
        <v>704</v>
      </c>
      <c r="L368" s="33"/>
      <c r="M368" s="33"/>
    </row>
    <row r="369" spans="1:13" ht="15.12" thickBot="1" customHeight="1">
      <c r="A369" s="33"/>
      <c r="B369" s="33"/>
      <c r="C369" s="33"/>
      <c r="D369" s="37"/>
      <c r="E369" s="38" t="s">
        <v>705</v>
      </c>
      <c r="F369" s="39">
        <v>1</v>
      </c>
      <c r="G369" s="40">
        <v>40.000</v>
      </c>
      <c r="H369" s="40"/>
      <c r="I369" s="40">
        <v>0.300</v>
      </c>
      <c r="J369" s="42">
        <f ca="1">ROUND(F369*G369*I369,3)</f>
        <v>0</v>
      </c>
      <c r="K369" s="45"/>
      <c r="L369" s="33"/>
      <c r="M369" s="33"/>
    </row>
    <row r="370" spans="1:13" ht="15.12" thickBot="1" customHeight="1">
      <c r="A370" s="33"/>
      <c r="B370" s="33"/>
      <c r="C370" s="33"/>
      <c r="D370" s="37"/>
      <c r="E370" s="8" t="s">
        <v>706</v>
      </c>
      <c r="F370" s="6">
        <v>1</v>
      </c>
      <c r="G370" s="31">
        <v>36.300</v>
      </c>
      <c r="H370" s="31"/>
      <c r="I370" s="31">
        <v>0.300</v>
      </c>
      <c r="J370" s="41">
        <f ca="1">ROUND(F370*G370*I370,3)</f>
        <v>0</v>
      </c>
      <c r="K370" s="33"/>
      <c r="L370" s="33"/>
      <c r="M370" s="33"/>
    </row>
    <row r="371" spans="1:13" ht="15.12" thickBot="1" customHeight="1">
      <c r="A371" s="33"/>
      <c r="B371" s="33"/>
      <c r="C371" s="33"/>
      <c r="D371" s="37"/>
      <c r="E371" s="8" t="s">
        <v>707</v>
      </c>
      <c r="F371" s="6">
        <v>1</v>
      </c>
      <c r="G371" s="31">
        <v>14.200</v>
      </c>
      <c r="H371" s="31"/>
      <c r="I371" s="31">
        <v>0.300</v>
      </c>
      <c r="J371" s="41">
        <f ca="1">ROUND(F371*G371*I371,3)</f>
        <v>0</v>
      </c>
      <c r="K371" s="33"/>
      <c r="L371" s="33"/>
      <c r="M371" s="33"/>
    </row>
    <row r="372" spans="1:13" ht="15.12" thickBot="1" customHeight="1">
      <c r="A372" s="33"/>
      <c r="B372" s="33"/>
      <c r="C372" s="33"/>
      <c r="D372" s="37"/>
      <c r="E372" s="8" t="s">
        <v>708</v>
      </c>
      <c r="F372" s="6">
        <v>1</v>
      </c>
      <c r="G372" s="31">
        <v>24.300</v>
      </c>
      <c r="H372" s="31"/>
      <c r="I372" s="31">
        <v>0.300</v>
      </c>
      <c r="J372" s="41">
        <f ca="1">ROUND(F372*G372*I372,3)</f>
        <v>0</v>
      </c>
      <c r="K372" s="33"/>
      <c r="L372" s="33"/>
      <c r="M372" s="33"/>
    </row>
    <row r="373" spans="1:13" ht="15.12" thickBot="1" customHeight="1">
      <c r="A373" s="33"/>
      <c r="B373" s="33"/>
      <c r="C373" s="33"/>
      <c r="D373" s="37"/>
      <c r="E373" s="8" t="s">
        <v>709</v>
      </c>
      <c r="F373" s="6">
        <v>1</v>
      </c>
      <c r="G373" s="31">
        <v>17.100</v>
      </c>
      <c r="H373" s="31"/>
      <c r="I373" s="31">
        <v>0.300</v>
      </c>
      <c r="J373" s="41">
        <f ca="1">ROUND(F373*G373*I373,3)</f>
        <v>0</v>
      </c>
      <c r="K373" s="33"/>
      <c r="L373" s="33"/>
      <c r="M373" s="33"/>
    </row>
    <row r="374" spans="1:13" ht="15.12" thickBot="1" customHeight="1">
      <c r="A374" s="33"/>
      <c r="B374" s="33"/>
      <c r="C374" s="33"/>
      <c r="D374" s="37"/>
      <c r="E374" s="8" t="s">
        <v>710</v>
      </c>
      <c r="F374" s="6">
        <v>1</v>
      </c>
      <c r="G374" s="31">
        <v>27.600</v>
      </c>
      <c r="H374" s="31"/>
      <c r="I374" s="31">
        <v>0.300</v>
      </c>
      <c r="J374" s="41">
        <f ca="1">ROUND(F374*G374*I374,3)</f>
        <v>0</v>
      </c>
      <c r="K374" s="33"/>
      <c r="L374" s="33"/>
      <c r="M374" s="33"/>
    </row>
    <row r="375" spans="1:13" ht="15.12" thickBot="1" customHeight="1">
      <c r="A375" s="33"/>
      <c r="B375" s="33"/>
      <c r="C375" s="33"/>
      <c r="D375" s="37"/>
      <c r="E375" s="8" t="s">
        <v>711</v>
      </c>
      <c r="F375" s="6">
        <v>1</v>
      </c>
      <c r="G375" s="31">
        <v>17.000</v>
      </c>
      <c r="H375" s="31"/>
      <c r="I375" s="31">
        <v>0.300</v>
      </c>
      <c r="J375" s="41">
        <f ca="1">ROUND(F375*G375*I375,3)</f>
        <v>0</v>
      </c>
      <c r="K375" s="33"/>
      <c r="L375" s="33"/>
      <c r="M375" s="33"/>
    </row>
    <row r="376" spans="1:13" ht="15.12" thickBot="1" customHeight="1">
      <c r="A376" s="33"/>
      <c r="B376" s="33"/>
      <c r="C376" s="33"/>
      <c r="D376" s="37"/>
      <c r="E376" s="8" t="s">
        <v>712</v>
      </c>
      <c r="F376" s="6">
        <v>1</v>
      </c>
      <c r="G376" s="31">
        <v>37.800</v>
      </c>
      <c r="H376" s="31"/>
      <c r="I376" s="31">
        <v>0.300</v>
      </c>
      <c r="J376" s="41">
        <f ca="1">ROUND(F376*G376*I376,3)</f>
        <v>0</v>
      </c>
      <c r="K376" s="33"/>
      <c r="L376" s="33"/>
      <c r="M376" s="33"/>
    </row>
    <row r="377" spans="1:13" ht="15.12" thickBot="1" customHeight="1">
      <c r="A377" s="33"/>
      <c r="B377" s="33"/>
      <c r="C377" s="33"/>
      <c r="D377" s="37"/>
      <c r="E377" s="8" t="s">
        <v>713</v>
      </c>
      <c r="F377" s="6">
        <v>1</v>
      </c>
      <c r="G377" s="31">
        <v>38.600</v>
      </c>
      <c r="H377" s="31"/>
      <c r="I377" s="31">
        <v>0.300</v>
      </c>
      <c r="J377" s="41">
        <f ca="1">ROUND(F377*G377*I377,3)</f>
        <v>0</v>
      </c>
      <c r="K377" s="33"/>
      <c r="L377" s="33"/>
      <c r="M377" s="33"/>
    </row>
    <row r="378" spans="1:13" ht="15.12" thickBot="1" customHeight="1">
      <c r="A378" s="33"/>
      <c r="B378" s="33"/>
      <c r="C378" s="33"/>
      <c r="D378" s="37"/>
      <c r="E378" s="8" t="s">
        <v>714</v>
      </c>
      <c r="F378" s="6">
        <v>1</v>
      </c>
      <c r="G378" s="31">
        <v>80.400</v>
      </c>
      <c r="H378" s="31"/>
      <c r="I378" s="31">
        <v>0.300</v>
      </c>
      <c r="J378" s="41">
        <f ca="1">ROUND(F378*G378*I378,3)</f>
        <v>0</v>
      </c>
      <c r="K378" s="33"/>
      <c r="L378" s="33"/>
      <c r="M378" s="33"/>
    </row>
    <row r="379" spans="1:13" ht="15.12" thickBot="1" customHeight="1">
      <c r="A379" s="33"/>
      <c r="B379" s="33"/>
      <c r="C379" s="33"/>
      <c r="D379" s="37"/>
      <c r="E379" s="8" t="s">
        <v>715</v>
      </c>
      <c r="F379" s="6">
        <v>1</v>
      </c>
      <c r="G379" s="31">
        <v>6.500</v>
      </c>
      <c r="H379" s="31"/>
      <c r="I379" s="31">
        <v>0.300</v>
      </c>
      <c r="J379" s="41">
        <f ca="1">ROUND(F379*G379*I379,3)</f>
        <v>0</v>
      </c>
      <c r="K379" s="43">
        <f ca="1">SUM(J369:J379)</f>
        <v>0</v>
      </c>
      <c r="L379" s="33"/>
      <c r="M379" s="33"/>
    </row>
    <row r="380" spans="1:13" ht="15.48" thickBot="1" customHeight="1">
      <c r="A380" s="15" t="s">
        <v>716</v>
      </c>
      <c r="B380" s="8" t="s">
        <v>717</v>
      </c>
      <c r="C380" s="8" t="s">
        <v>718</v>
      </c>
      <c r="D380" s="30" t="s">
        <v>719</v>
      </c>
      <c r="E380" s="30"/>
      <c r="F380" s="30"/>
      <c r="G380" s="30"/>
      <c r="H380" s="30"/>
      <c r="I380" s="30"/>
      <c r="J380" s="30"/>
      <c r="K380" s="31">
        <f ca="1">SUM(K383:K394)</f>
        <v>0</v>
      </c>
      <c r="L380" s="32">
        <f ca="1">ROUND(13.520*(1+M2/100),2)</f>
        <v>0</v>
      </c>
      <c r="M380" s="32">
        <f ca="1">ROUND(K380*L380,2)</f>
        <v>0</v>
      </c>
    </row>
    <row r="381" spans="1:13" ht="58.32" thickBot="1" customHeight="1">
      <c r="A381" s="33"/>
      <c r="B381" s="33"/>
      <c r="C381" s="33"/>
      <c r="D381" s="30" t="s">
        <v>720</v>
      </c>
      <c r="E381" s="30"/>
      <c r="F381" s="30"/>
      <c r="G381" s="30"/>
      <c r="H381" s="30"/>
      <c r="I381" s="30"/>
      <c r="J381" s="30"/>
      <c r="K381" s="30"/>
      <c r="L381" s="30"/>
      <c r="M381" s="30"/>
    </row>
    <row r="382" spans="1:13" ht="15.12" thickBot="1" customHeight="1">
      <c r="A382" s="33"/>
      <c r="B382" s="33"/>
      <c r="C382" s="33"/>
      <c r="D382" s="33"/>
      <c r="E382" s="34"/>
      <c r="F382" s="36" t="s">
        <v>721</v>
      </c>
      <c r="G382" s="36" t="s">
        <v>722</v>
      </c>
      <c r="H382" s="36" t="s">
        <v>723</v>
      </c>
      <c r="I382" s="36" t="s">
        <v>724</v>
      </c>
      <c r="J382" s="36" t="s">
        <v>725</v>
      </c>
      <c r="K382" s="36" t="s">
        <v>726</v>
      </c>
      <c r="L382" s="33"/>
      <c r="M382" s="33"/>
    </row>
    <row r="383" spans="1:13" ht="15.12" thickBot="1" customHeight="1">
      <c r="A383" s="33"/>
      <c r="B383" s="33"/>
      <c r="C383" s="33"/>
      <c r="D383" s="37"/>
      <c r="E383" s="38" t="s">
        <v>727</v>
      </c>
      <c r="F383" s="39">
        <v>1</v>
      </c>
      <c r="G383" s="40">
        <v>40.100</v>
      </c>
      <c r="H383" s="40"/>
      <c r="I383" s="40"/>
      <c r="J383" s="42">
        <f ca="1">ROUND(F383*G383,3)</f>
        <v>0</v>
      </c>
      <c r="K383" s="45"/>
      <c r="L383" s="33"/>
      <c r="M383" s="33"/>
    </row>
    <row r="384" spans="1:13" ht="15.12" thickBot="1" customHeight="1">
      <c r="A384" s="33"/>
      <c r="B384" s="33"/>
      <c r="C384" s="33"/>
      <c r="D384" s="37"/>
      <c r="E384" s="8" t="s">
        <v>728</v>
      </c>
      <c r="F384" s="6">
        <v>1</v>
      </c>
      <c r="G384" s="31">
        <v>36.300</v>
      </c>
      <c r="H384" s="31"/>
      <c r="I384" s="31"/>
      <c r="J384" s="41">
        <f ca="1">ROUND(F384*G384,3)</f>
        <v>0</v>
      </c>
      <c r="K384" s="33"/>
      <c r="L384" s="33"/>
      <c r="M384" s="33"/>
    </row>
    <row r="385" spans="1:13" ht="15.12" thickBot="1" customHeight="1">
      <c r="A385" s="33"/>
      <c r="B385" s="33"/>
      <c r="C385" s="33"/>
      <c r="D385" s="37"/>
      <c r="E385" s="8" t="s">
        <v>729</v>
      </c>
      <c r="F385" s="6">
        <v>1</v>
      </c>
      <c r="G385" s="31">
        <v>14.200</v>
      </c>
      <c r="H385" s="31"/>
      <c r="I385" s="31"/>
      <c r="J385" s="41">
        <f ca="1">ROUND(F385*G385,3)</f>
        <v>0</v>
      </c>
      <c r="K385" s="33"/>
      <c r="L385" s="33"/>
      <c r="M385" s="33"/>
    </row>
    <row r="386" spans="1:13" ht="15.12" thickBot="1" customHeight="1">
      <c r="A386" s="33"/>
      <c r="B386" s="33"/>
      <c r="C386" s="33"/>
      <c r="D386" s="37"/>
      <c r="E386" s="8" t="s">
        <v>730</v>
      </c>
      <c r="F386" s="6">
        <v>1</v>
      </c>
      <c r="G386" s="31">
        <v>24.400</v>
      </c>
      <c r="H386" s="31"/>
      <c r="I386" s="31"/>
      <c r="J386" s="41">
        <f ca="1">ROUND(F386*G386,3)</f>
        <v>0</v>
      </c>
      <c r="K386" s="33"/>
      <c r="L386" s="33"/>
      <c r="M386" s="33"/>
    </row>
    <row r="387" spans="1:13" ht="15.12" thickBot="1" customHeight="1">
      <c r="A387" s="33"/>
      <c r="B387" s="33"/>
      <c r="C387" s="33"/>
      <c r="D387" s="37"/>
      <c r="E387" s="8" t="s">
        <v>731</v>
      </c>
      <c r="F387" s="6">
        <v>1</v>
      </c>
      <c r="G387" s="31">
        <v>17.100</v>
      </c>
      <c r="H387" s="31"/>
      <c r="I387" s="31"/>
      <c r="J387" s="41">
        <f ca="1">ROUND(F387*G387,3)</f>
        <v>0</v>
      </c>
      <c r="K387" s="33"/>
      <c r="L387" s="33"/>
      <c r="M387" s="33"/>
    </row>
    <row r="388" spans="1:13" ht="15.12" thickBot="1" customHeight="1">
      <c r="A388" s="33"/>
      <c r="B388" s="33"/>
      <c r="C388" s="33"/>
      <c r="D388" s="37"/>
      <c r="E388" s="8" t="s">
        <v>732</v>
      </c>
      <c r="F388" s="6">
        <v>1</v>
      </c>
      <c r="G388" s="31">
        <v>27.600</v>
      </c>
      <c r="H388" s="31"/>
      <c r="I388" s="31"/>
      <c r="J388" s="41">
        <f ca="1">ROUND(F388*G388,3)</f>
        <v>0</v>
      </c>
      <c r="K388" s="33"/>
      <c r="L388" s="33"/>
      <c r="M388" s="33"/>
    </row>
    <row r="389" spans="1:13" ht="15.12" thickBot="1" customHeight="1">
      <c r="A389" s="33"/>
      <c r="B389" s="33"/>
      <c r="C389" s="33"/>
      <c r="D389" s="37"/>
      <c r="E389" s="8" t="s">
        <v>733</v>
      </c>
      <c r="F389" s="6">
        <v>1</v>
      </c>
      <c r="G389" s="31">
        <v>17.000</v>
      </c>
      <c r="H389" s="31"/>
      <c r="I389" s="31"/>
      <c r="J389" s="41">
        <f ca="1">ROUND(F389*G389,3)</f>
        <v>0</v>
      </c>
      <c r="K389" s="33"/>
      <c r="L389" s="33"/>
      <c r="M389" s="33"/>
    </row>
    <row r="390" spans="1:13" ht="15.12" thickBot="1" customHeight="1">
      <c r="A390" s="33"/>
      <c r="B390" s="33"/>
      <c r="C390" s="33"/>
      <c r="D390" s="37"/>
      <c r="E390" s="8" t="s">
        <v>734</v>
      </c>
      <c r="F390" s="6">
        <v>1</v>
      </c>
      <c r="G390" s="31">
        <v>37.800</v>
      </c>
      <c r="H390" s="31"/>
      <c r="I390" s="31"/>
      <c r="J390" s="41">
        <f ca="1">ROUND(F390*G390,3)</f>
        <v>0</v>
      </c>
      <c r="K390" s="33"/>
      <c r="L390" s="33"/>
      <c r="M390" s="33"/>
    </row>
    <row r="391" spans="1:13" ht="15.12" thickBot="1" customHeight="1">
      <c r="A391" s="33"/>
      <c r="B391" s="33"/>
      <c r="C391" s="33"/>
      <c r="D391" s="37"/>
      <c r="E391" s="8" t="s">
        <v>735</v>
      </c>
      <c r="F391" s="6">
        <v>1</v>
      </c>
      <c r="G391" s="31">
        <v>38.600</v>
      </c>
      <c r="H391" s="31"/>
      <c r="I391" s="31"/>
      <c r="J391" s="41">
        <f ca="1">ROUND(F391*G391,3)</f>
        <v>0</v>
      </c>
      <c r="K391" s="33"/>
      <c r="L391" s="33"/>
      <c r="M391" s="33"/>
    </row>
    <row r="392" spans="1:13" ht="15.12" thickBot="1" customHeight="1">
      <c r="A392" s="33"/>
      <c r="B392" s="33"/>
      <c r="C392" s="33"/>
      <c r="D392" s="37"/>
      <c r="E392" s="8" t="s">
        <v>736</v>
      </c>
      <c r="F392" s="6">
        <v>1</v>
      </c>
      <c r="G392" s="31">
        <v>80.500</v>
      </c>
      <c r="H392" s="31"/>
      <c r="I392" s="31"/>
      <c r="J392" s="41">
        <f ca="1">ROUND(F392*G392,3)</f>
        <v>0</v>
      </c>
      <c r="K392" s="33"/>
      <c r="L392" s="33"/>
      <c r="M392" s="33"/>
    </row>
    <row r="393" spans="1:13" ht="15.12" thickBot="1" customHeight="1">
      <c r="A393" s="33"/>
      <c r="B393" s="33"/>
      <c r="C393" s="33"/>
      <c r="D393" s="37"/>
      <c r="E393" s="8" t="s">
        <v>737</v>
      </c>
      <c r="F393" s="6">
        <v>1</v>
      </c>
      <c r="G393" s="31">
        <v>25.440</v>
      </c>
      <c r="H393" s="31"/>
      <c r="I393" s="31"/>
      <c r="J393" s="41">
        <f ca="1">ROUND(F393*G393,3)</f>
        <v>0</v>
      </c>
      <c r="K393" s="33"/>
      <c r="L393" s="33"/>
      <c r="M393" s="33"/>
    </row>
    <row r="394" spans="1:13" ht="15.12" thickBot="1" customHeight="1">
      <c r="A394" s="33"/>
      <c r="B394" s="33"/>
      <c r="C394" s="33"/>
      <c r="D394" s="37"/>
      <c r="E394" s="8" t="s">
        <v>738</v>
      </c>
      <c r="F394" s="6">
        <v>1.5</v>
      </c>
      <c r="G394" s="31">
        <v>145.000</v>
      </c>
      <c r="H394" s="31"/>
      <c r="I394" s="31"/>
      <c r="J394" s="41">
        <f ca="1">ROUND(F394*G394,3)</f>
        <v>0</v>
      </c>
      <c r="K394" s="43">
        <f ca="1">SUM(J383:J394)</f>
        <v>0</v>
      </c>
      <c r="L394" s="33"/>
      <c r="M394" s="33"/>
    </row>
    <row r="395" spans="1:13" ht="15.48" thickBot="1" customHeight="1">
      <c r="A395" s="15" t="s">
        <v>739</v>
      </c>
      <c r="B395" s="8" t="s">
        <v>740</v>
      </c>
      <c r="C395" s="8" t="s">
        <v>741</v>
      </c>
      <c r="D395" s="30" t="s">
        <v>742</v>
      </c>
      <c r="E395" s="30"/>
      <c r="F395" s="30"/>
      <c r="G395" s="30"/>
      <c r="H395" s="30"/>
      <c r="I395" s="30"/>
      <c r="J395" s="30"/>
      <c r="K395" s="31">
        <f ca="1">SUM(K398:K400)</f>
        <v>0</v>
      </c>
      <c r="L395" s="32">
        <f ca="1">ROUND(21.260*(1+M2/100),2)</f>
        <v>0</v>
      </c>
      <c r="M395" s="32">
        <f ca="1">ROUND(K395*L395,2)</f>
        <v>0</v>
      </c>
    </row>
    <row r="396" spans="1:13" ht="58.32" thickBot="1" customHeight="1">
      <c r="A396" s="33"/>
      <c r="B396" s="33"/>
      <c r="C396" s="33"/>
      <c r="D396" s="30" t="s">
        <v>743</v>
      </c>
      <c r="E396" s="30"/>
      <c r="F396" s="30"/>
      <c r="G396" s="30"/>
      <c r="H396" s="30"/>
      <c r="I396" s="30"/>
      <c r="J396" s="30"/>
      <c r="K396" s="30"/>
      <c r="L396" s="30"/>
      <c r="M396" s="30"/>
    </row>
    <row r="397" spans="1:13" ht="15.12" thickBot="1" customHeight="1">
      <c r="A397" s="33"/>
      <c r="B397" s="33"/>
      <c r="C397" s="33"/>
      <c r="D397" s="33"/>
      <c r="E397" s="34"/>
      <c r="F397" s="36" t="s">
        <v>744</v>
      </c>
      <c r="G397" s="36" t="s">
        <v>745</v>
      </c>
      <c r="H397" s="36" t="s">
        <v>746</v>
      </c>
      <c r="I397" s="36" t="s">
        <v>747</v>
      </c>
      <c r="J397" s="36" t="s">
        <v>748</v>
      </c>
      <c r="K397" s="36" t="s">
        <v>749</v>
      </c>
      <c r="L397" s="33"/>
      <c r="M397" s="33"/>
    </row>
    <row r="398" spans="1:13" ht="15.12" thickBot="1" customHeight="1">
      <c r="A398" s="33"/>
      <c r="B398" s="33"/>
      <c r="C398" s="33"/>
      <c r="D398" s="37"/>
      <c r="E398" s="38" t="s">
        <v>750</v>
      </c>
      <c r="F398" s="39">
        <v>15.86</v>
      </c>
      <c r="G398" s="40"/>
      <c r="H398" s="40"/>
      <c r="I398" s="40"/>
      <c r="J398" s="42">
        <f ca="1">ROUND(F398,3)</f>
        <v>0</v>
      </c>
      <c r="K398" s="45"/>
      <c r="L398" s="33"/>
      <c r="M398" s="33"/>
    </row>
    <row r="399" spans="1:13" ht="21.36" thickBot="1" customHeight="1">
      <c r="A399" s="33"/>
      <c r="B399" s="33"/>
      <c r="C399" s="33"/>
      <c r="D399" s="37"/>
      <c r="E399" s="8" t="s">
        <v>751</v>
      </c>
      <c r="F399" s="6">
        <v>62.72</v>
      </c>
      <c r="G399" s="31"/>
      <c r="H399" s="31"/>
      <c r="I399" s="31"/>
      <c r="J399" s="41">
        <f ca="1">ROUND(F399,3)</f>
        <v>0</v>
      </c>
      <c r="K399" s="33"/>
      <c r="L399" s="33"/>
      <c r="M399" s="33"/>
    </row>
    <row r="400" spans="1:13" ht="15.12" thickBot="1" customHeight="1">
      <c r="A400" s="33"/>
      <c r="B400" s="33"/>
      <c r="C400" s="33"/>
      <c r="D400" s="37"/>
      <c r="E400" s="8" t="s">
        <v>752</v>
      </c>
      <c r="F400" s="6">
        <v>21</v>
      </c>
      <c r="G400" s="31"/>
      <c r="H400" s="31"/>
      <c r="I400" s="31"/>
      <c r="J400" s="41">
        <f ca="1">ROUND(F400,3)</f>
        <v>0</v>
      </c>
      <c r="K400" s="43">
        <f ca="1">SUM(J398:J400)</f>
        <v>0</v>
      </c>
      <c r="L400" s="33"/>
      <c r="M400" s="33"/>
    </row>
    <row r="401" spans="1:13" ht="15.48" thickBot="1" customHeight="1">
      <c r="A401" s="15" t="s">
        <v>753</v>
      </c>
      <c r="B401" s="8" t="s">
        <v>754</v>
      </c>
      <c r="C401" s="8" t="s">
        <v>755</v>
      </c>
      <c r="D401" s="30" t="s">
        <v>756</v>
      </c>
      <c r="E401" s="30"/>
      <c r="F401" s="30"/>
      <c r="G401" s="30"/>
      <c r="H401" s="30"/>
      <c r="I401" s="30"/>
      <c r="J401" s="30"/>
      <c r="K401" s="31">
        <f ca="1">SUM(K404:K415)</f>
        <v>0</v>
      </c>
      <c r="L401" s="32">
        <f ca="1">ROUND(5.190*(1+M2/100),2)</f>
        <v>0</v>
      </c>
      <c r="M401" s="32">
        <f ca="1">ROUND(K401*L401,2)</f>
        <v>0</v>
      </c>
    </row>
    <row r="402" spans="1:13" ht="49.08" thickBot="1" customHeight="1">
      <c r="A402" s="33"/>
      <c r="B402" s="33"/>
      <c r="C402" s="33"/>
      <c r="D402" s="30" t="s">
        <v>757</v>
      </c>
      <c r="E402" s="30"/>
      <c r="F402" s="30"/>
      <c r="G402" s="30"/>
      <c r="H402" s="30"/>
      <c r="I402" s="30"/>
      <c r="J402" s="30"/>
      <c r="K402" s="30"/>
      <c r="L402" s="30"/>
      <c r="M402" s="30"/>
    </row>
    <row r="403" spans="1:13" ht="15.12" thickBot="1" customHeight="1">
      <c r="A403" s="33"/>
      <c r="B403" s="33"/>
      <c r="C403" s="33"/>
      <c r="D403" s="33"/>
      <c r="E403" s="34"/>
      <c r="F403" s="36" t="s">
        <v>758</v>
      </c>
      <c r="G403" s="36" t="s">
        <v>759</v>
      </c>
      <c r="H403" s="36" t="s">
        <v>760</v>
      </c>
      <c r="I403" s="36" t="s">
        <v>761</v>
      </c>
      <c r="J403" s="36" t="s">
        <v>762</v>
      </c>
      <c r="K403" s="36" t="s">
        <v>763</v>
      </c>
      <c r="L403" s="33"/>
      <c r="M403" s="33"/>
    </row>
    <row r="404" spans="1:13" ht="15.12" thickBot="1" customHeight="1">
      <c r="A404" s="33"/>
      <c r="B404" s="33"/>
      <c r="C404" s="33"/>
      <c r="D404" s="37"/>
      <c r="E404" s="38" t="s">
        <v>764</v>
      </c>
      <c r="F404" s="39">
        <v>1</v>
      </c>
      <c r="G404" s="40">
        <v>40.100</v>
      </c>
      <c r="H404" s="40"/>
      <c r="I404" s="40"/>
      <c r="J404" s="42">
        <f ca="1">ROUND(F404*G404,3)</f>
        <v>0</v>
      </c>
      <c r="K404" s="45"/>
      <c r="L404" s="33"/>
      <c r="M404" s="33"/>
    </row>
    <row r="405" spans="1:13" ht="15.12" thickBot="1" customHeight="1">
      <c r="A405" s="33"/>
      <c r="B405" s="33"/>
      <c r="C405" s="33"/>
      <c r="D405" s="37"/>
      <c r="E405" s="8" t="s">
        <v>765</v>
      </c>
      <c r="F405" s="6">
        <v>1</v>
      </c>
      <c r="G405" s="31">
        <v>36.300</v>
      </c>
      <c r="H405" s="31"/>
      <c r="I405" s="31"/>
      <c r="J405" s="41">
        <f ca="1">ROUND(F405*G405,3)</f>
        <v>0</v>
      </c>
      <c r="K405" s="33"/>
      <c r="L405" s="33"/>
      <c r="M405" s="33"/>
    </row>
    <row r="406" spans="1:13" ht="15.12" thickBot="1" customHeight="1">
      <c r="A406" s="33"/>
      <c r="B406" s="33"/>
      <c r="C406" s="33"/>
      <c r="D406" s="37"/>
      <c r="E406" s="8" t="s">
        <v>766</v>
      </c>
      <c r="F406" s="6">
        <v>1</v>
      </c>
      <c r="G406" s="31">
        <v>14.200</v>
      </c>
      <c r="H406" s="31"/>
      <c r="I406" s="31"/>
      <c r="J406" s="41">
        <f ca="1">ROUND(F406*G406,3)</f>
        <v>0</v>
      </c>
      <c r="K406" s="33"/>
      <c r="L406" s="33"/>
      <c r="M406" s="33"/>
    </row>
    <row r="407" spans="1:13" ht="15.12" thickBot="1" customHeight="1">
      <c r="A407" s="33"/>
      <c r="B407" s="33"/>
      <c r="C407" s="33"/>
      <c r="D407" s="37"/>
      <c r="E407" s="8" t="s">
        <v>767</v>
      </c>
      <c r="F407" s="6">
        <v>1</v>
      </c>
      <c r="G407" s="31">
        <v>24.400</v>
      </c>
      <c r="H407" s="31"/>
      <c r="I407" s="31"/>
      <c r="J407" s="41">
        <f ca="1">ROUND(F407*G407,3)</f>
        <v>0</v>
      </c>
      <c r="K407" s="33"/>
      <c r="L407" s="33"/>
      <c r="M407" s="33"/>
    </row>
    <row r="408" spans="1:13" ht="15.12" thickBot="1" customHeight="1">
      <c r="A408" s="33"/>
      <c r="B408" s="33"/>
      <c r="C408" s="33"/>
      <c r="D408" s="37"/>
      <c r="E408" s="8" t="s">
        <v>768</v>
      </c>
      <c r="F408" s="6">
        <v>1</v>
      </c>
      <c r="G408" s="31">
        <v>17.100</v>
      </c>
      <c r="H408" s="31"/>
      <c r="I408" s="31"/>
      <c r="J408" s="41">
        <f ca="1">ROUND(F408*G408,3)</f>
        <v>0</v>
      </c>
      <c r="K408" s="33"/>
      <c r="L408" s="33"/>
      <c r="M408" s="33"/>
    </row>
    <row r="409" spans="1:13" ht="15.12" thickBot="1" customHeight="1">
      <c r="A409" s="33"/>
      <c r="B409" s="33"/>
      <c r="C409" s="33"/>
      <c r="D409" s="37"/>
      <c r="E409" s="8" t="s">
        <v>769</v>
      </c>
      <c r="F409" s="6">
        <v>1</v>
      </c>
      <c r="G409" s="31">
        <v>27.600</v>
      </c>
      <c r="H409" s="31"/>
      <c r="I409" s="31"/>
      <c r="J409" s="41">
        <f ca="1">ROUND(F409*G409,3)</f>
        <v>0</v>
      </c>
      <c r="K409" s="33"/>
      <c r="L409" s="33"/>
      <c r="M409" s="33"/>
    </row>
    <row r="410" spans="1:13" ht="15.12" thickBot="1" customHeight="1">
      <c r="A410" s="33"/>
      <c r="B410" s="33"/>
      <c r="C410" s="33"/>
      <c r="D410" s="37"/>
      <c r="E410" s="8" t="s">
        <v>770</v>
      </c>
      <c r="F410" s="6">
        <v>1</v>
      </c>
      <c r="G410" s="31">
        <v>17.000</v>
      </c>
      <c r="H410" s="31"/>
      <c r="I410" s="31"/>
      <c r="J410" s="41">
        <f ca="1">ROUND(F410*G410,3)</f>
        <v>0</v>
      </c>
      <c r="K410" s="33"/>
      <c r="L410" s="33"/>
      <c r="M410" s="33"/>
    </row>
    <row r="411" spans="1:13" ht="15.12" thickBot="1" customHeight="1">
      <c r="A411" s="33"/>
      <c r="B411" s="33"/>
      <c r="C411" s="33"/>
      <c r="D411" s="37"/>
      <c r="E411" s="8" t="s">
        <v>771</v>
      </c>
      <c r="F411" s="6">
        <v>1</v>
      </c>
      <c r="G411" s="31">
        <v>37.800</v>
      </c>
      <c r="H411" s="31"/>
      <c r="I411" s="31"/>
      <c r="J411" s="41">
        <f ca="1">ROUND(F411*G411,3)</f>
        <v>0</v>
      </c>
      <c r="K411" s="33"/>
      <c r="L411" s="33"/>
      <c r="M411" s="33"/>
    </row>
    <row r="412" spans="1:13" ht="15.12" thickBot="1" customHeight="1">
      <c r="A412" s="33"/>
      <c r="B412" s="33"/>
      <c r="C412" s="33"/>
      <c r="D412" s="37"/>
      <c r="E412" s="8" t="s">
        <v>772</v>
      </c>
      <c r="F412" s="6">
        <v>1</v>
      </c>
      <c r="G412" s="31">
        <v>38.600</v>
      </c>
      <c r="H412" s="31"/>
      <c r="I412" s="31"/>
      <c r="J412" s="41">
        <f ca="1">ROUND(F412*G412,3)</f>
        <v>0</v>
      </c>
      <c r="K412" s="33"/>
      <c r="L412" s="33"/>
      <c r="M412" s="33"/>
    </row>
    <row r="413" spans="1:13" ht="15.12" thickBot="1" customHeight="1">
      <c r="A413" s="33"/>
      <c r="B413" s="33"/>
      <c r="C413" s="33"/>
      <c r="D413" s="37"/>
      <c r="E413" s="8" t="s">
        <v>773</v>
      </c>
      <c r="F413" s="6">
        <v>1</v>
      </c>
      <c r="G413" s="31">
        <v>80.500</v>
      </c>
      <c r="H413" s="31"/>
      <c r="I413" s="31"/>
      <c r="J413" s="41">
        <f ca="1">ROUND(F413*G413,3)</f>
        <v>0</v>
      </c>
      <c r="K413" s="33"/>
      <c r="L413" s="33"/>
      <c r="M413" s="33"/>
    </row>
    <row r="414" spans="1:13" ht="15.12" thickBot="1" customHeight="1">
      <c r="A414" s="33"/>
      <c r="B414" s="33"/>
      <c r="C414" s="33"/>
      <c r="D414" s="37"/>
      <c r="E414" s="8" t="s">
        <v>774</v>
      </c>
      <c r="F414" s="6">
        <v>1</v>
      </c>
      <c r="G414" s="31">
        <v>25.440</v>
      </c>
      <c r="H414" s="31"/>
      <c r="I414" s="31"/>
      <c r="J414" s="41">
        <f ca="1">ROUND(F414*G414,3)</f>
        <v>0</v>
      </c>
      <c r="K414" s="33"/>
      <c r="L414" s="33"/>
      <c r="M414" s="33"/>
    </row>
    <row r="415" spans="1:13" ht="15.12" thickBot="1" customHeight="1">
      <c r="A415" s="33"/>
      <c r="B415" s="33"/>
      <c r="C415" s="33"/>
      <c r="D415" s="37"/>
      <c r="E415" s="8" t="s">
        <v>775</v>
      </c>
      <c r="F415" s="6">
        <v>1.5</v>
      </c>
      <c r="G415" s="31">
        <v>143.000</v>
      </c>
      <c r="H415" s="31"/>
      <c r="I415" s="31"/>
      <c r="J415" s="41">
        <f ca="1">ROUND(F415*G415,3)</f>
        <v>0</v>
      </c>
      <c r="K415" s="43">
        <f ca="1">SUM(J404:J415)</f>
        <v>0</v>
      </c>
      <c r="L415" s="33"/>
      <c r="M415" s="33"/>
    </row>
    <row r="416" spans="1:13" ht="15.48" thickBot="1" customHeight="1">
      <c r="A416" s="46"/>
      <c r="B416" s="46"/>
      <c r="C416" s="46"/>
      <c r="D416" s="67" t="s">
        <v>776</v>
      </c>
      <c r="E416" s="68"/>
      <c r="F416" s="68"/>
      <c r="G416" s="68"/>
      <c r="H416" s="68"/>
      <c r="I416" s="68"/>
      <c r="J416" s="68"/>
      <c r="K416" s="68"/>
      <c r="L416" s="69">
        <f ca="1">M357+M366+M380+M395+M401</f>
        <v>0</v>
      </c>
      <c r="M416" s="69">
        <f ca="1">ROUND(L416,2)</f>
        <v>0</v>
      </c>
    </row>
    <row r="417" spans="1:13" ht="15.48" thickBot="1" customHeight="1">
      <c r="A417" s="70" t="s">
        <v>777</v>
      </c>
      <c r="B417" s="70" t="s">
        <v>778</v>
      </c>
      <c r="C417" s="71"/>
      <c r="D417" s="72" t="s">
        <v>779</v>
      </c>
      <c r="E417" s="72"/>
      <c r="F417" s="72"/>
      <c r="G417" s="72"/>
      <c r="H417" s="72"/>
      <c r="I417" s="72"/>
      <c r="J417" s="72"/>
      <c r="K417" s="71"/>
      <c r="L417" s="73">
        <f ca="1">L450</f>
        <v>0</v>
      </c>
      <c r="M417" s="73">
        <f ca="1">ROUND(L417,2)</f>
        <v>0</v>
      </c>
    </row>
    <row r="418" spans="1:13" ht="15.48" thickBot="1" customHeight="1">
      <c r="A418" s="15" t="s">
        <v>780</v>
      </c>
      <c r="B418" s="8" t="s">
        <v>781</v>
      </c>
      <c r="C418" s="8" t="s">
        <v>782</v>
      </c>
      <c r="D418" s="30" t="s">
        <v>783</v>
      </c>
      <c r="E418" s="30"/>
      <c r="F418" s="30"/>
      <c r="G418" s="30"/>
      <c r="H418" s="30"/>
      <c r="I418" s="30"/>
      <c r="J418" s="30"/>
      <c r="K418" s="31">
        <f ca="1">SUM(K421:K432)</f>
        <v>0</v>
      </c>
      <c r="L418" s="32">
        <f ca="1">ROUND(44.050*(1+M2/100),2)</f>
        <v>0</v>
      </c>
      <c r="M418" s="32">
        <f ca="1">ROUND(K418*L418,2)</f>
        <v>0</v>
      </c>
    </row>
    <row r="419" spans="1:13" ht="67.56" thickBot="1" customHeight="1">
      <c r="A419" s="33"/>
      <c r="B419" s="33"/>
      <c r="C419" s="33"/>
      <c r="D419" s="30" t="s">
        <v>784</v>
      </c>
      <c r="E419" s="30"/>
      <c r="F419" s="30"/>
      <c r="G419" s="30"/>
      <c r="H419" s="30"/>
      <c r="I419" s="30"/>
      <c r="J419" s="30"/>
      <c r="K419" s="30"/>
      <c r="L419" s="30"/>
      <c r="M419" s="30"/>
    </row>
    <row r="420" spans="1:13" ht="15.12" thickBot="1" customHeight="1">
      <c r="A420" s="33"/>
      <c r="B420" s="33"/>
      <c r="C420" s="33"/>
      <c r="D420" s="33"/>
      <c r="E420" s="34"/>
      <c r="F420" s="36" t="s">
        <v>785</v>
      </c>
      <c r="G420" s="36" t="s">
        <v>786</v>
      </c>
      <c r="H420" s="36" t="s">
        <v>787</v>
      </c>
      <c r="I420" s="36" t="s">
        <v>788</v>
      </c>
      <c r="J420" s="36" t="s">
        <v>789</v>
      </c>
      <c r="K420" s="36" t="s">
        <v>790</v>
      </c>
      <c r="L420" s="33"/>
      <c r="M420" s="33"/>
    </row>
    <row r="421" spans="1:13" ht="15.12" thickBot="1" customHeight="1">
      <c r="A421" s="33"/>
      <c r="B421" s="33"/>
      <c r="C421" s="33"/>
      <c r="D421" s="37"/>
      <c r="E421" s="38" t="s">
        <v>791</v>
      </c>
      <c r="F421" s="39">
        <v>1</v>
      </c>
      <c r="G421" s="40">
        <v>17.780</v>
      </c>
      <c r="H421" s="40"/>
      <c r="I421" s="40">
        <v>2.200</v>
      </c>
      <c r="J421" s="42">
        <f ca="1">ROUND(F421*G421*I421,3)</f>
        <v>0</v>
      </c>
      <c r="K421" s="45"/>
      <c r="L421" s="33"/>
      <c r="M421" s="33"/>
    </row>
    <row r="422" spans="1:13" ht="15.12" thickBot="1" customHeight="1">
      <c r="A422" s="33"/>
      <c r="B422" s="33"/>
      <c r="C422" s="33"/>
      <c r="D422" s="37"/>
      <c r="E422" s="8" t="s">
        <v>792</v>
      </c>
      <c r="F422" s="6">
        <v>1</v>
      </c>
      <c r="G422" s="31">
        <v>6.100</v>
      </c>
      <c r="H422" s="31"/>
      <c r="I422" s="31">
        <v>5.400</v>
      </c>
      <c r="J422" s="41">
        <f ca="1">ROUND(F422*G422*I422,3)</f>
        <v>0</v>
      </c>
      <c r="K422" s="33"/>
      <c r="L422" s="33"/>
      <c r="M422" s="33"/>
    </row>
    <row r="423" spans="1:13" ht="15.12" thickBot="1" customHeight="1">
      <c r="A423" s="33"/>
      <c r="B423" s="33"/>
      <c r="C423" s="33"/>
      <c r="D423" s="37"/>
      <c r="E423" s="8" t="s">
        <v>793</v>
      </c>
      <c r="F423" s="6">
        <v>1</v>
      </c>
      <c r="G423" s="31">
        <v>17.900</v>
      </c>
      <c r="H423" s="31"/>
      <c r="I423" s="31">
        <v>2.200</v>
      </c>
      <c r="J423" s="41">
        <f ca="1">ROUND(F423*G423*I423,3)</f>
        <v>0</v>
      </c>
      <c r="K423" s="33"/>
      <c r="L423" s="33"/>
      <c r="M423" s="33"/>
    </row>
    <row r="424" spans="1:13" ht="15.12" thickBot="1" customHeight="1">
      <c r="A424" s="33"/>
      <c r="B424" s="33"/>
      <c r="C424" s="33"/>
      <c r="D424" s="37"/>
      <c r="E424" s="8" t="s">
        <v>794</v>
      </c>
      <c r="F424" s="6">
        <v>1</v>
      </c>
      <c r="G424" s="31">
        <v>5.500</v>
      </c>
      <c r="H424" s="31"/>
      <c r="I424" s="31">
        <v>5.250</v>
      </c>
      <c r="J424" s="41">
        <f ca="1">ROUND(F424*G424*I424,3)</f>
        <v>0</v>
      </c>
      <c r="K424" s="33"/>
      <c r="L424" s="33"/>
      <c r="M424" s="33"/>
    </row>
    <row r="425" spans="1:13" ht="15.12" thickBot="1" customHeight="1">
      <c r="A425" s="33"/>
      <c r="B425" s="33"/>
      <c r="C425" s="33"/>
      <c r="D425" s="37"/>
      <c r="E425" s="8" t="s">
        <v>795</v>
      </c>
      <c r="F425" s="6">
        <v>1</v>
      </c>
      <c r="G425" s="31">
        <v>7.700</v>
      </c>
      <c r="H425" s="31"/>
      <c r="I425" s="31">
        <v>3.410</v>
      </c>
      <c r="J425" s="41">
        <f ca="1">ROUND(F425*G425*I425,3)</f>
        <v>0</v>
      </c>
      <c r="K425" s="33"/>
      <c r="L425" s="33"/>
      <c r="M425" s="33"/>
    </row>
    <row r="426" spans="1:13" ht="15.12" thickBot="1" customHeight="1">
      <c r="A426" s="33"/>
      <c r="B426" s="33"/>
      <c r="C426" s="33"/>
      <c r="D426" s="37"/>
      <c r="E426" s="8" t="s">
        <v>796</v>
      </c>
      <c r="F426" s="6">
        <v>1</v>
      </c>
      <c r="G426" s="31">
        <v>26.000</v>
      </c>
      <c r="H426" s="31"/>
      <c r="I426" s="31">
        <v>3.660</v>
      </c>
      <c r="J426" s="41">
        <f ca="1">ROUND(F426*G426*I426,3)</f>
        <v>0</v>
      </c>
      <c r="K426" s="33"/>
      <c r="L426" s="33"/>
      <c r="M426" s="33"/>
    </row>
    <row r="427" spans="1:13" ht="15.12" thickBot="1" customHeight="1">
      <c r="A427" s="33"/>
      <c r="B427" s="33"/>
      <c r="C427" s="33"/>
      <c r="D427" s="37"/>
      <c r="E427" s="8" t="s">
        <v>797</v>
      </c>
      <c r="F427" s="6">
        <v>1.5</v>
      </c>
      <c r="G427" s="31">
        <v>50.100</v>
      </c>
      <c r="H427" s="31"/>
      <c r="I427" s="31"/>
      <c r="J427" s="41">
        <f ca="1">ROUND(F427*G427,3)</f>
        <v>0</v>
      </c>
      <c r="K427" s="33"/>
      <c r="L427" s="33"/>
      <c r="M427" s="33"/>
    </row>
    <row r="428" spans="1:13" ht="15.12" thickBot="1" customHeight="1">
      <c r="A428" s="33"/>
      <c r="B428" s="33"/>
      <c r="C428" s="33"/>
      <c r="D428" s="37"/>
      <c r="E428" s="8" t="s">
        <v>798</v>
      </c>
      <c r="F428" s="6">
        <v>1</v>
      </c>
      <c r="G428" s="31">
        <v>19.500</v>
      </c>
      <c r="H428" s="31"/>
      <c r="I428" s="31">
        <v>2.850</v>
      </c>
      <c r="J428" s="41">
        <f ca="1">ROUND(F428*G428*I428,3)</f>
        <v>0</v>
      </c>
      <c r="K428" s="33"/>
      <c r="L428" s="33"/>
      <c r="M428" s="33"/>
    </row>
    <row r="429" spans="1:13" ht="15.12" thickBot="1" customHeight="1">
      <c r="A429" s="33"/>
      <c r="B429" s="33"/>
      <c r="C429" s="33"/>
      <c r="D429" s="37"/>
      <c r="E429" s="8" t="s">
        <v>799</v>
      </c>
      <c r="F429" s="6">
        <v>1.5</v>
      </c>
      <c r="G429" s="31">
        <v>19.700</v>
      </c>
      <c r="H429" s="31"/>
      <c r="I429" s="31"/>
      <c r="J429" s="41">
        <f ca="1">ROUND(F429*G429,3)</f>
        <v>0</v>
      </c>
      <c r="K429" s="33"/>
      <c r="L429" s="33"/>
      <c r="M429" s="33"/>
    </row>
    <row r="430" spans="1:13" ht="15.12" thickBot="1" customHeight="1">
      <c r="A430" s="33"/>
      <c r="B430" s="33"/>
      <c r="C430" s="33"/>
      <c r="D430" s="37"/>
      <c r="E430" s="8" t="s">
        <v>800</v>
      </c>
      <c r="F430" s="6">
        <v>1</v>
      </c>
      <c r="G430" s="31">
        <v>19.800</v>
      </c>
      <c r="H430" s="31"/>
      <c r="I430" s="31">
        <v>2.850</v>
      </c>
      <c r="J430" s="41">
        <f ca="1">ROUND(F430*G430*I430,3)</f>
        <v>0</v>
      </c>
      <c r="K430" s="33"/>
      <c r="L430" s="33"/>
      <c r="M430" s="33"/>
    </row>
    <row r="431" spans="1:13" ht="15.12" thickBot="1" customHeight="1">
      <c r="A431" s="33"/>
      <c r="B431" s="33"/>
      <c r="C431" s="33"/>
      <c r="D431" s="37"/>
      <c r="E431" s="8" t="s">
        <v>801</v>
      </c>
      <c r="F431" s="6">
        <v>1.5</v>
      </c>
      <c r="G431" s="31">
        <v>20.200</v>
      </c>
      <c r="H431" s="31"/>
      <c r="I431" s="31"/>
      <c r="J431" s="41">
        <f ca="1">ROUND(F431*G431,3)</f>
        <v>0</v>
      </c>
      <c r="K431" s="33"/>
      <c r="L431" s="33"/>
      <c r="M431" s="33"/>
    </row>
    <row r="432" spans="1:13" ht="15.12" thickBot="1" customHeight="1">
      <c r="A432" s="33"/>
      <c r="B432" s="33"/>
      <c r="C432" s="33"/>
      <c r="D432" s="37"/>
      <c r="E432" s="8" t="s">
        <v>802</v>
      </c>
      <c r="F432" s="6">
        <v>1</v>
      </c>
      <c r="G432" s="31">
        <v>6.800</v>
      </c>
      <c r="H432" s="31"/>
      <c r="I432" s="31">
        <v>3.000</v>
      </c>
      <c r="J432" s="41">
        <f ca="1">ROUND(F432*G432*I432,3)</f>
        <v>0</v>
      </c>
      <c r="K432" s="43">
        <f ca="1">SUM(J421:J432)</f>
        <v>0</v>
      </c>
      <c r="L432" s="33"/>
      <c r="M432" s="33"/>
    </row>
    <row r="433" spans="1:13" ht="15.48" thickBot="1" customHeight="1">
      <c r="A433" s="15" t="s">
        <v>803</v>
      </c>
      <c r="B433" s="8" t="s">
        <v>804</v>
      </c>
      <c r="C433" s="8" t="s">
        <v>805</v>
      </c>
      <c r="D433" s="30" t="s">
        <v>806</v>
      </c>
      <c r="E433" s="30"/>
      <c r="F433" s="30"/>
      <c r="G433" s="30"/>
      <c r="H433" s="30"/>
      <c r="I433" s="30"/>
      <c r="J433" s="30"/>
      <c r="K433" s="31">
        <f ca="1">SUM(K436:K440)</f>
        <v>0</v>
      </c>
      <c r="L433" s="32">
        <f ca="1">ROUND(101.560*(1+M2/100),2)</f>
        <v>0</v>
      </c>
      <c r="M433" s="32">
        <f ca="1">ROUND(K433*L433,2)</f>
        <v>0</v>
      </c>
    </row>
    <row r="434" spans="1:13" ht="86.04" thickBot="1" customHeight="1">
      <c r="A434" s="33"/>
      <c r="B434" s="33"/>
      <c r="C434" s="33"/>
      <c r="D434" s="30" t="s">
        <v>807</v>
      </c>
      <c r="E434" s="30"/>
      <c r="F434" s="30"/>
      <c r="G434" s="30"/>
      <c r="H434" s="30"/>
      <c r="I434" s="30"/>
      <c r="J434" s="30"/>
      <c r="K434" s="30"/>
      <c r="L434" s="30"/>
      <c r="M434" s="30"/>
    </row>
    <row r="435" spans="1:13" ht="15.12" thickBot="1" customHeight="1">
      <c r="A435" s="33"/>
      <c r="B435" s="33"/>
      <c r="C435" s="33"/>
      <c r="D435" s="33"/>
      <c r="E435" s="34"/>
      <c r="F435" s="36" t="s">
        <v>808</v>
      </c>
      <c r="G435" s="36" t="s">
        <v>809</v>
      </c>
      <c r="H435" s="36" t="s">
        <v>810</v>
      </c>
      <c r="I435" s="36" t="s">
        <v>811</v>
      </c>
      <c r="J435" s="36" t="s">
        <v>812</v>
      </c>
      <c r="K435" s="36" t="s">
        <v>813</v>
      </c>
      <c r="L435" s="33"/>
      <c r="M435" s="33"/>
    </row>
    <row r="436" spans="1:13" ht="15.12" thickBot="1" customHeight="1">
      <c r="A436" s="33"/>
      <c r="B436" s="33"/>
      <c r="C436" s="33"/>
      <c r="D436" s="37"/>
      <c r="E436" s="38" t="s">
        <v>814</v>
      </c>
      <c r="F436" s="39">
        <v>0.5</v>
      </c>
      <c r="G436" s="40">
        <v>4.000</v>
      </c>
      <c r="H436" s="40"/>
      <c r="I436" s="40"/>
      <c r="J436" s="42">
        <f ca="1">ROUND(F436*G436,3)</f>
        <v>0</v>
      </c>
      <c r="K436" s="45"/>
      <c r="L436" s="33"/>
      <c r="M436" s="33"/>
    </row>
    <row r="437" spans="1:13" ht="15.12" thickBot="1" customHeight="1">
      <c r="A437" s="33"/>
      <c r="B437" s="33"/>
      <c r="C437" s="33"/>
      <c r="D437" s="37"/>
      <c r="E437" s="8"/>
      <c r="F437" s="6">
        <v>0.5</v>
      </c>
      <c r="G437" s="31">
        <v>2.400</v>
      </c>
      <c r="H437" s="31"/>
      <c r="I437" s="31"/>
      <c r="J437" s="41">
        <f ca="1">ROUND(F437*G437,3)</f>
        <v>0</v>
      </c>
      <c r="K437" s="33"/>
      <c r="L437" s="33"/>
      <c r="M437" s="33"/>
    </row>
    <row r="438" spans="1:13" ht="15.12" thickBot="1" customHeight="1">
      <c r="A438" s="33"/>
      <c r="B438" s="33"/>
      <c r="C438" s="33"/>
      <c r="D438" s="37"/>
      <c r="E438" s="8" t="s">
        <v>815</v>
      </c>
      <c r="F438" s="6">
        <v>0.5</v>
      </c>
      <c r="G438" s="31">
        <v>85.800</v>
      </c>
      <c r="H438" s="31"/>
      <c r="I438" s="31"/>
      <c r="J438" s="41">
        <f ca="1">ROUND(F438*G438,3)</f>
        <v>0</v>
      </c>
      <c r="K438" s="33"/>
      <c r="L438" s="33"/>
      <c r="M438" s="33"/>
    </row>
    <row r="439" spans="1:13" ht="15.12" thickBot="1" customHeight="1">
      <c r="A439" s="33"/>
      <c r="B439" s="33"/>
      <c r="C439" s="33"/>
      <c r="D439" s="37"/>
      <c r="E439" s="8" t="s">
        <v>816</v>
      </c>
      <c r="F439" s="6">
        <v>0.5</v>
      </c>
      <c r="G439" s="31">
        <v>20.200</v>
      </c>
      <c r="H439" s="31"/>
      <c r="I439" s="31"/>
      <c r="J439" s="41">
        <f ca="1">ROUND(F439*G439,3)</f>
        <v>0</v>
      </c>
      <c r="K439" s="33"/>
      <c r="L439" s="33"/>
      <c r="M439" s="33"/>
    </row>
    <row r="440" spans="1:13" ht="15.12" thickBot="1" customHeight="1">
      <c r="A440" s="33"/>
      <c r="B440" s="33"/>
      <c r="C440" s="33"/>
      <c r="D440" s="37"/>
      <c r="E440" s="8" t="s">
        <v>817</v>
      </c>
      <c r="F440" s="6">
        <v>0.5</v>
      </c>
      <c r="G440" s="31">
        <v>19.700</v>
      </c>
      <c r="H440" s="31"/>
      <c r="I440" s="31"/>
      <c r="J440" s="41">
        <f ca="1">ROUND(F440*G440,3)</f>
        <v>0</v>
      </c>
      <c r="K440" s="43">
        <f ca="1">SUM(J436:J440)</f>
        <v>0</v>
      </c>
      <c r="L440" s="33"/>
      <c r="M440" s="33"/>
    </row>
    <row r="441" spans="1:13" ht="15.48" thickBot="1" customHeight="1">
      <c r="A441" s="15" t="s">
        <v>818</v>
      </c>
      <c r="B441" s="8" t="s">
        <v>819</v>
      </c>
      <c r="C441" s="8" t="s">
        <v>820</v>
      </c>
      <c r="D441" s="30" t="s">
        <v>821</v>
      </c>
      <c r="E441" s="30"/>
      <c r="F441" s="30"/>
      <c r="G441" s="30"/>
      <c r="H441" s="30"/>
      <c r="I441" s="30"/>
      <c r="J441" s="30"/>
      <c r="K441" s="31">
        <f ca="1">SUM(K444:K449)</f>
        <v>0</v>
      </c>
      <c r="L441" s="32">
        <f ca="1">ROUND(12.260*(1+M2/100),2)</f>
        <v>0</v>
      </c>
      <c r="M441" s="32">
        <f ca="1">ROUND(K441*L441,2)</f>
        <v>0</v>
      </c>
    </row>
    <row r="442" spans="1:13" ht="67.56" thickBot="1" customHeight="1">
      <c r="A442" s="33"/>
      <c r="B442" s="33"/>
      <c r="C442" s="33"/>
      <c r="D442" s="30" t="s">
        <v>822</v>
      </c>
      <c r="E442" s="30"/>
      <c r="F442" s="30"/>
      <c r="G442" s="30"/>
      <c r="H442" s="30"/>
      <c r="I442" s="30"/>
      <c r="J442" s="30"/>
      <c r="K442" s="30"/>
      <c r="L442" s="30"/>
      <c r="M442" s="30"/>
    </row>
    <row r="443" spans="1:13" ht="15.12" thickBot="1" customHeight="1">
      <c r="A443" s="33"/>
      <c r="B443" s="33"/>
      <c r="C443" s="33"/>
      <c r="D443" s="33"/>
      <c r="E443" s="34"/>
      <c r="F443" s="36" t="s">
        <v>823</v>
      </c>
      <c r="G443" s="36" t="s">
        <v>824</v>
      </c>
      <c r="H443" s="36" t="s">
        <v>825</v>
      </c>
      <c r="I443" s="36" t="s">
        <v>826</v>
      </c>
      <c r="J443" s="36" t="s">
        <v>827</v>
      </c>
      <c r="K443" s="36" t="s">
        <v>828</v>
      </c>
      <c r="L443" s="33"/>
      <c r="M443" s="33"/>
    </row>
    <row r="444" spans="1:13" ht="15.12" thickBot="1" customHeight="1">
      <c r="A444" s="33"/>
      <c r="B444" s="33"/>
      <c r="C444" s="33"/>
      <c r="D444" s="37"/>
      <c r="E444" s="38" t="s">
        <v>829</v>
      </c>
      <c r="F444" s="39">
        <v>1</v>
      </c>
      <c r="G444" s="40">
        <v>17.800</v>
      </c>
      <c r="H444" s="40"/>
      <c r="I444" s="40"/>
      <c r="J444" s="42">
        <f ca="1">ROUND(F444*G444,3)</f>
        <v>0</v>
      </c>
      <c r="K444" s="45"/>
      <c r="L444" s="33"/>
      <c r="M444" s="33"/>
    </row>
    <row r="445" spans="1:13" ht="15.12" thickBot="1" customHeight="1">
      <c r="A445" s="33"/>
      <c r="B445" s="33"/>
      <c r="C445" s="33"/>
      <c r="D445" s="37"/>
      <c r="E445" s="8" t="s">
        <v>830</v>
      </c>
      <c r="F445" s="6">
        <v>1</v>
      </c>
      <c r="G445" s="31">
        <v>17.900</v>
      </c>
      <c r="H445" s="31"/>
      <c r="I445" s="31"/>
      <c r="J445" s="41">
        <f ca="1">ROUND(F445*G445,3)</f>
        <v>0</v>
      </c>
      <c r="K445" s="33"/>
      <c r="L445" s="33"/>
      <c r="M445" s="33"/>
    </row>
    <row r="446" spans="1:13" ht="15.12" thickBot="1" customHeight="1">
      <c r="A446" s="33"/>
      <c r="B446" s="33"/>
      <c r="C446" s="33"/>
      <c r="D446" s="37"/>
      <c r="E446" s="8" t="s">
        <v>831</v>
      </c>
      <c r="F446" s="6">
        <v>1</v>
      </c>
      <c r="G446" s="31">
        <v>26.000</v>
      </c>
      <c r="H446" s="31"/>
      <c r="I446" s="31"/>
      <c r="J446" s="41">
        <f ca="1">ROUND(F446*G446,3)</f>
        <v>0</v>
      </c>
      <c r="K446" s="33"/>
      <c r="L446" s="33"/>
      <c r="M446" s="33"/>
    </row>
    <row r="447" spans="1:13" ht="15.12" thickBot="1" customHeight="1">
      <c r="A447" s="33"/>
      <c r="B447" s="33"/>
      <c r="C447" s="33"/>
      <c r="D447" s="37"/>
      <c r="E447" s="8" t="s">
        <v>832</v>
      </c>
      <c r="F447" s="6">
        <v>1</v>
      </c>
      <c r="G447" s="31">
        <v>19.500</v>
      </c>
      <c r="H447" s="31"/>
      <c r="I447" s="31"/>
      <c r="J447" s="41">
        <f ca="1">ROUND(F447*G447,3)</f>
        <v>0</v>
      </c>
      <c r="K447" s="33"/>
      <c r="L447" s="33"/>
      <c r="M447" s="33"/>
    </row>
    <row r="448" spans="1:13" ht="15.12" thickBot="1" customHeight="1">
      <c r="A448" s="33"/>
      <c r="B448" s="33"/>
      <c r="C448" s="33"/>
      <c r="D448" s="37"/>
      <c r="E448" s="8" t="s">
        <v>833</v>
      </c>
      <c r="F448" s="6">
        <v>1</v>
      </c>
      <c r="G448" s="31">
        <v>19.800</v>
      </c>
      <c r="H448" s="31"/>
      <c r="I448" s="31"/>
      <c r="J448" s="41">
        <f ca="1">ROUND(F448*G448,3)</f>
        <v>0</v>
      </c>
      <c r="K448" s="33"/>
      <c r="L448" s="33"/>
      <c r="M448" s="33"/>
    </row>
    <row r="449" spans="1:13" ht="15.12" thickBot="1" customHeight="1">
      <c r="A449" s="33"/>
      <c r="B449" s="33"/>
      <c r="C449" s="33"/>
      <c r="D449" s="37"/>
      <c r="E449" s="8" t="s">
        <v>834</v>
      </c>
      <c r="F449" s="6">
        <v>1</v>
      </c>
      <c r="G449" s="31">
        <v>3.300</v>
      </c>
      <c r="H449" s="31"/>
      <c r="I449" s="31"/>
      <c r="J449" s="41">
        <f ca="1">ROUND(F449*G449,3)</f>
        <v>0</v>
      </c>
      <c r="K449" s="43">
        <f ca="1">SUM(J444:J449)</f>
        <v>0</v>
      </c>
      <c r="L449" s="33"/>
      <c r="M449" s="33"/>
    </row>
    <row r="450" spans="1:13" ht="15.48" thickBot="1" customHeight="1">
      <c r="A450" s="46"/>
      <c r="B450" s="46"/>
      <c r="C450" s="46"/>
      <c r="D450" s="67" t="s">
        <v>835</v>
      </c>
      <c r="E450" s="68"/>
      <c r="F450" s="68"/>
      <c r="G450" s="68"/>
      <c r="H450" s="68"/>
      <c r="I450" s="68"/>
      <c r="J450" s="68"/>
      <c r="K450" s="68"/>
      <c r="L450" s="69">
        <f ca="1">M418+M433+M441</f>
        <v>0</v>
      </c>
      <c r="M450" s="69">
        <f ca="1">ROUND(L450,2)</f>
        <v>0</v>
      </c>
    </row>
    <row r="451" spans="1:13" ht="15.48" thickBot="1" customHeight="1">
      <c r="A451" s="55"/>
      <c r="B451" s="55"/>
      <c r="C451" s="55"/>
      <c r="D451" s="74" t="s">
        <v>836</v>
      </c>
      <c r="E451" s="75"/>
      <c r="F451" s="75"/>
      <c r="G451" s="75"/>
      <c r="H451" s="75"/>
      <c r="I451" s="75"/>
      <c r="J451" s="75"/>
      <c r="K451" s="75"/>
      <c r="L451" s="76">
        <f ca="1">M416+M450</f>
        <v>0</v>
      </c>
      <c r="M451" s="76">
        <f ca="1">ROUND(L451,2)</f>
        <v>0</v>
      </c>
    </row>
    <row r="452" spans="1:13" ht="15.48" thickBot="1" customHeight="1">
      <c r="A452" s="50" t="s">
        <v>837</v>
      </c>
      <c r="B452" s="50" t="s">
        <v>838</v>
      </c>
      <c r="C452" s="51"/>
      <c r="D452" s="52" t="s">
        <v>839</v>
      </c>
      <c r="E452" s="52"/>
      <c r="F452" s="52"/>
      <c r="G452" s="52"/>
      <c r="H452" s="52"/>
      <c r="I452" s="52"/>
      <c r="J452" s="52"/>
      <c r="K452" s="51"/>
      <c r="L452" s="53">
        <f ca="1">L463</f>
        <v>0</v>
      </c>
      <c r="M452" s="53">
        <f ca="1">ROUND(L452,2)</f>
        <v>0</v>
      </c>
    </row>
    <row r="453" spans="1:13" ht="15.48" thickBot="1" customHeight="1">
      <c r="A453" s="15" t="s">
        <v>840</v>
      </c>
      <c r="B453" s="8" t="s">
        <v>841</v>
      </c>
      <c r="C453" s="8" t="s">
        <v>842</v>
      </c>
      <c r="D453" s="30" t="s">
        <v>843</v>
      </c>
      <c r="E453" s="30"/>
      <c r="F453" s="30"/>
      <c r="G453" s="30"/>
      <c r="H453" s="30"/>
      <c r="I453" s="30"/>
      <c r="J453" s="30"/>
      <c r="K453" s="31">
        <f ca="1">ROUND(1.00,2)</f>
        <v>0</v>
      </c>
      <c r="L453" s="32">
        <f ca="1">ROUND(456.070*(1+M2/100),2)</f>
        <v>0</v>
      </c>
      <c r="M453" s="32">
        <f ca="1">ROUND(K453*L453,2)</f>
        <v>0</v>
      </c>
    </row>
    <row r="454" spans="1:13" ht="39.84" thickBot="1" customHeight="1">
      <c r="A454" s="33"/>
      <c r="B454" s="33"/>
      <c r="C454" s="33"/>
      <c r="D454" s="30" t="s">
        <v>844</v>
      </c>
      <c r="E454" s="30"/>
      <c r="F454" s="30"/>
      <c r="G454" s="30"/>
      <c r="H454" s="30"/>
      <c r="I454" s="30"/>
      <c r="J454" s="30"/>
      <c r="K454" s="30"/>
      <c r="L454" s="30"/>
      <c r="M454" s="30"/>
    </row>
    <row r="455" spans="1:13" ht="15.48" thickBot="1" customHeight="1">
      <c r="A455" s="15" t="s">
        <v>845</v>
      </c>
      <c r="B455" s="8" t="s">
        <v>846</v>
      </c>
      <c r="C455" s="8" t="s">
        <v>847</v>
      </c>
      <c r="D455" s="30" t="s">
        <v>848</v>
      </c>
      <c r="E455" s="30"/>
      <c r="F455" s="30"/>
      <c r="G455" s="30"/>
      <c r="H455" s="30"/>
      <c r="I455" s="30"/>
      <c r="J455" s="30"/>
      <c r="K455" s="31">
        <f ca="1">SUM(K458:K458)</f>
        <v>0</v>
      </c>
      <c r="L455" s="32">
        <f ca="1">ROUND(1000.750*(1+M2/100),2)</f>
        <v>0</v>
      </c>
      <c r="M455" s="32">
        <f ca="1">ROUND(K455*L455,2)</f>
        <v>0</v>
      </c>
    </row>
    <row r="456" spans="1:13" ht="39.84" thickBot="1" customHeight="1">
      <c r="A456" s="33"/>
      <c r="B456" s="33"/>
      <c r="C456" s="33"/>
      <c r="D456" s="30" t="s">
        <v>849</v>
      </c>
      <c r="E456" s="30"/>
      <c r="F456" s="30"/>
      <c r="G456" s="30"/>
      <c r="H456" s="30"/>
      <c r="I456" s="30"/>
      <c r="J456" s="30"/>
      <c r="K456" s="30"/>
      <c r="L456" s="30"/>
      <c r="M456" s="30"/>
    </row>
    <row r="457" spans="1:13" ht="15.12" thickBot="1" customHeight="1">
      <c r="A457" s="33"/>
      <c r="B457" s="33"/>
      <c r="C457" s="33"/>
      <c r="D457" s="33"/>
      <c r="E457" s="34"/>
      <c r="F457" s="36" t="s">
        <v>850</v>
      </c>
      <c r="G457" s="36" t="s">
        <v>851</v>
      </c>
      <c r="H457" s="36" t="s">
        <v>852</v>
      </c>
      <c r="I457" s="36" t="s">
        <v>853</v>
      </c>
      <c r="J457" s="36" t="s">
        <v>854</v>
      </c>
      <c r="K457" s="36" t="s">
        <v>855</v>
      </c>
      <c r="L457" s="33"/>
      <c r="M457" s="33"/>
    </row>
    <row r="458" spans="1:13" ht="15.12" thickBot="1" customHeight="1">
      <c r="A458" s="33"/>
      <c r="B458" s="33"/>
      <c r="C458" s="33"/>
      <c r="D458" s="37"/>
      <c r="E458" s="38"/>
      <c r="F458" s="39">
        <v>7</v>
      </c>
      <c r="G458" s="40"/>
      <c r="H458" s="40"/>
      <c r="I458" s="40"/>
      <c r="J458" s="42">
        <f ca="1">ROUND(F458,3)</f>
        <v>0</v>
      </c>
      <c r="K458" s="44">
        <f ca="1">SUM(J458:J458)</f>
        <v>0</v>
      </c>
      <c r="L458" s="33"/>
      <c r="M458" s="33"/>
    </row>
    <row r="459" spans="1:13" ht="15.48" thickBot="1" customHeight="1">
      <c r="A459" s="15" t="s">
        <v>856</v>
      </c>
      <c r="B459" s="8" t="s">
        <v>857</v>
      </c>
      <c r="C459" s="8" t="s">
        <v>858</v>
      </c>
      <c r="D459" s="30" t="s">
        <v>859</v>
      </c>
      <c r="E459" s="30"/>
      <c r="F459" s="30"/>
      <c r="G459" s="30"/>
      <c r="H459" s="30"/>
      <c r="I459" s="30"/>
      <c r="J459" s="30"/>
      <c r="K459" s="31">
        <f ca="1">ROUND(3.00,2)</f>
        <v>0</v>
      </c>
      <c r="L459" s="32">
        <f ca="1">ROUND(1379.690*(1+M2/100),2)</f>
        <v>0</v>
      </c>
      <c r="M459" s="32">
        <f ca="1">ROUND(K459*L459,2)</f>
        <v>0</v>
      </c>
    </row>
    <row r="460" spans="1:13" ht="49.08" thickBot="1" customHeight="1">
      <c r="A460" s="33"/>
      <c r="B460" s="33"/>
      <c r="C460" s="33"/>
      <c r="D460" s="30" t="s">
        <v>860</v>
      </c>
      <c r="E460" s="30"/>
      <c r="F460" s="30"/>
      <c r="G460" s="30"/>
      <c r="H460" s="30"/>
      <c r="I460" s="30"/>
      <c r="J460" s="30"/>
      <c r="K460" s="30"/>
      <c r="L460" s="30"/>
      <c r="M460" s="30"/>
    </row>
    <row r="461" spans="1:13" ht="15.48" thickBot="1" customHeight="1">
      <c r="A461" s="15" t="s">
        <v>861</v>
      </c>
      <c r="B461" s="8" t="s">
        <v>862</v>
      </c>
      <c r="C461" s="8" t="s">
        <v>863</v>
      </c>
      <c r="D461" s="30" t="s">
        <v>864</v>
      </c>
      <c r="E461" s="30"/>
      <c r="F461" s="30"/>
      <c r="G461" s="30"/>
      <c r="H461" s="30"/>
      <c r="I461" s="30"/>
      <c r="J461" s="30"/>
      <c r="K461" s="31">
        <f ca="1">ROUND(3.00,2)</f>
        <v>0</v>
      </c>
      <c r="L461" s="32">
        <f ca="1">ROUND(1756.310*(1+M2/100),2)</f>
        <v>0</v>
      </c>
      <c r="M461" s="32">
        <f ca="1">ROUND(K461*L461,2)</f>
        <v>0</v>
      </c>
    </row>
    <row r="462" spans="1:13" ht="49.08" thickBot="1" customHeight="1">
      <c r="A462" s="33"/>
      <c r="B462" s="33"/>
      <c r="C462" s="33"/>
      <c r="D462" s="30" t="s">
        <v>865</v>
      </c>
      <c r="E462" s="30"/>
      <c r="F462" s="30"/>
      <c r="G462" s="30"/>
      <c r="H462" s="30"/>
      <c r="I462" s="30"/>
      <c r="J462" s="30"/>
      <c r="K462" s="30"/>
      <c r="L462" s="30"/>
      <c r="M462" s="30"/>
    </row>
    <row r="463" spans="1:13" ht="15.48" thickBot="1" customHeight="1">
      <c r="A463" s="46"/>
      <c r="B463" s="46"/>
      <c r="C463" s="46"/>
      <c r="D463" s="47" t="s">
        <v>866</v>
      </c>
      <c r="E463" s="48"/>
      <c r="F463" s="48"/>
      <c r="G463" s="48"/>
      <c r="H463" s="48"/>
      <c r="I463" s="48"/>
      <c r="J463" s="48"/>
      <c r="K463" s="48"/>
      <c r="L463" s="49">
        <f ca="1">M453+M455+M459+M461</f>
        <v>0</v>
      </c>
      <c r="M463" s="49">
        <f ca="1">ROUND(L463,2)</f>
        <v>0</v>
      </c>
    </row>
    <row r="464" spans="1:13" ht="15.48" thickBot="1" customHeight="1">
      <c r="A464" s="55"/>
      <c r="B464" s="55"/>
      <c r="C464" s="55"/>
      <c r="D464" s="56" t="s">
        <v>867</v>
      </c>
      <c r="E464" s="57"/>
      <c r="F464" s="57"/>
      <c r="G464" s="57"/>
      <c r="H464" s="57"/>
      <c r="I464" s="57"/>
      <c r="J464" s="57"/>
      <c r="K464" s="57"/>
      <c r="L464" s="58">
        <f ca="1">M354+M451+M463</f>
        <v>0</v>
      </c>
      <c r="M464" s="58">
        <f ca="1">ROUND(L464,2)</f>
        <v>0</v>
      </c>
    </row>
    <row r="465" spans="1:13" ht="15.48" thickBot="1" customHeight="1">
      <c r="A465" s="59" t="s">
        <v>868</v>
      </c>
      <c r="B465" s="59" t="s">
        <v>869</v>
      </c>
      <c r="C465" s="60"/>
      <c r="D465" s="61" t="s">
        <v>870</v>
      </c>
      <c r="E465" s="61"/>
      <c r="F465" s="61"/>
      <c r="G465" s="61"/>
      <c r="H465" s="61"/>
      <c r="I465" s="61"/>
      <c r="J465" s="61"/>
      <c r="K465" s="60"/>
      <c r="L465" s="62">
        <f ca="1">L669</f>
        <v>0</v>
      </c>
      <c r="M465" s="62">
        <f ca="1">ROUND(L465,2)</f>
        <v>0</v>
      </c>
    </row>
    <row r="466" spans="1:13" ht="15.48" thickBot="1" customHeight="1">
      <c r="A466" s="26" t="s">
        <v>871</v>
      </c>
      <c r="B466" s="26" t="s">
        <v>872</v>
      </c>
      <c r="C466" s="27"/>
      <c r="D466" s="28" t="s">
        <v>873</v>
      </c>
      <c r="E466" s="28"/>
      <c r="F466" s="28"/>
      <c r="G466" s="28"/>
      <c r="H466" s="28"/>
      <c r="I466" s="28"/>
      <c r="J466" s="28"/>
      <c r="K466" s="27"/>
      <c r="L466" s="29">
        <f ca="1">L526</f>
        <v>0</v>
      </c>
      <c r="M466" s="29">
        <f ca="1">ROUND(L466,2)</f>
        <v>0</v>
      </c>
    </row>
    <row r="467" spans="1:13" ht="15.48" thickBot="1" customHeight="1">
      <c r="A467" s="15" t="s">
        <v>874</v>
      </c>
      <c r="B467" s="8" t="s">
        <v>875</v>
      </c>
      <c r="C467" s="8" t="s">
        <v>876</v>
      </c>
      <c r="D467" s="30" t="s">
        <v>877</v>
      </c>
      <c r="E467" s="30"/>
      <c r="F467" s="30"/>
      <c r="G467" s="30"/>
      <c r="H467" s="30"/>
      <c r="I467" s="30"/>
      <c r="J467" s="30"/>
      <c r="K467" s="31">
        <f ca="1">SUM(K470:K470)</f>
        <v>0</v>
      </c>
      <c r="L467" s="32">
        <f ca="1">ROUND(227.980*(1+M2/100),2)</f>
        <v>0</v>
      </c>
      <c r="M467" s="32">
        <f ca="1">ROUND(K467*L467,2)</f>
        <v>0</v>
      </c>
    </row>
    <row r="468" spans="1:13" ht="76.80" thickBot="1" customHeight="1">
      <c r="A468" s="33"/>
      <c r="B468" s="33"/>
      <c r="C468" s="33"/>
      <c r="D468" s="30" t="s">
        <v>878</v>
      </c>
      <c r="E468" s="30"/>
      <c r="F468" s="30"/>
      <c r="G468" s="30"/>
      <c r="H468" s="30"/>
      <c r="I468" s="30"/>
      <c r="J468" s="30"/>
      <c r="K468" s="30"/>
      <c r="L468" s="30"/>
      <c r="M468" s="30"/>
    </row>
    <row r="469" spans="1:13" ht="15.12" thickBot="1" customHeight="1">
      <c r="A469" s="33"/>
      <c r="B469" s="33"/>
      <c r="C469" s="33"/>
      <c r="D469" s="33"/>
      <c r="E469" s="34"/>
      <c r="F469" s="36" t="s">
        <v>879</v>
      </c>
      <c r="G469" s="36" t="s">
        <v>880</v>
      </c>
      <c r="H469" s="36" t="s">
        <v>881</v>
      </c>
      <c r="I469" s="36" t="s">
        <v>882</v>
      </c>
      <c r="J469" s="36" t="s">
        <v>883</v>
      </c>
      <c r="K469" s="36" t="s">
        <v>884</v>
      </c>
      <c r="L469" s="33"/>
      <c r="M469" s="33"/>
    </row>
    <row r="470" spans="1:13" ht="15.12" thickBot="1" customHeight="1">
      <c r="A470" s="33"/>
      <c r="B470" s="33"/>
      <c r="C470" s="33"/>
      <c r="D470" s="37"/>
      <c r="E470" s="38" t="s">
        <v>885</v>
      </c>
      <c r="F470" s="39">
        <v>1</v>
      </c>
      <c r="G470" s="40"/>
      <c r="H470" s="40"/>
      <c r="I470" s="40"/>
      <c r="J470" s="42">
        <f ca="1">ROUND(F470,3)</f>
        <v>0</v>
      </c>
      <c r="K470" s="44">
        <f ca="1">SUM(J470:J470)</f>
        <v>0</v>
      </c>
      <c r="L470" s="33"/>
      <c r="M470" s="33"/>
    </row>
    <row r="471" spans="1:13" ht="15.48" thickBot="1" customHeight="1">
      <c r="A471" s="15" t="s">
        <v>886</v>
      </c>
      <c r="B471" s="8" t="s">
        <v>887</v>
      </c>
      <c r="C471" s="8" t="s">
        <v>888</v>
      </c>
      <c r="D471" s="30" t="s">
        <v>889</v>
      </c>
      <c r="E471" s="30"/>
      <c r="F471" s="30"/>
      <c r="G471" s="30"/>
      <c r="H471" s="30"/>
      <c r="I471" s="30"/>
      <c r="J471" s="30"/>
      <c r="K471" s="31">
        <f ca="1">SUM(K474:K476)</f>
        <v>0</v>
      </c>
      <c r="L471" s="32">
        <f ca="1">ROUND(44.850*(1+M2/100),2)</f>
        <v>0</v>
      </c>
      <c r="M471" s="32">
        <f ca="1">ROUND(K471*L471,2)</f>
        <v>0</v>
      </c>
    </row>
    <row r="472" spans="1:13" ht="76.80" thickBot="1" customHeight="1">
      <c r="A472" s="33"/>
      <c r="B472" s="33"/>
      <c r="C472" s="33"/>
      <c r="D472" s="30" t="s">
        <v>890</v>
      </c>
      <c r="E472" s="30"/>
      <c r="F472" s="30"/>
      <c r="G472" s="30"/>
      <c r="H472" s="30"/>
      <c r="I472" s="30"/>
      <c r="J472" s="30"/>
      <c r="K472" s="30"/>
      <c r="L472" s="30"/>
      <c r="M472" s="30"/>
    </row>
    <row r="473" spans="1:13" ht="15.12" thickBot="1" customHeight="1">
      <c r="A473" s="33"/>
      <c r="B473" s="33"/>
      <c r="C473" s="33"/>
      <c r="D473" s="33"/>
      <c r="E473" s="34"/>
      <c r="F473" s="36" t="s">
        <v>891</v>
      </c>
      <c r="G473" s="36" t="s">
        <v>892</v>
      </c>
      <c r="H473" s="36" t="s">
        <v>893</v>
      </c>
      <c r="I473" s="36" t="s">
        <v>894</v>
      </c>
      <c r="J473" s="36" t="s">
        <v>895</v>
      </c>
      <c r="K473" s="36" t="s">
        <v>896</v>
      </c>
      <c r="L473" s="33"/>
      <c r="M473" s="33"/>
    </row>
    <row r="474" spans="1:13" ht="15.12" thickBot="1" customHeight="1">
      <c r="A474" s="33"/>
      <c r="B474" s="33"/>
      <c r="C474" s="33"/>
      <c r="D474" s="37"/>
      <c r="E474" s="38" t="s">
        <v>897</v>
      </c>
      <c r="F474" s="39">
        <v>70</v>
      </c>
      <c r="G474" s="40"/>
      <c r="H474" s="40"/>
      <c r="I474" s="40"/>
      <c r="J474" s="42">
        <f ca="1">ROUND(F474,3)</f>
        <v>0</v>
      </c>
      <c r="K474" s="45"/>
      <c r="L474" s="33"/>
      <c r="M474" s="33"/>
    </row>
    <row r="475" spans="1:13" ht="15.12" thickBot="1" customHeight="1">
      <c r="A475" s="33"/>
      <c r="B475" s="33"/>
      <c r="C475" s="33"/>
      <c r="D475" s="37"/>
      <c r="E475" s="8" t="s">
        <v>898</v>
      </c>
      <c r="F475" s="6">
        <v>70</v>
      </c>
      <c r="G475" s="31"/>
      <c r="H475" s="31"/>
      <c r="I475" s="31"/>
      <c r="J475" s="41">
        <f ca="1">ROUND(F475,3)</f>
        <v>0</v>
      </c>
      <c r="K475" s="33"/>
      <c r="L475" s="33"/>
      <c r="M475" s="33"/>
    </row>
    <row r="476" spans="1:13" ht="15.12" thickBot="1" customHeight="1">
      <c r="A476" s="33"/>
      <c r="B476" s="33"/>
      <c r="C476" s="33"/>
      <c r="D476" s="37"/>
      <c r="E476" s="8" t="s">
        <v>899</v>
      </c>
      <c r="F476" s="6">
        <v>100</v>
      </c>
      <c r="G476" s="31"/>
      <c r="H476" s="31"/>
      <c r="I476" s="31"/>
      <c r="J476" s="41">
        <f ca="1">ROUND(F476,3)</f>
        <v>0</v>
      </c>
      <c r="K476" s="43">
        <f ca="1">SUM(J474:J476)</f>
        <v>0</v>
      </c>
      <c r="L476" s="33"/>
      <c r="M476" s="33"/>
    </row>
    <row r="477" spans="1:13" ht="15.48" thickBot="1" customHeight="1">
      <c r="A477" s="15" t="s">
        <v>900</v>
      </c>
      <c r="B477" s="8" t="s">
        <v>901</v>
      </c>
      <c r="C477" s="8" t="s">
        <v>902</v>
      </c>
      <c r="D477" s="30" t="s">
        <v>903</v>
      </c>
      <c r="E477" s="30"/>
      <c r="F477" s="30"/>
      <c r="G477" s="30"/>
      <c r="H477" s="30"/>
      <c r="I477" s="30"/>
      <c r="J477" s="30"/>
      <c r="K477" s="31">
        <f ca="1">SUM(K480:K480)</f>
        <v>0</v>
      </c>
      <c r="L477" s="32">
        <f ca="1">ROUND(117.060*(1+M2/100),2)</f>
        <v>0</v>
      </c>
      <c r="M477" s="32">
        <f ca="1">ROUND(K477*L477,2)</f>
        <v>0</v>
      </c>
    </row>
    <row r="478" spans="1:13" ht="86.04" thickBot="1" customHeight="1">
      <c r="A478" s="33"/>
      <c r="B478" s="33"/>
      <c r="C478" s="33"/>
      <c r="D478" s="30" t="s">
        <v>904</v>
      </c>
      <c r="E478" s="30"/>
      <c r="F478" s="30"/>
      <c r="G478" s="30"/>
      <c r="H478" s="30"/>
      <c r="I478" s="30"/>
      <c r="J478" s="30"/>
      <c r="K478" s="30"/>
      <c r="L478" s="30"/>
      <c r="M478" s="30"/>
    </row>
    <row r="479" spans="1:13" ht="15.12" thickBot="1" customHeight="1">
      <c r="A479" s="33"/>
      <c r="B479" s="33"/>
      <c r="C479" s="33"/>
      <c r="D479" s="33"/>
      <c r="E479" s="34"/>
      <c r="F479" s="36" t="s">
        <v>905</v>
      </c>
      <c r="G479" s="36" t="s">
        <v>906</v>
      </c>
      <c r="H479" s="36" t="s">
        <v>907</v>
      </c>
      <c r="I479" s="36" t="s">
        <v>908</v>
      </c>
      <c r="J479" s="36" t="s">
        <v>909</v>
      </c>
      <c r="K479" s="36" t="s">
        <v>910</v>
      </c>
      <c r="L479" s="33"/>
      <c r="M479" s="33"/>
    </row>
    <row r="480" spans="1:13" ht="15.12" thickBot="1" customHeight="1">
      <c r="A480" s="33"/>
      <c r="B480" s="33"/>
      <c r="C480" s="33"/>
      <c r="D480" s="37"/>
      <c r="E480" s="38" t="s">
        <v>911</v>
      </c>
      <c r="F480" s="39">
        <v>15.86</v>
      </c>
      <c r="G480" s="40"/>
      <c r="H480" s="40"/>
      <c r="I480" s="40"/>
      <c r="J480" s="42">
        <f ca="1">ROUND(F480,3)</f>
        <v>0</v>
      </c>
      <c r="K480" s="44">
        <f ca="1">SUM(J480:J480)</f>
        <v>0</v>
      </c>
      <c r="L480" s="33"/>
      <c r="M480" s="33"/>
    </row>
    <row r="481" spans="1:13" ht="15.48" thickBot="1" customHeight="1">
      <c r="A481" s="15" t="s">
        <v>912</v>
      </c>
      <c r="B481" s="8" t="s">
        <v>913</v>
      </c>
      <c r="C481" s="8" t="s">
        <v>914</v>
      </c>
      <c r="D481" s="30" t="s">
        <v>915</v>
      </c>
      <c r="E481" s="30"/>
      <c r="F481" s="30"/>
      <c r="G481" s="30"/>
      <c r="H481" s="30"/>
      <c r="I481" s="30"/>
      <c r="J481" s="30"/>
      <c r="K481" s="31">
        <f ca="1">SUM(K484:K484)</f>
        <v>0</v>
      </c>
      <c r="L481" s="32">
        <f ca="1">ROUND(123.120*(1+M2/100),2)</f>
        <v>0</v>
      </c>
      <c r="M481" s="32">
        <f ca="1">ROUND(K481*L481,2)</f>
        <v>0</v>
      </c>
    </row>
    <row r="482" spans="1:13" ht="86.04" thickBot="1" customHeight="1">
      <c r="A482" s="33"/>
      <c r="B482" s="33"/>
      <c r="C482" s="33"/>
      <c r="D482" s="30" t="s">
        <v>916</v>
      </c>
      <c r="E482" s="30"/>
      <c r="F482" s="30"/>
      <c r="G482" s="30"/>
      <c r="H482" s="30"/>
      <c r="I482" s="30"/>
      <c r="J482" s="30"/>
      <c r="K482" s="30"/>
      <c r="L482" s="30"/>
      <c r="M482" s="30"/>
    </row>
    <row r="483" spans="1:13" ht="15.12" thickBot="1" customHeight="1">
      <c r="A483" s="33"/>
      <c r="B483" s="33"/>
      <c r="C483" s="33"/>
      <c r="D483" s="33"/>
      <c r="E483" s="34"/>
      <c r="F483" s="36" t="s">
        <v>917</v>
      </c>
      <c r="G483" s="36" t="s">
        <v>918</v>
      </c>
      <c r="H483" s="36" t="s">
        <v>919</v>
      </c>
      <c r="I483" s="36" t="s">
        <v>920</v>
      </c>
      <c r="J483" s="36" t="s">
        <v>921</v>
      </c>
      <c r="K483" s="36" t="s">
        <v>922</v>
      </c>
      <c r="L483" s="33"/>
      <c r="M483" s="33"/>
    </row>
    <row r="484" spans="1:13" ht="15.12" thickBot="1" customHeight="1">
      <c r="A484" s="33"/>
      <c r="B484" s="33"/>
      <c r="C484" s="33"/>
      <c r="D484" s="37"/>
      <c r="E484" s="38" t="s">
        <v>923</v>
      </c>
      <c r="F484" s="39">
        <v>62.72</v>
      </c>
      <c r="G484" s="40"/>
      <c r="H484" s="40"/>
      <c r="I484" s="40"/>
      <c r="J484" s="42">
        <f ca="1">ROUND(F484,3)</f>
        <v>0</v>
      </c>
      <c r="K484" s="44">
        <f ca="1">SUM(J484:J484)</f>
        <v>0</v>
      </c>
      <c r="L484" s="33"/>
      <c r="M484" s="33"/>
    </row>
    <row r="485" spans="1:13" ht="15.48" thickBot="1" customHeight="1">
      <c r="A485" s="15" t="s">
        <v>924</v>
      </c>
      <c r="B485" s="8" t="s">
        <v>925</v>
      </c>
      <c r="C485" s="8" t="s">
        <v>926</v>
      </c>
      <c r="D485" s="30" t="s">
        <v>927</v>
      </c>
      <c r="E485" s="30"/>
      <c r="F485" s="30"/>
      <c r="G485" s="30"/>
      <c r="H485" s="30"/>
      <c r="I485" s="30"/>
      <c r="J485" s="30"/>
      <c r="K485" s="31">
        <f ca="1">SUM(K488:K488)</f>
        <v>0</v>
      </c>
      <c r="L485" s="32">
        <f ca="1">ROUND(154.480*(1+M2/100),2)</f>
        <v>0</v>
      </c>
      <c r="M485" s="32">
        <f ca="1">ROUND(K485*L485,2)</f>
        <v>0</v>
      </c>
    </row>
    <row r="486" spans="1:13" ht="86.04" thickBot="1" customHeight="1">
      <c r="A486" s="33"/>
      <c r="B486" s="33"/>
      <c r="C486" s="33"/>
      <c r="D486" s="30" t="s">
        <v>928</v>
      </c>
      <c r="E486" s="30"/>
      <c r="F486" s="30"/>
      <c r="G486" s="30"/>
      <c r="H486" s="30"/>
      <c r="I486" s="30"/>
      <c r="J486" s="30"/>
      <c r="K486" s="30"/>
      <c r="L486" s="30"/>
      <c r="M486" s="30"/>
    </row>
    <row r="487" spans="1:13" ht="15.12" thickBot="1" customHeight="1">
      <c r="A487" s="33"/>
      <c r="B487" s="33"/>
      <c r="C487" s="33"/>
      <c r="D487" s="33"/>
      <c r="E487" s="34"/>
      <c r="F487" s="36" t="s">
        <v>929</v>
      </c>
      <c r="G487" s="36" t="s">
        <v>930</v>
      </c>
      <c r="H487" s="36" t="s">
        <v>931</v>
      </c>
      <c r="I487" s="36" t="s">
        <v>932</v>
      </c>
      <c r="J487" s="36" t="s">
        <v>933</v>
      </c>
      <c r="K487" s="36" t="s">
        <v>934</v>
      </c>
      <c r="L487" s="33"/>
      <c r="M487" s="33"/>
    </row>
    <row r="488" spans="1:13" ht="15.12" thickBot="1" customHeight="1">
      <c r="A488" s="33"/>
      <c r="B488" s="33"/>
      <c r="C488" s="33"/>
      <c r="D488" s="37"/>
      <c r="E488" s="38" t="s">
        <v>935</v>
      </c>
      <c r="F488" s="39">
        <v>21</v>
      </c>
      <c r="G488" s="40"/>
      <c r="H488" s="40"/>
      <c r="I488" s="40"/>
      <c r="J488" s="42">
        <f ca="1">ROUND(F488,3)</f>
        <v>0</v>
      </c>
      <c r="K488" s="44">
        <f ca="1">SUM(J488:J488)</f>
        <v>0</v>
      </c>
      <c r="L488" s="33"/>
      <c r="M488" s="33"/>
    </row>
    <row r="489" spans="1:13" ht="15.48" thickBot="1" customHeight="1">
      <c r="A489" s="15" t="s">
        <v>936</v>
      </c>
      <c r="B489" s="8" t="s">
        <v>937</v>
      </c>
      <c r="C489" s="8" t="s">
        <v>938</v>
      </c>
      <c r="D489" s="30" t="s">
        <v>939</v>
      </c>
      <c r="E489" s="30"/>
      <c r="F489" s="30"/>
      <c r="G489" s="30"/>
      <c r="H489" s="30"/>
      <c r="I489" s="30"/>
      <c r="J489" s="30"/>
      <c r="K489" s="31">
        <f ca="1">SUM(K492:K493)</f>
        <v>0</v>
      </c>
      <c r="L489" s="32">
        <f ca="1">ROUND(30.830*(1+M2/100),2)</f>
        <v>0</v>
      </c>
      <c r="M489" s="32">
        <f ca="1">ROUND(K489*L489,2)</f>
        <v>0</v>
      </c>
    </row>
    <row r="490" spans="1:13" ht="58.32" thickBot="1" customHeight="1">
      <c r="A490" s="33"/>
      <c r="B490" s="33"/>
      <c r="C490" s="33"/>
      <c r="D490" s="30" t="s">
        <v>940</v>
      </c>
      <c r="E490" s="30"/>
      <c r="F490" s="30"/>
      <c r="G490" s="30"/>
      <c r="H490" s="30"/>
      <c r="I490" s="30"/>
      <c r="J490" s="30"/>
      <c r="K490" s="30"/>
      <c r="L490" s="30"/>
      <c r="M490" s="30"/>
    </row>
    <row r="491" spans="1:13" ht="15.12" thickBot="1" customHeight="1">
      <c r="A491" s="33"/>
      <c r="B491" s="33"/>
      <c r="C491" s="33"/>
      <c r="D491" s="33"/>
      <c r="E491" s="34"/>
      <c r="F491" s="36" t="s">
        <v>941</v>
      </c>
      <c r="G491" s="36" t="s">
        <v>942</v>
      </c>
      <c r="H491" s="36" t="s">
        <v>943</v>
      </c>
      <c r="I491" s="36" t="s">
        <v>944</v>
      </c>
      <c r="J491" s="36" t="s">
        <v>945</v>
      </c>
      <c r="K491" s="36" t="s">
        <v>946</v>
      </c>
      <c r="L491" s="33"/>
      <c r="M491" s="33"/>
    </row>
    <row r="492" spans="1:13" ht="15.12" thickBot="1" customHeight="1">
      <c r="A492" s="33"/>
      <c r="B492" s="33"/>
      <c r="C492" s="33"/>
      <c r="D492" s="37"/>
      <c r="E492" s="38" t="s">
        <v>947</v>
      </c>
      <c r="F492" s="39">
        <v>15.86</v>
      </c>
      <c r="G492" s="40"/>
      <c r="H492" s="40"/>
      <c r="I492" s="40"/>
      <c r="J492" s="42">
        <f ca="1">ROUND(F492,3)</f>
        <v>0</v>
      </c>
      <c r="K492" s="45"/>
      <c r="L492" s="33"/>
      <c r="M492" s="33"/>
    </row>
    <row r="493" spans="1:13" ht="15.12" thickBot="1" customHeight="1">
      <c r="A493" s="33"/>
      <c r="B493" s="33"/>
      <c r="C493" s="33"/>
      <c r="D493" s="37"/>
      <c r="E493" s="8" t="s">
        <v>948</v>
      </c>
      <c r="F493" s="6">
        <v>21</v>
      </c>
      <c r="G493" s="31"/>
      <c r="H493" s="31"/>
      <c r="I493" s="31"/>
      <c r="J493" s="41">
        <f ca="1">ROUND(F493,3)</f>
        <v>0</v>
      </c>
      <c r="K493" s="43">
        <f ca="1">SUM(J492:J493)</f>
        <v>0</v>
      </c>
      <c r="L493" s="33"/>
      <c r="M493" s="33"/>
    </row>
    <row r="494" spans="1:13" ht="15.48" thickBot="1" customHeight="1">
      <c r="A494" s="15" t="s">
        <v>949</v>
      </c>
      <c r="B494" s="8" t="s">
        <v>950</v>
      </c>
      <c r="C494" s="8" t="s">
        <v>951</v>
      </c>
      <c r="D494" s="30" t="s">
        <v>952</v>
      </c>
      <c r="E494" s="30"/>
      <c r="F494" s="30"/>
      <c r="G494" s="30"/>
      <c r="H494" s="30"/>
      <c r="I494" s="30"/>
      <c r="J494" s="30"/>
      <c r="K494" s="31">
        <f ca="1">SUM(K497:K504)</f>
        <v>0</v>
      </c>
      <c r="L494" s="32">
        <f ca="1">ROUND(21.830*(1+M2/100),2)</f>
        <v>0</v>
      </c>
      <c r="M494" s="32">
        <f ca="1">ROUND(K494*L494,2)</f>
        <v>0</v>
      </c>
    </row>
    <row r="495" spans="1:13" ht="49.08" thickBot="1" customHeight="1">
      <c r="A495" s="33"/>
      <c r="B495" s="33"/>
      <c r="C495" s="33"/>
      <c r="D495" s="30" t="s">
        <v>953</v>
      </c>
      <c r="E495" s="30"/>
      <c r="F495" s="30"/>
      <c r="G495" s="30"/>
      <c r="H495" s="30"/>
      <c r="I495" s="30"/>
      <c r="J495" s="30"/>
      <c r="K495" s="30"/>
      <c r="L495" s="30"/>
      <c r="M495" s="30"/>
    </row>
    <row r="496" spans="1:13" ht="15.12" thickBot="1" customHeight="1">
      <c r="A496" s="33"/>
      <c r="B496" s="33"/>
      <c r="C496" s="33"/>
      <c r="D496" s="33"/>
      <c r="E496" s="34"/>
      <c r="F496" s="36" t="s">
        <v>954</v>
      </c>
      <c r="G496" s="36" t="s">
        <v>955</v>
      </c>
      <c r="H496" s="36" t="s">
        <v>956</v>
      </c>
      <c r="I496" s="36" t="s">
        <v>957</v>
      </c>
      <c r="J496" s="36" t="s">
        <v>958</v>
      </c>
      <c r="K496" s="36" t="s">
        <v>959</v>
      </c>
      <c r="L496" s="33"/>
      <c r="M496" s="33"/>
    </row>
    <row r="497" spans="1:13" ht="15.12" thickBot="1" customHeight="1">
      <c r="A497" s="33"/>
      <c r="B497" s="33"/>
      <c r="C497" s="33"/>
      <c r="D497" s="37"/>
      <c r="E497" s="38" t="s">
        <v>960</v>
      </c>
      <c r="F497" s="39">
        <v>1</v>
      </c>
      <c r="G497" s="40">
        <v>62.720</v>
      </c>
      <c r="H497" s="40"/>
      <c r="I497" s="40"/>
      <c r="J497" s="42">
        <f ca="1">ROUND(F497*G497,3)</f>
        <v>0</v>
      </c>
      <c r="K497" s="45"/>
      <c r="L497" s="33"/>
      <c r="M497" s="33"/>
    </row>
    <row r="498" spans="1:13" ht="15.12" thickBot="1" customHeight="1">
      <c r="A498" s="33"/>
      <c r="B498" s="33"/>
      <c r="C498" s="33"/>
      <c r="D498" s="37"/>
      <c r="E498" s="8" t="s">
        <v>961</v>
      </c>
      <c r="F498" s="6">
        <v>4</v>
      </c>
      <c r="G498" s="31">
        <v>4.900</v>
      </c>
      <c r="H498" s="31"/>
      <c r="I498" s="31">
        <v>0.900</v>
      </c>
      <c r="J498" s="41">
        <f ca="1">ROUND(F498*G498*I498,3)</f>
        <v>0</v>
      </c>
      <c r="K498" s="33"/>
      <c r="L498" s="33"/>
      <c r="M498" s="33"/>
    </row>
    <row r="499" spans="1:13" ht="15.12" thickBot="1" customHeight="1">
      <c r="A499" s="33"/>
      <c r="B499" s="33"/>
      <c r="C499" s="33"/>
      <c r="D499" s="37"/>
      <c r="E499" s="8" t="s">
        <v>962</v>
      </c>
      <c r="F499" s="6">
        <v>4</v>
      </c>
      <c r="G499" s="31">
        <v>3.700</v>
      </c>
      <c r="H499" s="31"/>
      <c r="I499" s="31">
        <v>1.100</v>
      </c>
      <c r="J499" s="41">
        <f ca="1">ROUND(F499*G499*I499,3)</f>
        <v>0</v>
      </c>
      <c r="K499" s="33"/>
      <c r="L499" s="33"/>
      <c r="M499" s="33"/>
    </row>
    <row r="500" spans="1:13" ht="21.36" thickBot="1" customHeight="1">
      <c r="A500" s="33"/>
      <c r="B500" s="33"/>
      <c r="C500" s="33"/>
      <c r="D500" s="37"/>
      <c r="E500" s="8" t="s">
        <v>963</v>
      </c>
      <c r="F500" s="6"/>
      <c r="G500" s="31"/>
      <c r="H500" s="31"/>
      <c r="I500" s="31"/>
      <c r="J500" s="35" t="s">
        <v>964</v>
      </c>
      <c r="K500" s="33"/>
      <c r="L500" s="33"/>
      <c r="M500" s="33"/>
    </row>
    <row r="501" spans="1:13" ht="15.12" thickBot="1" customHeight="1">
      <c r="A501" s="33"/>
      <c r="B501" s="33"/>
      <c r="C501" s="33"/>
      <c r="D501" s="37"/>
      <c r="E501" s="8" t="s">
        <v>965</v>
      </c>
      <c r="F501" s="6">
        <v>1</v>
      </c>
      <c r="G501" s="31">
        <v>3.200</v>
      </c>
      <c r="H501" s="31"/>
      <c r="I501" s="31">
        <v>1.600</v>
      </c>
      <c r="J501" s="41">
        <f ca="1">ROUND(F501*G501*I501,3)</f>
        <v>0</v>
      </c>
      <c r="K501" s="33"/>
      <c r="L501" s="33"/>
      <c r="M501" s="33"/>
    </row>
    <row r="502" spans="1:13" ht="15.12" thickBot="1" customHeight="1">
      <c r="A502" s="33"/>
      <c r="B502" s="33"/>
      <c r="C502" s="33"/>
      <c r="D502" s="37"/>
      <c r="E502" s="8" t="s">
        <v>966</v>
      </c>
      <c r="F502" s="6">
        <v>1</v>
      </c>
      <c r="G502" s="31">
        <v>2.500</v>
      </c>
      <c r="H502" s="31"/>
      <c r="I502" s="31">
        <v>1.400</v>
      </c>
      <c r="J502" s="41">
        <f ca="1">ROUND(F502*G502*I502,3)</f>
        <v>0</v>
      </c>
      <c r="K502" s="33"/>
      <c r="L502" s="33"/>
      <c r="M502" s="33"/>
    </row>
    <row r="503" spans="1:13" ht="15.12" thickBot="1" customHeight="1">
      <c r="A503" s="33"/>
      <c r="B503" s="33"/>
      <c r="C503" s="33"/>
      <c r="D503" s="37"/>
      <c r="E503" s="8" t="s">
        <v>967</v>
      </c>
      <c r="F503" s="6">
        <v>1</v>
      </c>
      <c r="G503" s="31">
        <v>3.700</v>
      </c>
      <c r="H503" s="31"/>
      <c r="I503" s="31">
        <v>1.900</v>
      </c>
      <c r="J503" s="41">
        <f ca="1">ROUND(F503*G503*I503,3)</f>
        <v>0</v>
      </c>
      <c r="K503" s="33"/>
      <c r="L503" s="33"/>
      <c r="M503" s="33"/>
    </row>
    <row r="504" spans="1:13" ht="15.12" thickBot="1" customHeight="1">
      <c r="A504" s="33"/>
      <c r="B504" s="33"/>
      <c r="C504" s="33"/>
      <c r="D504" s="37"/>
      <c r="E504" s="8" t="s">
        <v>968</v>
      </c>
      <c r="F504" s="6">
        <v>1</v>
      </c>
      <c r="G504" s="31">
        <v>4.250</v>
      </c>
      <c r="H504" s="31"/>
      <c r="I504" s="31">
        <v>1.900</v>
      </c>
      <c r="J504" s="41">
        <f ca="1">ROUND(F504*G504*I504,3)</f>
        <v>0</v>
      </c>
      <c r="K504" s="43">
        <f ca="1">SUM(J497:J504)</f>
        <v>0</v>
      </c>
      <c r="L504" s="33"/>
      <c r="M504" s="33"/>
    </row>
    <row r="505" spans="1:13" ht="15.48" thickBot="1" customHeight="1">
      <c r="A505" s="15" t="s">
        <v>969</v>
      </c>
      <c r="B505" s="8" t="s">
        <v>970</v>
      </c>
      <c r="C505" s="8" t="s">
        <v>971</v>
      </c>
      <c r="D505" s="30" t="s">
        <v>972</v>
      </c>
      <c r="E505" s="30"/>
      <c r="F505" s="30"/>
      <c r="G505" s="30"/>
      <c r="H505" s="30"/>
      <c r="I505" s="30"/>
      <c r="J505" s="30"/>
      <c r="K505" s="31">
        <f ca="1">SUM(K508:K520)</f>
        <v>0</v>
      </c>
      <c r="L505" s="32">
        <f ca="1">ROUND(32.440*(1+M2/100),2)</f>
        <v>0</v>
      </c>
      <c r="M505" s="32">
        <f ca="1">ROUND(K505*L505,2)</f>
        <v>0</v>
      </c>
    </row>
    <row r="506" spans="1:13" ht="58.32" thickBot="1" customHeight="1">
      <c r="A506" s="33"/>
      <c r="B506" s="33"/>
      <c r="C506" s="33"/>
      <c r="D506" s="30" t="s">
        <v>973</v>
      </c>
      <c r="E506" s="30"/>
      <c r="F506" s="30"/>
      <c r="G506" s="30"/>
      <c r="H506" s="30"/>
      <c r="I506" s="30"/>
      <c r="J506" s="30"/>
      <c r="K506" s="30"/>
      <c r="L506" s="30"/>
      <c r="M506" s="30"/>
    </row>
    <row r="507" spans="1:13" ht="15.12" thickBot="1" customHeight="1">
      <c r="A507" s="33"/>
      <c r="B507" s="33"/>
      <c r="C507" s="33"/>
      <c r="D507" s="33"/>
      <c r="E507" s="34"/>
      <c r="F507" s="36" t="s">
        <v>974</v>
      </c>
      <c r="G507" s="36" t="s">
        <v>975</v>
      </c>
      <c r="H507" s="36" t="s">
        <v>976</v>
      </c>
      <c r="I507" s="36" t="s">
        <v>977</v>
      </c>
      <c r="J507" s="36" t="s">
        <v>978</v>
      </c>
      <c r="K507" s="36" t="s">
        <v>979</v>
      </c>
      <c r="L507" s="33"/>
      <c r="M507" s="33"/>
    </row>
    <row r="508" spans="1:13" ht="15.12" thickBot="1" customHeight="1">
      <c r="A508" s="33"/>
      <c r="B508" s="33"/>
      <c r="C508" s="33"/>
      <c r="D508" s="37"/>
      <c r="E508" s="38" t="s">
        <v>980</v>
      </c>
      <c r="F508" s="39">
        <v>1</v>
      </c>
      <c r="G508" s="40">
        <v>17.780</v>
      </c>
      <c r="H508" s="40"/>
      <c r="I508" s="40">
        <v>2.200</v>
      </c>
      <c r="J508" s="42">
        <f ca="1">ROUND(F508*G508*I508,3)</f>
        <v>0</v>
      </c>
      <c r="K508" s="45"/>
      <c r="L508" s="33"/>
      <c r="M508" s="33"/>
    </row>
    <row r="509" spans="1:13" ht="15.12" thickBot="1" customHeight="1">
      <c r="A509" s="33"/>
      <c r="B509" s="33"/>
      <c r="C509" s="33"/>
      <c r="D509" s="37"/>
      <c r="E509" s="8" t="s">
        <v>981</v>
      </c>
      <c r="F509" s="6">
        <v>1</v>
      </c>
      <c r="G509" s="31">
        <v>6.100</v>
      </c>
      <c r="H509" s="31"/>
      <c r="I509" s="31">
        <v>5.400</v>
      </c>
      <c r="J509" s="41">
        <f ca="1">ROUND(F509*G509*I509,3)</f>
        <v>0</v>
      </c>
      <c r="K509" s="33"/>
      <c r="L509" s="33"/>
      <c r="M509" s="33"/>
    </row>
    <row r="510" spans="1:13" ht="15.12" thickBot="1" customHeight="1">
      <c r="A510" s="33"/>
      <c r="B510" s="33"/>
      <c r="C510" s="33"/>
      <c r="D510" s="37"/>
      <c r="E510" s="8" t="s">
        <v>982</v>
      </c>
      <c r="F510" s="6">
        <v>1</v>
      </c>
      <c r="G510" s="31">
        <v>17.900</v>
      </c>
      <c r="H510" s="31"/>
      <c r="I510" s="31">
        <v>2.200</v>
      </c>
      <c r="J510" s="41">
        <f ca="1">ROUND(F510*G510*I510,3)</f>
        <v>0</v>
      </c>
      <c r="K510" s="33"/>
      <c r="L510" s="33"/>
      <c r="M510" s="33"/>
    </row>
    <row r="511" spans="1:13" ht="15.12" thickBot="1" customHeight="1">
      <c r="A511" s="33"/>
      <c r="B511" s="33"/>
      <c r="C511" s="33"/>
      <c r="D511" s="37"/>
      <c r="E511" s="8" t="s">
        <v>983</v>
      </c>
      <c r="F511" s="6">
        <v>1</v>
      </c>
      <c r="G511" s="31">
        <v>5.500</v>
      </c>
      <c r="H511" s="31"/>
      <c r="I511" s="31">
        <v>5.250</v>
      </c>
      <c r="J511" s="41">
        <f ca="1">ROUND(F511*G511*I511,3)</f>
        <v>0</v>
      </c>
      <c r="K511" s="33"/>
      <c r="L511" s="33"/>
      <c r="M511" s="33"/>
    </row>
    <row r="512" spans="1:13" ht="15.12" thickBot="1" customHeight="1">
      <c r="A512" s="33"/>
      <c r="B512" s="33"/>
      <c r="C512" s="33"/>
      <c r="D512" s="37"/>
      <c r="E512" s="8" t="s">
        <v>984</v>
      </c>
      <c r="F512" s="6">
        <v>1</v>
      </c>
      <c r="G512" s="31">
        <v>7.700</v>
      </c>
      <c r="H512" s="31"/>
      <c r="I512" s="31">
        <v>3.410</v>
      </c>
      <c r="J512" s="41">
        <f ca="1">ROUND(F512*G512*I512,3)</f>
        <v>0</v>
      </c>
      <c r="K512" s="33"/>
      <c r="L512" s="33"/>
      <c r="M512" s="33"/>
    </row>
    <row r="513" spans="1:13" ht="15.12" thickBot="1" customHeight="1">
      <c r="A513" s="33"/>
      <c r="B513" s="33"/>
      <c r="C513" s="33"/>
      <c r="D513" s="37"/>
      <c r="E513" s="8" t="s">
        <v>985</v>
      </c>
      <c r="F513" s="6">
        <v>1</v>
      </c>
      <c r="G513" s="31">
        <v>26.000</v>
      </c>
      <c r="H513" s="31"/>
      <c r="I513" s="31">
        <v>3.660</v>
      </c>
      <c r="J513" s="41">
        <f ca="1">ROUND(F513*G513*I513,3)</f>
        <v>0</v>
      </c>
      <c r="K513" s="33"/>
      <c r="L513" s="33"/>
      <c r="M513" s="33"/>
    </row>
    <row r="514" spans="1:13" ht="15.12" thickBot="1" customHeight="1">
      <c r="A514" s="33"/>
      <c r="B514" s="33"/>
      <c r="C514" s="33"/>
      <c r="D514" s="37"/>
      <c r="E514" s="8" t="s">
        <v>986</v>
      </c>
      <c r="F514" s="6">
        <v>1.5</v>
      </c>
      <c r="G514" s="31">
        <v>50.100</v>
      </c>
      <c r="H514" s="31"/>
      <c r="I514" s="31"/>
      <c r="J514" s="41">
        <f ca="1">ROUND(F514*G514,3)</f>
        <v>0</v>
      </c>
      <c r="K514" s="33"/>
      <c r="L514" s="33"/>
      <c r="M514" s="33"/>
    </row>
    <row r="515" spans="1:13" ht="15.12" thickBot="1" customHeight="1">
      <c r="A515" s="33"/>
      <c r="B515" s="33"/>
      <c r="C515" s="33"/>
      <c r="D515" s="37"/>
      <c r="E515" s="8" t="s">
        <v>987</v>
      </c>
      <c r="F515" s="6">
        <v>1</v>
      </c>
      <c r="G515" s="31">
        <v>19.500</v>
      </c>
      <c r="H515" s="31"/>
      <c r="I515" s="31">
        <v>2.850</v>
      </c>
      <c r="J515" s="41">
        <f ca="1">ROUND(F515*G515*I515,3)</f>
        <v>0</v>
      </c>
      <c r="K515" s="33"/>
      <c r="L515" s="33"/>
      <c r="M515" s="33"/>
    </row>
    <row r="516" spans="1:13" ht="15.12" thickBot="1" customHeight="1">
      <c r="A516" s="33"/>
      <c r="B516" s="33"/>
      <c r="C516" s="33"/>
      <c r="D516" s="37"/>
      <c r="E516" s="8" t="s">
        <v>988</v>
      </c>
      <c r="F516" s="6">
        <v>1.5</v>
      </c>
      <c r="G516" s="31">
        <v>19.700</v>
      </c>
      <c r="H516" s="31"/>
      <c r="I516" s="31"/>
      <c r="J516" s="41">
        <f ca="1">ROUND(F516*G516,3)</f>
        <v>0</v>
      </c>
      <c r="K516" s="33"/>
      <c r="L516" s="33"/>
      <c r="M516" s="33"/>
    </row>
    <row r="517" spans="1:13" ht="15.12" thickBot="1" customHeight="1">
      <c r="A517" s="33"/>
      <c r="B517" s="33"/>
      <c r="C517" s="33"/>
      <c r="D517" s="37"/>
      <c r="E517" s="8" t="s">
        <v>989</v>
      </c>
      <c r="F517" s="6">
        <v>1</v>
      </c>
      <c r="G517" s="31">
        <v>19.800</v>
      </c>
      <c r="H517" s="31"/>
      <c r="I517" s="31">
        <v>2.850</v>
      </c>
      <c r="J517" s="41">
        <f ca="1">ROUND(F517*G517*I517,3)</f>
        <v>0</v>
      </c>
      <c r="K517" s="33"/>
      <c r="L517" s="33"/>
      <c r="M517" s="33"/>
    </row>
    <row r="518" spans="1:13" ht="15.12" thickBot="1" customHeight="1">
      <c r="A518" s="33"/>
      <c r="B518" s="33"/>
      <c r="C518" s="33"/>
      <c r="D518" s="37"/>
      <c r="E518" s="8" t="s">
        <v>990</v>
      </c>
      <c r="F518" s="6">
        <v>1.5</v>
      </c>
      <c r="G518" s="31">
        <v>20.200</v>
      </c>
      <c r="H518" s="31"/>
      <c r="I518" s="31"/>
      <c r="J518" s="41">
        <f ca="1">ROUND(F518*G518,3)</f>
        <v>0</v>
      </c>
      <c r="K518" s="33"/>
      <c r="L518" s="33"/>
      <c r="M518" s="33"/>
    </row>
    <row r="519" spans="1:13" ht="15.12" thickBot="1" customHeight="1">
      <c r="A519" s="33"/>
      <c r="B519" s="33"/>
      <c r="C519" s="33"/>
      <c r="D519" s="37"/>
      <c r="E519" s="8" t="s">
        <v>991</v>
      </c>
      <c r="F519" s="6">
        <v>1</v>
      </c>
      <c r="G519" s="31">
        <v>6.800</v>
      </c>
      <c r="H519" s="31"/>
      <c r="I519" s="31">
        <v>3.000</v>
      </c>
      <c r="J519" s="41">
        <f ca="1">ROUND(F519*G519*I519,3)</f>
        <v>0</v>
      </c>
      <c r="K519" s="33"/>
      <c r="L519" s="33"/>
      <c r="M519" s="33"/>
    </row>
    <row r="520" spans="1:13" ht="15.12" thickBot="1" customHeight="1">
      <c r="A520" s="33"/>
      <c r="B520" s="33"/>
      <c r="C520" s="33"/>
      <c r="D520" s="37"/>
      <c r="E520" s="8" t="s">
        <v>992</v>
      </c>
      <c r="F520" s="6">
        <v>1.5</v>
      </c>
      <c r="G520" s="31">
        <v>145.000</v>
      </c>
      <c r="H520" s="31"/>
      <c r="I520" s="31"/>
      <c r="J520" s="41">
        <f ca="1">ROUND(F520*G520,3)</f>
        <v>0</v>
      </c>
      <c r="K520" s="43">
        <f ca="1">SUM(J508:J520)</f>
        <v>0</v>
      </c>
      <c r="L520" s="33"/>
      <c r="M520" s="33"/>
    </row>
    <row r="521" spans="1:13" ht="15.48" thickBot="1" customHeight="1">
      <c r="A521" s="15" t="s">
        <v>993</v>
      </c>
      <c r="B521" s="8" t="s">
        <v>994</v>
      </c>
      <c r="C521" s="8" t="s">
        <v>995</v>
      </c>
      <c r="D521" s="30" t="s">
        <v>996</v>
      </c>
      <c r="E521" s="30"/>
      <c r="F521" s="30"/>
      <c r="G521" s="30"/>
      <c r="H521" s="30"/>
      <c r="I521" s="30"/>
      <c r="J521" s="30"/>
      <c r="K521" s="31">
        <f ca="1">SUM(K524:K525)</f>
        <v>0</v>
      </c>
      <c r="L521" s="32">
        <f ca="1">ROUND(72.310*(1+M2/100),2)</f>
        <v>0</v>
      </c>
      <c r="M521" s="32">
        <f ca="1">ROUND(K521*L521,2)</f>
        <v>0</v>
      </c>
    </row>
    <row r="522" spans="1:13" ht="86.04" thickBot="1" customHeight="1">
      <c r="A522" s="33"/>
      <c r="B522" s="33"/>
      <c r="C522" s="33"/>
      <c r="D522" s="30" t="s">
        <v>997</v>
      </c>
      <c r="E522" s="30"/>
      <c r="F522" s="30"/>
      <c r="G522" s="30"/>
      <c r="H522" s="30"/>
      <c r="I522" s="30"/>
      <c r="J522" s="30"/>
      <c r="K522" s="30"/>
      <c r="L522" s="30"/>
      <c r="M522" s="30"/>
    </row>
    <row r="523" spans="1:13" ht="15.12" thickBot="1" customHeight="1">
      <c r="A523" s="33"/>
      <c r="B523" s="33"/>
      <c r="C523" s="33"/>
      <c r="D523" s="33"/>
      <c r="E523" s="34"/>
      <c r="F523" s="36" t="s">
        <v>998</v>
      </c>
      <c r="G523" s="36" t="s">
        <v>999</v>
      </c>
      <c r="H523" s="36" t="s">
        <v>1000</v>
      </c>
      <c r="I523" s="36" t="s">
        <v>1001</v>
      </c>
      <c r="J523" s="36" t="s">
        <v>1002</v>
      </c>
      <c r="K523" s="36" t="s">
        <v>1003</v>
      </c>
      <c r="L523" s="33"/>
      <c r="M523" s="33"/>
    </row>
    <row r="524" spans="1:13" ht="15.12" thickBot="1" customHeight="1">
      <c r="A524" s="33"/>
      <c r="B524" s="33"/>
      <c r="C524" s="33"/>
      <c r="D524" s="37"/>
      <c r="E524" s="38" t="s">
        <v>1004</v>
      </c>
      <c r="F524" s="39">
        <v>1</v>
      </c>
      <c r="G524" s="40">
        <v>17.900</v>
      </c>
      <c r="H524" s="40"/>
      <c r="I524" s="40"/>
      <c r="J524" s="42">
        <f ca="1">ROUND(F524*G524,3)</f>
        <v>0</v>
      </c>
      <c r="K524" s="45"/>
      <c r="L524" s="33"/>
      <c r="M524" s="33"/>
    </row>
    <row r="525" spans="1:13" ht="15.12" thickBot="1" customHeight="1">
      <c r="A525" s="33"/>
      <c r="B525" s="33"/>
      <c r="C525" s="33"/>
      <c r="D525" s="37"/>
      <c r="E525" s="8" t="s">
        <v>1005</v>
      </c>
      <c r="F525" s="6">
        <v>1</v>
      </c>
      <c r="G525" s="31">
        <v>18.100</v>
      </c>
      <c r="H525" s="31"/>
      <c r="I525" s="31"/>
      <c r="J525" s="41">
        <f ca="1">ROUND(F525*G525,3)</f>
        <v>0</v>
      </c>
      <c r="K525" s="43">
        <f ca="1">SUM(J524:J525)</f>
        <v>0</v>
      </c>
      <c r="L525" s="33"/>
      <c r="M525" s="33"/>
    </row>
    <row r="526" spans="1:13" ht="15.48" thickBot="1" customHeight="1">
      <c r="A526" s="46"/>
      <c r="B526" s="46"/>
      <c r="C526" s="46"/>
      <c r="D526" s="47" t="s">
        <v>1006</v>
      </c>
      <c r="E526" s="48"/>
      <c r="F526" s="48"/>
      <c r="G526" s="48"/>
      <c r="H526" s="48"/>
      <c r="I526" s="48"/>
      <c r="J526" s="48"/>
      <c r="K526" s="48"/>
      <c r="L526" s="49">
        <f ca="1">M467+M471+M477+M481+M485+M489+M494+M505+M521</f>
        <v>0</v>
      </c>
      <c r="M526" s="49">
        <f ca="1">ROUND(L526,2)</f>
        <v>0</v>
      </c>
    </row>
    <row r="527" spans="1:13" ht="15.48" thickBot="1" customHeight="1">
      <c r="A527" s="50" t="s">
        <v>1007</v>
      </c>
      <c r="B527" s="50" t="s">
        <v>1008</v>
      </c>
      <c r="C527" s="51"/>
      <c r="D527" s="52" t="s">
        <v>1009</v>
      </c>
      <c r="E527" s="52"/>
      <c r="F527" s="52"/>
      <c r="G527" s="52"/>
      <c r="H527" s="52"/>
      <c r="I527" s="52"/>
      <c r="J527" s="52"/>
      <c r="K527" s="51"/>
      <c r="L527" s="53">
        <f ca="1">L563</f>
        <v>0</v>
      </c>
      <c r="M527" s="53">
        <f ca="1">ROUND(L527,2)</f>
        <v>0</v>
      </c>
    </row>
    <row r="528" spans="1:13" ht="15.48" thickBot="1" customHeight="1">
      <c r="A528" s="15" t="s">
        <v>1010</v>
      </c>
      <c r="B528" s="8" t="s">
        <v>1011</v>
      </c>
      <c r="C528" s="8" t="s">
        <v>1012</v>
      </c>
      <c r="D528" s="30" t="s">
        <v>1013</v>
      </c>
      <c r="E528" s="30"/>
      <c r="F528" s="30"/>
      <c r="G528" s="30"/>
      <c r="H528" s="30"/>
      <c r="I528" s="30"/>
      <c r="J528" s="30"/>
      <c r="K528" s="31">
        <f ca="1">SUM(K531:K543)</f>
        <v>0</v>
      </c>
      <c r="L528" s="32">
        <f ca="1">ROUND(154.090*(1+M2/100),2)</f>
        <v>0</v>
      </c>
      <c r="M528" s="32">
        <f ca="1">ROUND(K528*L528,2)</f>
        <v>0</v>
      </c>
    </row>
    <row r="529" spans="1:13" ht="76.80" thickBot="1" customHeight="1">
      <c r="A529" s="33"/>
      <c r="B529" s="33"/>
      <c r="C529" s="33"/>
      <c r="D529" s="30" t="s">
        <v>1014</v>
      </c>
      <c r="E529" s="30"/>
      <c r="F529" s="30"/>
      <c r="G529" s="30"/>
      <c r="H529" s="30"/>
      <c r="I529" s="30"/>
      <c r="J529" s="30"/>
      <c r="K529" s="30"/>
      <c r="L529" s="30"/>
      <c r="M529" s="30"/>
    </row>
    <row r="530" spans="1:13" ht="15.12" thickBot="1" customHeight="1">
      <c r="A530" s="33"/>
      <c r="B530" s="33"/>
      <c r="C530" s="33"/>
      <c r="D530" s="33"/>
      <c r="E530" s="34"/>
      <c r="F530" s="36" t="s">
        <v>1015</v>
      </c>
      <c r="G530" s="36" t="s">
        <v>1016</v>
      </c>
      <c r="H530" s="36" t="s">
        <v>1017</v>
      </c>
      <c r="I530" s="36" t="s">
        <v>1018</v>
      </c>
      <c r="J530" s="36" t="s">
        <v>1019</v>
      </c>
      <c r="K530" s="36" t="s">
        <v>1020</v>
      </c>
      <c r="L530" s="33"/>
      <c r="M530" s="33"/>
    </row>
    <row r="531" spans="1:13" ht="15.12" thickBot="1" customHeight="1">
      <c r="A531" s="33"/>
      <c r="B531" s="33"/>
      <c r="C531" s="33"/>
      <c r="D531" s="37"/>
      <c r="E531" s="38" t="s">
        <v>1021</v>
      </c>
      <c r="F531" s="39">
        <v>1</v>
      </c>
      <c r="G531" s="40">
        <v>7.400</v>
      </c>
      <c r="H531" s="40"/>
      <c r="I531" s="40"/>
      <c r="J531" s="42">
        <f ca="1">ROUND(F531*G531,3)</f>
        <v>0</v>
      </c>
      <c r="K531" s="45"/>
      <c r="L531" s="33"/>
      <c r="M531" s="33"/>
    </row>
    <row r="532" spans="1:13" ht="15.12" thickBot="1" customHeight="1">
      <c r="A532" s="33"/>
      <c r="B532" s="33"/>
      <c r="C532" s="33"/>
      <c r="D532" s="37"/>
      <c r="E532" s="8" t="s">
        <v>1022</v>
      </c>
      <c r="F532" s="6">
        <v>1</v>
      </c>
      <c r="G532" s="31">
        <v>6.500</v>
      </c>
      <c r="H532" s="31"/>
      <c r="I532" s="31"/>
      <c r="J532" s="41">
        <f ca="1">ROUND(F532*G532,3)</f>
        <v>0</v>
      </c>
      <c r="K532" s="33"/>
      <c r="L532" s="33"/>
      <c r="M532" s="33"/>
    </row>
    <row r="533" spans="1:13" ht="15.12" thickBot="1" customHeight="1">
      <c r="A533" s="33"/>
      <c r="B533" s="33"/>
      <c r="C533" s="33"/>
      <c r="D533" s="37"/>
      <c r="E533" s="8" t="s">
        <v>1023</v>
      </c>
      <c r="F533" s="6">
        <v>1</v>
      </c>
      <c r="G533" s="31">
        <v>3.900</v>
      </c>
      <c r="H533" s="31"/>
      <c r="I533" s="31"/>
      <c r="J533" s="41">
        <f ca="1">ROUND(F533*G533,3)</f>
        <v>0</v>
      </c>
      <c r="K533" s="33"/>
      <c r="L533" s="33"/>
      <c r="M533" s="33"/>
    </row>
    <row r="534" spans="1:13" ht="15.12" thickBot="1" customHeight="1">
      <c r="A534" s="33"/>
      <c r="B534" s="33"/>
      <c r="C534" s="33"/>
      <c r="D534" s="37"/>
      <c r="E534" s="8" t="s">
        <v>1024</v>
      </c>
      <c r="F534" s="6">
        <v>1</v>
      </c>
      <c r="G534" s="31">
        <v>6.300</v>
      </c>
      <c r="H534" s="31"/>
      <c r="I534" s="31"/>
      <c r="J534" s="41">
        <f ca="1">ROUND(F534*G534,3)</f>
        <v>0</v>
      </c>
      <c r="K534" s="33"/>
      <c r="L534" s="33"/>
      <c r="M534" s="33"/>
    </row>
    <row r="535" spans="1:13" ht="15.12" thickBot="1" customHeight="1">
      <c r="A535" s="33"/>
      <c r="B535" s="33"/>
      <c r="C535" s="33"/>
      <c r="D535" s="37"/>
      <c r="E535" s="8" t="s">
        <v>1025</v>
      </c>
      <c r="F535" s="6">
        <v>1</v>
      </c>
      <c r="G535" s="31">
        <v>4.400</v>
      </c>
      <c r="H535" s="31"/>
      <c r="I535" s="31"/>
      <c r="J535" s="41">
        <f ca="1">ROUND(F535*G535,3)</f>
        <v>0</v>
      </c>
      <c r="K535" s="33"/>
      <c r="L535" s="33"/>
      <c r="M535" s="33"/>
    </row>
    <row r="536" spans="1:13" ht="15.12" thickBot="1" customHeight="1">
      <c r="A536" s="33"/>
      <c r="B536" s="33"/>
      <c r="C536" s="33"/>
      <c r="D536" s="37"/>
      <c r="E536" s="8" t="s">
        <v>1026</v>
      </c>
      <c r="F536" s="6">
        <v>1</v>
      </c>
      <c r="G536" s="31">
        <v>6.600</v>
      </c>
      <c r="H536" s="31"/>
      <c r="I536" s="31"/>
      <c r="J536" s="41">
        <f ca="1">ROUND(F536*G536,3)</f>
        <v>0</v>
      </c>
      <c r="K536" s="33"/>
      <c r="L536" s="33"/>
      <c r="M536" s="33"/>
    </row>
    <row r="537" spans="1:13" ht="15.12" thickBot="1" customHeight="1">
      <c r="A537" s="33"/>
      <c r="B537" s="33"/>
      <c r="C537" s="33"/>
      <c r="D537" s="37"/>
      <c r="E537" s="8" t="s">
        <v>1027</v>
      </c>
      <c r="F537" s="6">
        <v>1</v>
      </c>
      <c r="G537" s="31">
        <v>4.000</v>
      </c>
      <c r="H537" s="31"/>
      <c r="I537" s="31"/>
      <c r="J537" s="41">
        <f ca="1">ROUND(F537*G537,3)</f>
        <v>0</v>
      </c>
      <c r="K537" s="33"/>
      <c r="L537" s="33"/>
      <c r="M537" s="33"/>
    </row>
    <row r="538" spans="1:13" ht="15.12" thickBot="1" customHeight="1">
      <c r="A538" s="33"/>
      <c r="B538" s="33"/>
      <c r="C538" s="33"/>
      <c r="D538" s="37"/>
      <c r="E538" s="8" t="s">
        <v>1028</v>
      </c>
      <c r="F538" s="6">
        <v>1</v>
      </c>
      <c r="G538" s="31">
        <v>6.600</v>
      </c>
      <c r="H538" s="31"/>
      <c r="I538" s="31"/>
      <c r="J538" s="41">
        <f ca="1">ROUND(F538*G538,3)</f>
        <v>0</v>
      </c>
      <c r="K538" s="33"/>
      <c r="L538" s="33"/>
      <c r="M538" s="33"/>
    </row>
    <row r="539" spans="1:13" ht="15.12" thickBot="1" customHeight="1">
      <c r="A539" s="33"/>
      <c r="B539" s="33"/>
      <c r="C539" s="33"/>
      <c r="D539" s="37"/>
      <c r="E539" s="8" t="s">
        <v>1029</v>
      </c>
      <c r="F539" s="6">
        <v>1</v>
      </c>
      <c r="G539" s="31">
        <v>7.500</v>
      </c>
      <c r="H539" s="31"/>
      <c r="I539" s="31"/>
      <c r="J539" s="41">
        <f ca="1">ROUND(F539*G539,3)</f>
        <v>0</v>
      </c>
      <c r="K539" s="33"/>
      <c r="L539" s="33"/>
      <c r="M539" s="33"/>
    </row>
    <row r="540" spans="1:13" ht="15.12" thickBot="1" customHeight="1">
      <c r="A540" s="33"/>
      <c r="B540" s="33"/>
      <c r="C540" s="33"/>
      <c r="D540" s="37"/>
      <c r="E540" s="8" t="s">
        <v>1030</v>
      </c>
      <c r="F540" s="6">
        <v>1</v>
      </c>
      <c r="G540" s="31">
        <v>14.400</v>
      </c>
      <c r="H540" s="31"/>
      <c r="I540" s="31"/>
      <c r="J540" s="41">
        <f ca="1">ROUND(F540*G540,3)</f>
        <v>0</v>
      </c>
      <c r="K540" s="33"/>
      <c r="L540" s="33"/>
      <c r="M540" s="33"/>
    </row>
    <row r="541" spans="1:13" ht="15.12" thickBot="1" customHeight="1">
      <c r="A541" s="33"/>
      <c r="B541" s="33"/>
      <c r="C541" s="33"/>
      <c r="D541" s="37"/>
      <c r="E541" s="8" t="s">
        <v>1031</v>
      </c>
      <c r="F541" s="6">
        <v>1</v>
      </c>
      <c r="G541" s="31">
        <v>15.000</v>
      </c>
      <c r="H541" s="31"/>
      <c r="I541" s="31"/>
      <c r="J541" s="41">
        <f ca="1">ROUND(F541*G541,3)</f>
        <v>0</v>
      </c>
      <c r="K541" s="33"/>
      <c r="L541" s="33"/>
      <c r="M541" s="33"/>
    </row>
    <row r="542" spans="1:13" ht="15.12" thickBot="1" customHeight="1">
      <c r="A542" s="33"/>
      <c r="B542" s="33"/>
      <c r="C542" s="33"/>
      <c r="D542" s="37"/>
      <c r="E542" s="8"/>
      <c r="F542" s="6">
        <v>1</v>
      </c>
      <c r="G542" s="31">
        <v>6.000</v>
      </c>
      <c r="H542" s="31"/>
      <c r="I542" s="31"/>
      <c r="J542" s="41">
        <f ca="1">ROUND(F542*G542,3)</f>
        <v>0</v>
      </c>
      <c r="K542" s="33"/>
      <c r="L542" s="33"/>
      <c r="M542" s="33"/>
    </row>
    <row r="543" spans="1:13" ht="15.12" thickBot="1" customHeight="1">
      <c r="A543" s="33"/>
      <c r="B543" s="33"/>
      <c r="C543" s="33"/>
      <c r="D543" s="37"/>
      <c r="E543" s="8"/>
      <c r="F543" s="6">
        <v>1</v>
      </c>
      <c r="G543" s="31">
        <v>21.400</v>
      </c>
      <c r="H543" s="31"/>
      <c r="I543" s="31"/>
      <c r="J543" s="41">
        <f ca="1">ROUND(F543*G543,3)</f>
        <v>0</v>
      </c>
      <c r="K543" s="43">
        <f ca="1">SUM(J531:J543)</f>
        <v>0</v>
      </c>
      <c r="L543" s="33"/>
      <c r="M543" s="33"/>
    </row>
    <row r="544" spans="1:13" ht="15.48" thickBot="1" customHeight="1">
      <c r="A544" s="15" t="s">
        <v>1032</v>
      </c>
      <c r="B544" s="8" t="s">
        <v>1033</v>
      </c>
      <c r="C544" s="8" t="s">
        <v>1034</v>
      </c>
      <c r="D544" s="30" t="s">
        <v>1035</v>
      </c>
      <c r="E544" s="30"/>
      <c r="F544" s="30"/>
      <c r="G544" s="30"/>
      <c r="H544" s="30"/>
      <c r="I544" s="30"/>
      <c r="J544" s="30"/>
      <c r="K544" s="31">
        <f ca="1">ROUND(3.00,2)</f>
        <v>0</v>
      </c>
      <c r="L544" s="32">
        <f ca="1">ROUND(1397.860*(1+M2/100),2)</f>
        <v>0</v>
      </c>
      <c r="M544" s="32">
        <f ca="1">ROUND(K544*L544,2)</f>
        <v>0</v>
      </c>
    </row>
    <row r="545" spans="1:13" ht="123.00" thickBot="1" customHeight="1">
      <c r="A545" s="33"/>
      <c r="B545" s="33"/>
      <c r="C545" s="33"/>
      <c r="D545" s="30" t="s">
        <v>1036</v>
      </c>
      <c r="E545" s="30"/>
      <c r="F545" s="30"/>
      <c r="G545" s="30"/>
      <c r="H545" s="30"/>
      <c r="I545" s="30"/>
      <c r="J545" s="30"/>
      <c r="K545" s="30"/>
      <c r="L545" s="30"/>
      <c r="M545" s="30"/>
    </row>
    <row r="546" spans="1:13" ht="15.48" thickBot="1" customHeight="1">
      <c r="A546" s="15" t="s">
        <v>1037</v>
      </c>
      <c r="B546" s="8" t="s">
        <v>1038</v>
      </c>
      <c r="C546" s="8" t="s">
        <v>1039</v>
      </c>
      <c r="D546" s="30" t="s">
        <v>1040</v>
      </c>
      <c r="E546" s="30"/>
      <c r="F546" s="30"/>
      <c r="G546" s="30"/>
      <c r="H546" s="30"/>
      <c r="I546" s="30"/>
      <c r="J546" s="30"/>
      <c r="K546" s="31">
        <f ca="1">SUM(K549:K558)</f>
        <v>0</v>
      </c>
      <c r="L546" s="32">
        <f ca="1">ROUND(239.010*(1+M2/100),2)</f>
        <v>0</v>
      </c>
      <c r="M546" s="32">
        <f ca="1">ROUND(K546*L546,2)</f>
        <v>0</v>
      </c>
    </row>
    <row r="547" spans="1:13" ht="123.00" thickBot="1" customHeight="1">
      <c r="A547" s="33"/>
      <c r="B547" s="33"/>
      <c r="C547" s="33"/>
      <c r="D547" s="30" t="s">
        <v>1041</v>
      </c>
      <c r="E547" s="30"/>
      <c r="F547" s="30"/>
      <c r="G547" s="30"/>
      <c r="H547" s="30"/>
      <c r="I547" s="30"/>
      <c r="J547" s="30"/>
      <c r="K547" s="30"/>
      <c r="L547" s="30"/>
      <c r="M547" s="30"/>
    </row>
    <row r="548" spans="1:13" ht="15.12" thickBot="1" customHeight="1">
      <c r="A548" s="33"/>
      <c r="B548" s="33"/>
      <c r="C548" s="33"/>
      <c r="D548" s="33"/>
      <c r="E548" s="34"/>
      <c r="F548" s="36" t="s">
        <v>1042</v>
      </c>
      <c r="G548" s="36" t="s">
        <v>1043</v>
      </c>
      <c r="H548" s="36" t="s">
        <v>1044</v>
      </c>
      <c r="I548" s="36" t="s">
        <v>1045</v>
      </c>
      <c r="J548" s="36" t="s">
        <v>1046</v>
      </c>
      <c r="K548" s="36" t="s">
        <v>1047</v>
      </c>
      <c r="L548" s="33"/>
      <c r="M548" s="33"/>
    </row>
    <row r="549" spans="1:13" ht="15.12" thickBot="1" customHeight="1">
      <c r="A549" s="33"/>
      <c r="B549" s="33"/>
      <c r="C549" s="33"/>
      <c r="D549" s="37"/>
      <c r="E549" s="38" t="s">
        <v>1048</v>
      </c>
      <c r="F549" s="39">
        <v>1</v>
      </c>
      <c r="G549" s="40">
        <v>1.650</v>
      </c>
      <c r="H549" s="40"/>
      <c r="I549" s="40"/>
      <c r="J549" s="42">
        <f ca="1">ROUND(F549*G549,3)</f>
        <v>0</v>
      </c>
      <c r="K549" s="45"/>
      <c r="L549" s="33"/>
      <c r="M549" s="33"/>
    </row>
    <row r="550" spans="1:13" ht="15.12" thickBot="1" customHeight="1">
      <c r="A550" s="33"/>
      <c r="B550" s="33"/>
      <c r="C550" s="33"/>
      <c r="D550" s="37"/>
      <c r="E550" s="8"/>
      <c r="F550" s="6">
        <v>1</v>
      </c>
      <c r="G550" s="31">
        <v>1.000</v>
      </c>
      <c r="H550" s="31"/>
      <c r="I550" s="31"/>
      <c r="J550" s="41">
        <f ca="1">ROUND(F550*G550,3)</f>
        <v>0</v>
      </c>
      <c r="K550" s="33"/>
      <c r="L550" s="33"/>
      <c r="M550" s="33"/>
    </row>
    <row r="551" spans="1:13" ht="15.12" thickBot="1" customHeight="1">
      <c r="A551" s="33"/>
      <c r="B551" s="33"/>
      <c r="C551" s="33"/>
      <c r="D551" s="37"/>
      <c r="E551" s="8" t="s">
        <v>1049</v>
      </c>
      <c r="F551" s="6">
        <v>1</v>
      </c>
      <c r="G551" s="31">
        <v>2.400</v>
      </c>
      <c r="H551" s="31"/>
      <c r="I551" s="31"/>
      <c r="J551" s="41">
        <f ca="1">ROUND(F551*G551,3)</f>
        <v>0</v>
      </c>
      <c r="K551" s="33"/>
      <c r="L551" s="33"/>
      <c r="M551" s="33"/>
    </row>
    <row r="552" spans="1:13" ht="15.12" thickBot="1" customHeight="1">
      <c r="A552" s="33"/>
      <c r="B552" s="33"/>
      <c r="C552" s="33"/>
      <c r="D552" s="37"/>
      <c r="E552" s="8"/>
      <c r="F552" s="6">
        <v>1</v>
      </c>
      <c r="G552" s="31">
        <v>1.000</v>
      </c>
      <c r="H552" s="31"/>
      <c r="I552" s="31"/>
      <c r="J552" s="41">
        <f ca="1">ROUND(F552*G552,3)</f>
        <v>0</v>
      </c>
      <c r="K552" s="33"/>
      <c r="L552" s="33"/>
      <c r="M552" s="33"/>
    </row>
    <row r="553" spans="1:13" ht="15.12" thickBot="1" customHeight="1">
      <c r="A553" s="33"/>
      <c r="B553" s="33"/>
      <c r="C553" s="33"/>
      <c r="D553" s="37"/>
      <c r="E553" s="8" t="s">
        <v>1050</v>
      </c>
      <c r="F553" s="6">
        <v>1</v>
      </c>
      <c r="G553" s="31">
        <v>1.700</v>
      </c>
      <c r="H553" s="31"/>
      <c r="I553" s="31"/>
      <c r="J553" s="41">
        <f ca="1">ROUND(F553*G553,3)</f>
        <v>0</v>
      </c>
      <c r="K553" s="33"/>
      <c r="L553" s="33"/>
      <c r="M553" s="33"/>
    </row>
    <row r="554" spans="1:13" ht="15.12" thickBot="1" customHeight="1">
      <c r="A554" s="33"/>
      <c r="B554" s="33"/>
      <c r="C554" s="33"/>
      <c r="D554" s="37"/>
      <c r="E554" s="8"/>
      <c r="F554" s="6">
        <v>1</v>
      </c>
      <c r="G554" s="31">
        <v>1.000</v>
      </c>
      <c r="H554" s="31"/>
      <c r="I554" s="31"/>
      <c r="J554" s="41">
        <f ca="1">ROUND(F554*G554,3)</f>
        <v>0</v>
      </c>
      <c r="K554" s="33"/>
      <c r="L554" s="33"/>
      <c r="M554" s="33"/>
    </row>
    <row r="555" spans="1:13" ht="15.12" thickBot="1" customHeight="1">
      <c r="A555" s="33"/>
      <c r="B555" s="33"/>
      <c r="C555" s="33"/>
      <c r="D555" s="37"/>
      <c r="E555" s="8" t="s">
        <v>1051</v>
      </c>
      <c r="F555" s="6">
        <v>1</v>
      </c>
      <c r="G555" s="31">
        <v>2.600</v>
      </c>
      <c r="H555" s="31"/>
      <c r="I555" s="31"/>
      <c r="J555" s="41">
        <f ca="1">ROUND(F555*G555,3)</f>
        <v>0</v>
      </c>
      <c r="K555" s="33"/>
      <c r="L555" s="33"/>
      <c r="M555" s="33"/>
    </row>
    <row r="556" spans="1:13" ht="15.12" thickBot="1" customHeight="1">
      <c r="A556" s="33"/>
      <c r="B556" s="33"/>
      <c r="C556" s="33"/>
      <c r="D556" s="37"/>
      <c r="E556" s="8"/>
      <c r="F556" s="6">
        <v>1</v>
      </c>
      <c r="G556" s="31">
        <v>1.000</v>
      </c>
      <c r="H556" s="31"/>
      <c r="I556" s="31"/>
      <c r="J556" s="41">
        <f ca="1">ROUND(F556*G556,3)</f>
        <v>0</v>
      </c>
      <c r="K556" s="33"/>
      <c r="L556" s="33"/>
      <c r="M556" s="33"/>
    </row>
    <row r="557" spans="1:13" ht="15.12" thickBot="1" customHeight="1">
      <c r="A557" s="33"/>
      <c r="B557" s="33"/>
      <c r="C557" s="33"/>
      <c r="D557" s="37"/>
      <c r="E557" s="8" t="s">
        <v>1052</v>
      </c>
      <c r="F557" s="6">
        <v>1</v>
      </c>
      <c r="G557" s="31">
        <v>1.650</v>
      </c>
      <c r="H557" s="31"/>
      <c r="I557" s="31"/>
      <c r="J557" s="41">
        <f ca="1">ROUND(F557*G557,3)</f>
        <v>0</v>
      </c>
      <c r="K557" s="33"/>
      <c r="L557" s="33"/>
      <c r="M557" s="33"/>
    </row>
    <row r="558" spans="1:13" ht="15.12" thickBot="1" customHeight="1">
      <c r="A558" s="33"/>
      <c r="B558" s="33"/>
      <c r="C558" s="33"/>
      <c r="D558" s="37"/>
      <c r="E558" s="8" t="s">
        <v>1053</v>
      </c>
      <c r="F558" s="6">
        <v>1</v>
      </c>
      <c r="G558" s="31">
        <v>2.400</v>
      </c>
      <c r="H558" s="31"/>
      <c r="I558" s="31"/>
      <c r="J558" s="41">
        <f ca="1">ROUND(F558*G558,3)</f>
        <v>0</v>
      </c>
      <c r="K558" s="43">
        <f ca="1">SUM(J549:J558)</f>
        <v>0</v>
      </c>
      <c r="L558" s="33"/>
      <c r="M558" s="33"/>
    </row>
    <row r="559" spans="1:13" ht="15.48" thickBot="1" customHeight="1">
      <c r="A559" s="15" t="s">
        <v>1054</v>
      </c>
      <c r="B559" s="8" t="s">
        <v>1055</v>
      </c>
      <c r="C559" s="8" t="s">
        <v>1056</v>
      </c>
      <c r="D559" s="30" t="s">
        <v>1057</v>
      </c>
      <c r="E559" s="30"/>
      <c r="F559" s="30"/>
      <c r="G559" s="30"/>
      <c r="H559" s="30"/>
      <c r="I559" s="30"/>
      <c r="J559" s="30"/>
      <c r="K559" s="31">
        <f ca="1">SUM(K562:K562)</f>
        <v>0</v>
      </c>
      <c r="L559" s="32">
        <f ca="1">ROUND(34.810*(1+M2/100),2)</f>
        <v>0</v>
      </c>
      <c r="M559" s="32">
        <f ca="1">ROUND(K559*L559,2)</f>
        <v>0</v>
      </c>
    </row>
    <row r="560" spans="1:13" ht="49.08" thickBot="1" customHeight="1">
      <c r="A560" s="33"/>
      <c r="B560" s="33"/>
      <c r="C560" s="33"/>
      <c r="D560" s="30" t="s">
        <v>1058</v>
      </c>
      <c r="E560" s="30"/>
      <c r="F560" s="30"/>
      <c r="G560" s="30"/>
      <c r="H560" s="30"/>
      <c r="I560" s="30"/>
      <c r="J560" s="30"/>
      <c r="K560" s="30"/>
      <c r="L560" s="30"/>
      <c r="M560" s="30"/>
    </row>
    <row r="561" spans="1:13" ht="15.12" thickBot="1" customHeight="1">
      <c r="A561" s="33"/>
      <c r="B561" s="33"/>
      <c r="C561" s="33"/>
      <c r="D561" s="33"/>
      <c r="E561" s="34"/>
      <c r="F561" s="36" t="s">
        <v>1059</v>
      </c>
      <c r="G561" s="36" t="s">
        <v>1060</v>
      </c>
      <c r="H561" s="36" t="s">
        <v>1061</v>
      </c>
      <c r="I561" s="36" t="s">
        <v>1062</v>
      </c>
      <c r="J561" s="36" t="s">
        <v>1063</v>
      </c>
      <c r="K561" s="36" t="s">
        <v>1064</v>
      </c>
      <c r="L561" s="33"/>
      <c r="M561" s="33"/>
    </row>
    <row r="562" spans="1:13" ht="15.12" thickBot="1" customHeight="1">
      <c r="A562" s="33"/>
      <c r="B562" s="33"/>
      <c r="C562" s="33"/>
      <c r="D562" s="37"/>
      <c r="E562" s="38" t="s">
        <v>1065</v>
      </c>
      <c r="F562" s="39">
        <v>1.5</v>
      </c>
      <c r="G562" s="40">
        <v>50.100</v>
      </c>
      <c r="H562" s="40"/>
      <c r="I562" s="40"/>
      <c r="J562" s="42">
        <f ca="1">ROUND(F562*G562,3)</f>
        <v>0</v>
      </c>
      <c r="K562" s="44">
        <f ca="1">SUM(J562:J562)</f>
        <v>0</v>
      </c>
      <c r="L562" s="33"/>
      <c r="M562" s="33"/>
    </row>
    <row r="563" spans="1:13" ht="15.48" thickBot="1" customHeight="1">
      <c r="A563" s="46"/>
      <c r="B563" s="46"/>
      <c r="C563" s="46"/>
      <c r="D563" s="47" t="s">
        <v>1066</v>
      </c>
      <c r="E563" s="48"/>
      <c r="F563" s="48"/>
      <c r="G563" s="48"/>
      <c r="H563" s="48"/>
      <c r="I563" s="48"/>
      <c r="J563" s="48"/>
      <c r="K563" s="48"/>
      <c r="L563" s="49">
        <f ca="1">M528+M544+M546+M559</f>
        <v>0</v>
      </c>
      <c r="M563" s="49">
        <f ca="1">ROUND(L563,2)</f>
        <v>0</v>
      </c>
    </row>
    <row r="564" spans="1:13" ht="15.48" thickBot="1" customHeight="1">
      <c r="A564" s="50" t="s">
        <v>1067</v>
      </c>
      <c r="B564" s="50" t="s">
        <v>1068</v>
      </c>
      <c r="C564" s="51"/>
      <c r="D564" s="52" t="s">
        <v>1069</v>
      </c>
      <c r="E564" s="52"/>
      <c r="F564" s="52"/>
      <c r="G564" s="52"/>
      <c r="H564" s="52"/>
      <c r="I564" s="52"/>
      <c r="J564" s="52"/>
      <c r="K564" s="51"/>
      <c r="L564" s="53">
        <f ca="1">L590</f>
        <v>0</v>
      </c>
      <c r="M564" s="53">
        <f ca="1">ROUND(L564,2)</f>
        <v>0</v>
      </c>
    </row>
    <row r="565" spans="1:13" ht="15.48" thickBot="1" customHeight="1">
      <c r="A565" s="15" t="s">
        <v>1070</v>
      </c>
      <c r="B565" s="8" t="s">
        <v>1071</v>
      </c>
      <c r="C565" s="8" t="s">
        <v>1072</v>
      </c>
      <c r="D565" s="30" t="s">
        <v>1073</v>
      </c>
      <c r="E565" s="30"/>
      <c r="F565" s="30"/>
      <c r="G565" s="30"/>
      <c r="H565" s="30"/>
      <c r="I565" s="30"/>
      <c r="J565" s="30"/>
      <c r="K565" s="31">
        <f ca="1">SUM(K568:K569)</f>
        <v>0</v>
      </c>
      <c r="L565" s="32">
        <f ca="1">ROUND(132.590*(1+M2/100),2)</f>
        <v>0</v>
      </c>
      <c r="M565" s="32">
        <f ca="1">ROUND(K565*L565,2)</f>
        <v>0</v>
      </c>
    </row>
    <row r="566" spans="1:13" ht="95.28" thickBot="1" customHeight="1">
      <c r="A566" s="33"/>
      <c r="B566" s="33"/>
      <c r="C566" s="33"/>
      <c r="D566" s="30" t="s">
        <v>1074</v>
      </c>
      <c r="E566" s="30"/>
      <c r="F566" s="30"/>
      <c r="G566" s="30"/>
      <c r="H566" s="30"/>
      <c r="I566" s="30"/>
      <c r="J566" s="30"/>
      <c r="K566" s="30"/>
      <c r="L566" s="30"/>
      <c r="M566" s="30"/>
    </row>
    <row r="567" spans="1:13" ht="15.12" thickBot="1" customHeight="1">
      <c r="A567" s="33"/>
      <c r="B567" s="33"/>
      <c r="C567" s="33"/>
      <c r="D567" s="33"/>
      <c r="E567" s="34"/>
      <c r="F567" s="36" t="s">
        <v>1075</v>
      </c>
      <c r="G567" s="36" t="s">
        <v>1076</v>
      </c>
      <c r="H567" s="36" t="s">
        <v>1077</v>
      </c>
      <c r="I567" s="36" t="s">
        <v>1078</v>
      </c>
      <c r="J567" s="36" t="s">
        <v>1079</v>
      </c>
      <c r="K567" s="36" t="s">
        <v>1080</v>
      </c>
      <c r="L567" s="33"/>
      <c r="M567" s="33"/>
    </row>
    <row r="568" spans="1:13" ht="15.12" thickBot="1" customHeight="1">
      <c r="A568" s="33"/>
      <c r="B568" s="33"/>
      <c r="C568" s="33"/>
      <c r="D568" s="37"/>
      <c r="E568" s="38"/>
      <c r="F568" s="39">
        <v>1</v>
      </c>
      <c r="G568" s="40">
        <v>4.400</v>
      </c>
      <c r="H568" s="40"/>
      <c r="I568" s="40">
        <v>2.850</v>
      </c>
      <c r="J568" s="42">
        <f ca="1">ROUND(F568*G568*I568,3)</f>
        <v>0</v>
      </c>
      <c r="K568" s="45"/>
      <c r="L568" s="33"/>
      <c r="M568" s="33"/>
    </row>
    <row r="569" spans="1:13" ht="15.12" thickBot="1" customHeight="1">
      <c r="A569" s="33"/>
      <c r="B569" s="33"/>
      <c r="C569" s="33"/>
      <c r="D569" s="37"/>
      <c r="E569" s="8"/>
      <c r="F569" s="6">
        <v>1</v>
      </c>
      <c r="G569" s="31">
        <v>3.000</v>
      </c>
      <c r="H569" s="31"/>
      <c r="I569" s="31">
        <v>2.850</v>
      </c>
      <c r="J569" s="41">
        <f ca="1">ROUND(F569*G569*I569,3)</f>
        <v>0</v>
      </c>
      <c r="K569" s="43">
        <f ca="1">SUM(J568:J569)</f>
        <v>0</v>
      </c>
      <c r="L569" s="33"/>
      <c r="M569" s="33"/>
    </row>
    <row r="570" spans="1:13" ht="15.48" thickBot="1" customHeight="1">
      <c r="A570" s="15" t="s">
        <v>1081</v>
      </c>
      <c r="B570" s="8" t="s">
        <v>1082</v>
      </c>
      <c r="C570" s="8" t="s">
        <v>1083</v>
      </c>
      <c r="D570" s="30" t="s">
        <v>1084</v>
      </c>
      <c r="E570" s="30"/>
      <c r="F570" s="30"/>
      <c r="G570" s="30"/>
      <c r="H570" s="30"/>
      <c r="I570" s="30"/>
      <c r="J570" s="30"/>
      <c r="K570" s="31">
        <f ca="1">ROUND(50.00,2)</f>
        <v>0</v>
      </c>
      <c r="L570" s="32">
        <f ca="1">ROUND(45.120*(1+M2/100),2)</f>
        <v>0</v>
      </c>
      <c r="M570" s="32">
        <f ca="1">ROUND(K570*L570,2)</f>
        <v>0</v>
      </c>
    </row>
    <row r="571" spans="1:13" ht="67.56" thickBot="1" customHeight="1">
      <c r="A571" s="33"/>
      <c r="B571" s="33"/>
      <c r="C571" s="33"/>
      <c r="D571" s="30" t="s">
        <v>1085</v>
      </c>
      <c r="E571" s="30"/>
      <c r="F571" s="30"/>
      <c r="G571" s="30"/>
      <c r="H571" s="30"/>
      <c r="I571" s="30"/>
      <c r="J571" s="30"/>
      <c r="K571" s="30"/>
      <c r="L571" s="30"/>
      <c r="M571" s="30"/>
    </row>
    <row r="572" spans="1:13" ht="15.48" thickBot="1" customHeight="1">
      <c r="A572" s="15" t="s">
        <v>1086</v>
      </c>
      <c r="B572" s="8" t="s">
        <v>1087</v>
      </c>
      <c r="C572" s="8" t="s">
        <v>1088</v>
      </c>
      <c r="D572" s="30" t="s">
        <v>1089</v>
      </c>
      <c r="E572" s="30"/>
      <c r="F572" s="30"/>
      <c r="G572" s="30"/>
      <c r="H572" s="30"/>
      <c r="I572" s="30"/>
      <c r="J572" s="30"/>
      <c r="K572" s="31">
        <f ca="1">ROUND(24.33,2)</f>
        <v>0</v>
      </c>
      <c r="L572" s="32">
        <f ca="1">ROUND(54.400*(1+M2/100),2)</f>
        <v>0</v>
      </c>
      <c r="M572" s="32">
        <f ca="1">ROUND(K572*L572,2)</f>
        <v>0</v>
      </c>
    </row>
    <row r="573" spans="1:13" ht="76.80" thickBot="1" customHeight="1">
      <c r="A573" s="33"/>
      <c r="B573" s="33"/>
      <c r="C573" s="33"/>
      <c r="D573" s="30" t="s">
        <v>1090</v>
      </c>
      <c r="E573" s="30"/>
      <c r="F573" s="30"/>
      <c r="G573" s="30"/>
      <c r="H573" s="30"/>
      <c r="I573" s="30"/>
      <c r="J573" s="30"/>
      <c r="K573" s="30"/>
      <c r="L573" s="30"/>
      <c r="M573" s="30"/>
    </row>
    <row r="574" spans="1:13" ht="15.48" thickBot="1" customHeight="1">
      <c r="A574" s="15" t="s">
        <v>1091</v>
      </c>
      <c r="B574" s="8" t="s">
        <v>1092</v>
      </c>
      <c r="C574" s="8" t="s">
        <v>1093</v>
      </c>
      <c r="D574" s="30" t="s">
        <v>1094</v>
      </c>
      <c r="E574" s="30"/>
      <c r="F574" s="30"/>
      <c r="G574" s="30"/>
      <c r="H574" s="30"/>
      <c r="I574" s="30"/>
      <c r="J574" s="30"/>
      <c r="K574" s="31">
        <f ca="1">ROUND(6.00,2)</f>
        <v>0</v>
      </c>
      <c r="L574" s="32">
        <f ca="1">ROUND(88.460*(1+M2/100),2)</f>
        <v>0</v>
      </c>
      <c r="M574" s="32">
        <f ca="1">ROUND(K574*L574,2)</f>
        <v>0</v>
      </c>
    </row>
    <row r="575" spans="1:13" ht="86.04" thickBot="1" customHeight="1">
      <c r="A575" s="33"/>
      <c r="B575" s="33"/>
      <c r="C575" s="33"/>
      <c r="D575" s="30" t="s">
        <v>1095</v>
      </c>
      <c r="E575" s="30"/>
      <c r="F575" s="30"/>
      <c r="G575" s="30"/>
      <c r="H575" s="30"/>
      <c r="I575" s="30"/>
      <c r="J575" s="30"/>
      <c r="K575" s="30"/>
      <c r="L575" s="30"/>
      <c r="M575" s="30"/>
    </row>
    <row r="576" spans="1:13" ht="15.48" thickBot="1" customHeight="1">
      <c r="A576" s="15" t="s">
        <v>1096</v>
      </c>
      <c r="B576" s="8" t="s">
        <v>1097</v>
      </c>
      <c r="C576" s="8" t="s">
        <v>1098</v>
      </c>
      <c r="D576" s="30" t="s">
        <v>1099</v>
      </c>
      <c r="E576" s="30"/>
      <c r="F576" s="30"/>
      <c r="G576" s="30"/>
      <c r="H576" s="30"/>
      <c r="I576" s="30"/>
      <c r="J576" s="30"/>
      <c r="K576" s="31">
        <f ca="1">ROUND(8.00,2)</f>
        <v>0</v>
      </c>
      <c r="L576" s="32">
        <f ca="1">ROUND(52.330*(1+M2/100),2)</f>
        <v>0</v>
      </c>
      <c r="M576" s="32">
        <f ca="1">ROUND(K576*L576,2)</f>
        <v>0</v>
      </c>
    </row>
    <row r="577" spans="1:13" ht="76.80" thickBot="1" customHeight="1">
      <c r="A577" s="33"/>
      <c r="B577" s="33"/>
      <c r="C577" s="33"/>
      <c r="D577" s="30" t="s">
        <v>1100</v>
      </c>
      <c r="E577" s="30"/>
      <c r="F577" s="30"/>
      <c r="G577" s="30"/>
      <c r="H577" s="30"/>
      <c r="I577" s="30"/>
      <c r="J577" s="30"/>
      <c r="K577" s="30"/>
      <c r="L577" s="30"/>
      <c r="M577" s="30"/>
    </row>
    <row r="578" spans="1:13" ht="15.48" thickBot="1" customHeight="1">
      <c r="A578" s="15" t="s">
        <v>1101</v>
      </c>
      <c r="B578" s="8" t="s">
        <v>1102</v>
      </c>
      <c r="C578" s="8" t="s">
        <v>1103</v>
      </c>
      <c r="D578" s="30" t="s">
        <v>1104</v>
      </c>
      <c r="E578" s="30"/>
      <c r="F578" s="30"/>
      <c r="G578" s="30"/>
      <c r="H578" s="30"/>
      <c r="I578" s="30"/>
      <c r="J578" s="30"/>
      <c r="K578" s="31">
        <f ca="1">SUM(K581:K581)</f>
        <v>0</v>
      </c>
      <c r="L578" s="32">
        <f ca="1">ROUND(100.440*(1+M2/100),2)</f>
        <v>0</v>
      </c>
      <c r="M578" s="32">
        <f ca="1">ROUND(K578*L578,2)</f>
        <v>0</v>
      </c>
    </row>
    <row r="579" spans="1:13" ht="76.80" thickBot="1" customHeight="1">
      <c r="A579" s="33"/>
      <c r="B579" s="33"/>
      <c r="C579" s="33"/>
      <c r="D579" s="30" t="s">
        <v>1105</v>
      </c>
      <c r="E579" s="30"/>
      <c r="F579" s="30"/>
      <c r="G579" s="30"/>
      <c r="H579" s="30"/>
      <c r="I579" s="30"/>
      <c r="J579" s="30"/>
      <c r="K579" s="30"/>
      <c r="L579" s="30"/>
      <c r="M579" s="30"/>
    </row>
    <row r="580" spans="1:13" ht="15.12" thickBot="1" customHeight="1">
      <c r="A580" s="33"/>
      <c r="B580" s="33"/>
      <c r="C580" s="33"/>
      <c r="D580" s="33"/>
      <c r="E580" s="34"/>
      <c r="F580" s="36" t="s">
        <v>1106</v>
      </c>
      <c r="G580" s="36" t="s">
        <v>1107</v>
      </c>
      <c r="H580" s="36" t="s">
        <v>1108</v>
      </c>
      <c r="I580" s="36" t="s">
        <v>1109</v>
      </c>
      <c r="J580" s="36" t="s">
        <v>1110</v>
      </c>
      <c r="K580" s="36" t="s">
        <v>1111</v>
      </c>
      <c r="L580" s="33"/>
      <c r="M580" s="33"/>
    </row>
    <row r="581" spans="1:13" ht="15.12" thickBot="1" customHeight="1">
      <c r="A581" s="33"/>
      <c r="B581" s="33"/>
      <c r="C581" s="33"/>
      <c r="D581" s="37"/>
      <c r="E581" s="38" t="s">
        <v>1112</v>
      </c>
      <c r="F581" s="39">
        <v>50</v>
      </c>
      <c r="G581" s="40"/>
      <c r="H581" s="40"/>
      <c r="I581" s="40"/>
      <c r="J581" s="42">
        <f ca="1">ROUND(F581,3)</f>
        <v>0</v>
      </c>
      <c r="K581" s="44">
        <f ca="1">SUM(J581:J581)</f>
        <v>0</v>
      </c>
      <c r="L581" s="33"/>
      <c r="M581" s="33"/>
    </row>
    <row r="582" spans="1:13" ht="15.48" thickBot="1" customHeight="1">
      <c r="A582" s="15" t="s">
        <v>1113</v>
      </c>
      <c r="B582" s="8" t="s">
        <v>1114</v>
      </c>
      <c r="C582" s="8" t="s">
        <v>1115</v>
      </c>
      <c r="D582" s="30" t="s">
        <v>1116</v>
      </c>
      <c r="E582" s="30"/>
      <c r="F582" s="30"/>
      <c r="G582" s="30"/>
      <c r="H582" s="30"/>
      <c r="I582" s="30"/>
      <c r="J582" s="30"/>
      <c r="K582" s="31">
        <f ca="1">SUM(K585:K589)</f>
        <v>0</v>
      </c>
      <c r="L582" s="32">
        <f ca="1">ROUND(24.580*(1+M2/100),2)</f>
        <v>0</v>
      </c>
      <c r="M582" s="32">
        <f ca="1">ROUND(K582*L582,2)</f>
        <v>0</v>
      </c>
    </row>
    <row r="583" spans="1:13" ht="49.08" thickBot="1" customHeight="1">
      <c r="A583" s="33"/>
      <c r="B583" s="33"/>
      <c r="C583" s="33"/>
      <c r="D583" s="30" t="s">
        <v>1117</v>
      </c>
      <c r="E583" s="30"/>
      <c r="F583" s="30"/>
      <c r="G583" s="30"/>
      <c r="H583" s="30"/>
      <c r="I583" s="30"/>
      <c r="J583" s="30"/>
      <c r="K583" s="30"/>
      <c r="L583" s="30"/>
      <c r="M583" s="30"/>
    </row>
    <row r="584" spans="1:13" ht="15.12" thickBot="1" customHeight="1">
      <c r="A584" s="33"/>
      <c r="B584" s="33"/>
      <c r="C584" s="33"/>
      <c r="D584" s="33"/>
      <c r="E584" s="34"/>
      <c r="F584" s="36" t="s">
        <v>1118</v>
      </c>
      <c r="G584" s="36" t="s">
        <v>1119</v>
      </c>
      <c r="H584" s="36" t="s">
        <v>1120</v>
      </c>
      <c r="I584" s="36" t="s">
        <v>1121</v>
      </c>
      <c r="J584" s="36" t="s">
        <v>1122</v>
      </c>
      <c r="K584" s="36" t="s">
        <v>1123</v>
      </c>
      <c r="L584" s="33"/>
      <c r="M584" s="33"/>
    </row>
    <row r="585" spans="1:13" ht="15.12" thickBot="1" customHeight="1">
      <c r="A585" s="33"/>
      <c r="B585" s="33"/>
      <c r="C585" s="33"/>
      <c r="D585" s="37"/>
      <c r="E585" s="38" t="s">
        <v>1124</v>
      </c>
      <c r="F585" s="39">
        <v>1</v>
      </c>
      <c r="G585" s="40">
        <v>4.000</v>
      </c>
      <c r="H585" s="40"/>
      <c r="I585" s="40"/>
      <c r="J585" s="42">
        <f ca="1">ROUND(F585*G585,3)</f>
        <v>0</v>
      </c>
      <c r="K585" s="45"/>
      <c r="L585" s="33"/>
      <c r="M585" s="33"/>
    </row>
    <row r="586" spans="1:13" ht="15.12" thickBot="1" customHeight="1">
      <c r="A586" s="33"/>
      <c r="B586" s="33"/>
      <c r="C586" s="33"/>
      <c r="D586" s="37"/>
      <c r="E586" s="8"/>
      <c r="F586" s="6">
        <v>1</v>
      </c>
      <c r="G586" s="31">
        <v>2.400</v>
      </c>
      <c r="H586" s="31"/>
      <c r="I586" s="31"/>
      <c r="J586" s="41">
        <f ca="1">ROUND(F586*G586,3)</f>
        <v>0</v>
      </c>
      <c r="K586" s="33"/>
      <c r="L586" s="33"/>
      <c r="M586" s="33"/>
    </row>
    <row r="587" spans="1:13" ht="15.12" thickBot="1" customHeight="1">
      <c r="A587" s="33"/>
      <c r="B587" s="33"/>
      <c r="C587" s="33"/>
      <c r="D587" s="37"/>
      <c r="E587" s="8" t="s">
        <v>1125</v>
      </c>
      <c r="F587" s="6">
        <v>1</v>
      </c>
      <c r="G587" s="31">
        <v>85.800</v>
      </c>
      <c r="H587" s="31"/>
      <c r="I587" s="31"/>
      <c r="J587" s="41">
        <f ca="1">ROUND(F587*G587,3)</f>
        <v>0</v>
      </c>
      <c r="K587" s="33"/>
      <c r="L587" s="33"/>
      <c r="M587" s="33"/>
    </row>
    <row r="588" spans="1:13" ht="15.12" thickBot="1" customHeight="1">
      <c r="A588" s="33"/>
      <c r="B588" s="33"/>
      <c r="C588" s="33"/>
      <c r="D588" s="37"/>
      <c r="E588" s="8" t="s">
        <v>1126</v>
      </c>
      <c r="F588" s="6">
        <v>1</v>
      </c>
      <c r="G588" s="31">
        <v>20.200</v>
      </c>
      <c r="H588" s="31"/>
      <c r="I588" s="31"/>
      <c r="J588" s="41">
        <f ca="1">ROUND(F588*G588,3)</f>
        <v>0</v>
      </c>
      <c r="K588" s="33"/>
      <c r="L588" s="33"/>
      <c r="M588" s="33"/>
    </row>
    <row r="589" spans="1:13" ht="15.12" thickBot="1" customHeight="1">
      <c r="A589" s="33"/>
      <c r="B589" s="33"/>
      <c r="C589" s="33"/>
      <c r="D589" s="37"/>
      <c r="E589" s="8" t="s">
        <v>1127</v>
      </c>
      <c r="F589" s="6">
        <v>1</v>
      </c>
      <c r="G589" s="31">
        <v>19.700</v>
      </c>
      <c r="H589" s="31"/>
      <c r="I589" s="31"/>
      <c r="J589" s="41">
        <f ca="1">ROUND(F589*G589,3)</f>
        <v>0</v>
      </c>
      <c r="K589" s="43">
        <f ca="1">SUM(J585:J589)</f>
        <v>0</v>
      </c>
      <c r="L589" s="33"/>
      <c r="M589" s="33"/>
    </row>
    <row r="590" spans="1:13" ht="15.48" thickBot="1" customHeight="1">
      <c r="A590" s="46"/>
      <c r="B590" s="46"/>
      <c r="C590" s="46"/>
      <c r="D590" s="47" t="s">
        <v>1128</v>
      </c>
      <c r="E590" s="48"/>
      <c r="F590" s="48"/>
      <c r="G590" s="48"/>
      <c r="H590" s="48"/>
      <c r="I590" s="48"/>
      <c r="J590" s="48"/>
      <c r="K590" s="48"/>
      <c r="L590" s="49">
        <f ca="1">M565+M570+M572+M574+M576+M578+M582</f>
        <v>0</v>
      </c>
      <c r="M590" s="49">
        <f ca="1">ROUND(L590,2)</f>
        <v>0</v>
      </c>
    </row>
    <row r="591" spans="1:13" ht="15.48" thickBot="1" customHeight="1">
      <c r="A591" s="50" t="s">
        <v>1129</v>
      </c>
      <c r="B591" s="50" t="s">
        <v>1130</v>
      </c>
      <c r="C591" s="51"/>
      <c r="D591" s="52" t="s">
        <v>1131</v>
      </c>
      <c r="E591" s="52"/>
      <c r="F591" s="52"/>
      <c r="G591" s="52"/>
      <c r="H591" s="52"/>
      <c r="I591" s="52"/>
      <c r="J591" s="52"/>
      <c r="K591" s="51"/>
      <c r="L591" s="53">
        <f ca="1">L668</f>
        <v>0</v>
      </c>
      <c r="M591" s="53">
        <f ca="1">ROUND(L591,2)</f>
        <v>0</v>
      </c>
    </row>
    <row r="592" spans="1:13" ht="15.48" thickBot="1" customHeight="1">
      <c r="A592" s="15" t="s">
        <v>1132</v>
      </c>
      <c r="B592" s="8" t="s">
        <v>1133</v>
      </c>
      <c r="C592" s="8" t="s">
        <v>1134</v>
      </c>
      <c r="D592" s="30" t="s">
        <v>1135</v>
      </c>
      <c r="E592" s="30"/>
      <c r="F592" s="30"/>
      <c r="G592" s="30"/>
      <c r="H592" s="30"/>
      <c r="I592" s="30"/>
      <c r="J592" s="30"/>
      <c r="K592" s="31">
        <f ca="1">SUM(K595:K599)</f>
        <v>0</v>
      </c>
      <c r="L592" s="32">
        <f ca="1">ROUND(573.890*(1+M2/100),2)</f>
        <v>0</v>
      </c>
      <c r="M592" s="32">
        <f ca="1">ROUND(K592*L592,2)</f>
        <v>0</v>
      </c>
    </row>
    <row r="593" spans="1:13" ht="132.24" thickBot="1" customHeight="1">
      <c r="A593" s="33"/>
      <c r="B593" s="33"/>
      <c r="C593" s="33"/>
      <c r="D593" s="30" t="s">
        <v>1136</v>
      </c>
      <c r="E593" s="30"/>
      <c r="F593" s="30"/>
      <c r="G593" s="30"/>
      <c r="H593" s="30"/>
      <c r="I593" s="30"/>
      <c r="J593" s="30"/>
      <c r="K593" s="30"/>
      <c r="L593" s="30"/>
      <c r="M593" s="30"/>
    </row>
    <row r="594" spans="1:13" ht="15.12" thickBot="1" customHeight="1">
      <c r="A594" s="33"/>
      <c r="B594" s="33"/>
      <c r="C594" s="33"/>
      <c r="D594" s="33"/>
      <c r="E594" s="34"/>
      <c r="F594" s="36" t="s">
        <v>1137</v>
      </c>
      <c r="G594" s="36" t="s">
        <v>1138</v>
      </c>
      <c r="H594" s="36" t="s">
        <v>1139</v>
      </c>
      <c r="I594" s="36" t="s">
        <v>1140</v>
      </c>
      <c r="J594" s="36" t="s">
        <v>1141</v>
      </c>
      <c r="K594" s="36" t="s">
        <v>1142</v>
      </c>
      <c r="L594" s="33"/>
      <c r="M594" s="33"/>
    </row>
    <row r="595" spans="1:13" ht="15.12" thickBot="1" customHeight="1">
      <c r="A595" s="33"/>
      <c r="B595" s="33"/>
      <c r="C595" s="33"/>
      <c r="D595" s="37"/>
      <c r="E595" s="38" t="s">
        <v>1143</v>
      </c>
      <c r="F595" s="39">
        <v>1</v>
      </c>
      <c r="G595" s="40"/>
      <c r="H595" s="40">
        <v>1.170</v>
      </c>
      <c r="I595" s="40">
        <v>2.200</v>
      </c>
      <c r="J595" s="42">
        <f ca="1">ROUND(F595*H595*I595,3)</f>
        <v>0</v>
      </c>
      <c r="K595" s="45"/>
      <c r="L595" s="33"/>
      <c r="M595" s="33"/>
    </row>
    <row r="596" spans="1:13" ht="15.12" thickBot="1" customHeight="1">
      <c r="A596" s="33"/>
      <c r="B596" s="33"/>
      <c r="C596" s="33"/>
      <c r="D596" s="37"/>
      <c r="E596" s="8" t="s">
        <v>1144</v>
      </c>
      <c r="F596" s="6">
        <v>1</v>
      </c>
      <c r="G596" s="31"/>
      <c r="H596" s="31">
        <v>1.170</v>
      </c>
      <c r="I596" s="31">
        <v>2.200</v>
      </c>
      <c r="J596" s="41">
        <f ca="1">ROUND(F596*H596*I596,3)</f>
        <v>0</v>
      </c>
      <c r="K596" s="33"/>
      <c r="L596" s="33"/>
      <c r="M596" s="33"/>
    </row>
    <row r="597" spans="1:13" ht="15.12" thickBot="1" customHeight="1">
      <c r="A597" s="33"/>
      <c r="B597" s="33"/>
      <c r="C597" s="33"/>
      <c r="D597" s="37"/>
      <c r="E597" s="8" t="s">
        <v>1145</v>
      </c>
      <c r="F597" s="6">
        <v>1</v>
      </c>
      <c r="G597" s="31"/>
      <c r="H597" s="31">
        <v>0.600</v>
      </c>
      <c r="I597" s="31">
        <v>1.720</v>
      </c>
      <c r="J597" s="41">
        <f ca="1">ROUND(F597*H597*I597,3)</f>
        <v>0</v>
      </c>
      <c r="K597" s="33"/>
      <c r="L597" s="33"/>
      <c r="M597" s="33"/>
    </row>
    <row r="598" spans="1:13" ht="15.12" thickBot="1" customHeight="1">
      <c r="A598" s="33"/>
      <c r="B598" s="33"/>
      <c r="C598" s="33"/>
      <c r="D598" s="37"/>
      <c r="E598" s="8" t="s">
        <v>1146</v>
      </c>
      <c r="F598" s="6">
        <v>1</v>
      </c>
      <c r="G598" s="31"/>
      <c r="H598" s="31">
        <v>0.700</v>
      </c>
      <c r="I598" s="31">
        <v>2.180</v>
      </c>
      <c r="J598" s="41">
        <f ca="1">ROUND(F598*H598*I598,3)</f>
        <v>0</v>
      </c>
      <c r="K598" s="33"/>
      <c r="L598" s="33"/>
      <c r="M598" s="33"/>
    </row>
    <row r="599" spans="1:13" ht="15.12" thickBot="1" customHeight="1">
      <c r="A599" s="33"/>
      <c r="B599" s="33"/>
      <c r="C599" s="33"/>
      <c r="D599" s="37"/>
      <c r="E599" s="8" t="s">
        <v>1147</v>
      </c>
      <c r="F599" s="6">
        <v>1</v>
      </c>
      <c r="G599" s="31"/>
      <c r="H599" s="31">
        <v>0.700</v>
      </c>
      <c r="I599" s="31">
        <v>2.180</v>
      </c>
      <c r="J599" s="41">
        <f ca="1">ROUND(F599*H599*I599,3)</f>
        <v>0</v>
      </c>
      <c r="K599" s="43">
        <f ca="1">SUM(J595:J599)</f>
        <v>0</v>
      </c>
      <c r="L599" s="33"/>
      <c r="M599" s="33"/>
    </row>
    <row r="600" spans="1:13" ht="15.48" thickBot="1" customHeight="1">
      <c r="A600" s="15" t="s">
        <v>1148</v>
      </c>
      <c r="B600" s="8" t="s">
        <v>1149</v>
      </c>
      <c r="C600" s="8" t="s">
        <v>1150</v>
      </c>
      <c r="D600" s="30" t="s">
        <v>1151</v>
      </c>
      <c r="E600" s="30"/>
      <c r="F600" s="30"/>
      <c r="G600" s="30"/>
      <c r="H600" s="30"/>
      <c r="I600" s="30"/>
      <c r="J600" s="30"/>
      <c r="K600" s="31">
        <f ca="1">SUM(K603:K609)</f>
        <v>0</v>
      </c>
      <c r="L600" s="32">
        <f ca="1">ROUND(607.120*(1+M2/100),2)</f>
        <v>0</v>
      </c>
      <c r="M600" s="32">
        <f ca="1">ROUND(K600*L600,2)</f>
        <v>0</v>
      </c>
    </row>
    <row r="601" spans="1:13" ht="150.72" thickBot="1" customHeight="1">
      <c r="A601" s="33"/>
      <c r="B601" s="33"/>
      <c r="C601" s="33"/>
      <c r="D601" s="30" t="s">
        <v>1152</v>
      </c>
      <c r="E601" s="30"/>
      <c r="F601" s="30"/>
      <c r="G601" s="30"/>
      <c r="H601" s="30"/>
      <c r="I601" s="30"/>
      <c r="J601" s="30"/>
      <c r="K601" s="30"/>
      <c r="L601" s="30"/>
      <c r="M601" s="30"/>
    </row>
    <row r="602" spans="1:13" ht="15.12" thickBot="1" customHeight="1">
      <c r="A602" s="33"/>
      <c r="B602" s="33"/>
      <c r="C602" s="33"/>
      <c r="D602" s="33"/>
      <c r="E602" s="34"/>
      <c r="F602" s="36" t="s">
        <v>1153</v>
      </c>
      <c r="G602" s="36" t="s">
        <v>1154</v>
      </c>
      <c r="H602" s="36" t="s">
        <v>1155</v>
      </c>
      <c r="I602" s="36" t="s">
        <v>1156</v>
      </c>
      <c r="J602" s="36" t="s">
        <v>1157</v>
      </c>
      <c r="K602" s="36" t="s">
        <v>1158</v>
      </c>
      <c r="L602" s="33"/>
      <c r="M602" s="33"/>
    </row>
    <row r="603" spans="1:13" ht="15.12" thickBot="1" customHeight="1">
      <c r="A603" s="33"/>
      <c r="B603" s="33"/>
      <c r="C603" s="33"/>
      <c r="D603" s="37"/>
      <c r="E603" s="38" t="s">
        <v>1159</v>
      </c>
      <c r="F603" s="39">
        <v>1</v>
      </c>
      <c r="G603" s="40"/>
      <c r="H603" s="40">
        <v>1.000</v>
      </c>
      <c r="I603" s="40">
        <v>2.580</v>
      </c>
      <c r="J603" s="42">
        <f ca="1">ROUND(F603*H603*I603,3)</f>
        <v>0</v>
      </c>
      <c r="K603" s="45"/>
      <c r="L603" s="33"/>
      <c r="M603" s="33"/>
    </row>
    <row r="604" spans="1:13" ht="15.12" thickBot="1" customHeight="1">
      <c r="A604" s="33"/>
      <c r="B604" s="33"/>
      <c r="C604" s="33"/>
      <c r="D604" s="37"/>
      <c r="E604" s="8" t="s">
        <v>1160</v>
      </c>
      <c r="F604" s="6">
        <v>1</v>
      </c>
      <c r="G604" s="31"/>
      <c r="H604" s="31">
        <v>1.120</v>
      </c>
      <c r="I604" s="31">
        <v>2.240</v>
      </c>
      <c r="J604" s="41">
        <f ca="1">ROUND(F604*H604*I604,3)</f>
        <v>0</v>
      </c>
      <c r="K604" s="33"/>
      <c r="L604" s="33"/>
      <c r="M604" s="33"/>
    </row>
    <row r="605" spans="1:13" ht="15.12" thickBot="1" customHeight="1">
      <c r="A605" s="33"/>
      <c r="B605" s="33"/>
      <c r="C605" s="33"/>
      <c r="D605" s="37"/>
      <c r="E605" s="8" t="s">
        <v>1161</v>
      </c>
      <c r="F605" s="6">
        <v>1</v>
      </c>
      <c r="G605" s="31"/>
      <c r="H605" s="31">
        <v>1.500</v>
      </c>
      <c r="I605" s="31">
        <v>2.100</v>
      </c>
      <c r="J605" s="41">
        <f ca="1">ROUND(F605*H605*I605,3)</f>
        <v>0</v>
      </c>
      <c r="K605" s="33"/>
      <c r="L605" s="33"/>
      <c r="M605" s="33"/>
    </row>
    <row r="606" spans="1:13" ht="15.12" thickBot="1" customHeight="1">
      <c r="A606" s="33"/>
      <c r="B606" s="33"/>
      <c r="C606" s="33"/>
      <c r="D606" s="37"/>
      <c r="E606" s="8" t="s">
        <v>1162</v>
      </c>
      <c r="F606" s="6">
        <v>1</v>
      </c>
      <c r="G606" s="31"/>
      <c r="H606" s="31">
        <v>1.500</v>
      </c>
      <c r="I606" s="31">
        <v>2.100</v>
      </c>
      <c r="J606" s="41">
        <f ca="1">ROUND(F606*H606*I606,3)</f>
        <v>0</v>
      </c>
      <c r="K606" s="33"/>
      <c r="L606" s="33"/>
      <c r="M606" s="33"/>
    </row>
    <row r="607" spans="1:13" ht="15.12" thickBot="1" customHeight="1">
      <c r="A607" s="33"/>
      <c r="B607" s="33"/>
      <c r="C607" s="33"/>
      <c r="D607" s="37"/>
      <c r="E607" s="8" t="s">
        <v>1163</v>
      </c>
      <c r="F607" s="6">
        <v>1</v>
      </c>
      <c r="G607" s="31"/>
      <c r="H607" s="31">
        <v>1.500</v>
      </c>
      <c r="I607" s="31">
        <v>2.100</v>
      </c>
      <c r="J607" s="41">
        <f ca="1">ROUND(F607*H607*I607,3)</f>
        <v>0</v>
      </c>
      <c r="K607" s="33"/>
      <c r="L607" s="33"/>
      <c r="M607" s="33"/>
    </row>
    <row r="608" spans="1:13" ht="15.12" thickBot="1" customHeight="1">
      <c r="A608" s="33"/>
      <c r="B608" s="33"/>
      <c r="C608" s="33"/>
      <c r="D608" s="37"/>
      <c r="E608" s="8" t="s">
        <v>1164</v>
      </c>
      <c r="F608" s="6">
        <v>1</v>
      </c>
      <c r="G608" s="31"/>
      <c r="H608" s="31">
        <v>0.870</v>
      </c>
      <c r="I608" s="31">
        <v>1.600</v>
      </c>
      <c r="J608" s="41">
        <f ca="1">ROUND(F608*H608*I608,3)</f>
        <v>0</v>
      </c>
      <c r="K608" s="33"/>
      <c r="L608" s="33"/>
      <c r="M608" s="33"/>
    </row>
    <row r="609" spans="1:13" ht="15.12" thickBot="1" customHeight="1">
      <c r="A609" s="33"/>
      <c r="B609" s="33"/>
      <c r="C609" s="33"/>
      <c r="D609" s="37"/>
      <c r="E609" s="8" t="s">
        <v>1165</v>
      </c>
      <c r="F609" s="6">
        <v>1</v>
      </c>
      <c r="G609" s="31"/>
      <c r="H609" s="31">
        <v>0.870</v>
      </c>
      <c r="I609" s="31">
        <v>1.600</v>
      </c>
      <c r="J609" s="41">
        <f ca="1">ROUND(F609*H609*I609,3)</f>
        <v>0</v>
      </c>
      <c r="K609" s="43">
        <f ca="1">SUM(J603:J609)</f>
        <v>0</v>
      </c>
      <c r="L609" s="33"/>
      <c r="M609" s="33"/>
    </row>
    <row r="610" spans="1:13" ht="15.48" thickBot="1" customHeight="1">
      <c r="A610" s="15" t="s">
        <v>1166</v>
      </c>
      <c r="B610" s="8" t="s">
        <v>1167</v>
      </c>
      <c r="C610" s="8" t="s">
        <v>1168</v>
      </c>
      <c r="D610" s="30" t="s">
        <v>1169</v>
      </c>
      <c r="E610" s="30"/>
      <c r="F610" s="30"/>
      <c r="G610" s="30"/>
      <c r="H610" s="30"/>
      <c r="I610" s="30"/>
      <c r="J610" s="30"/>
      <c r="K610" s="31">
        <f ca="1">SUM(K613:K613)</f>
        <v>0</v>
      </c>
      <c r="L610" s="32">
        <f ca="1">ROUND(3168.260*(1+M2/100),2)</f>
        <v>0</v>
      </c>
      <c r="M610" s="32">
        <f ca="1">ROUND(K610*L610,2)</f>
        <v>0</v>
      </c>
    </row>
    <row r="611" spans="1:13" ht="150.72" thickBot="1" customHeight="1">
      <c r="A611" s="33"/>
      <c r="B611" s="33"/>
      <c r="C611" s="33"/>
      <c r="D611" s="30" t="s">
        <v>1170</v>
      </c>
      <c r="E611" s="30"/>
      <c r="F611" s="30"/>
      <c r="G611" s="30"/>
      <c r="H611" s="30"/>
      <c r="I611" s="30"/>
      <c r="J611" s="30"/>
      <c r="K611" s="30"/>
      <c r="L611" s="30"/>
      <c r="M611" s="30"/>
    </row>
    <row r="612" spans="1:13" ht="15.12" thickBot="1" customHeight="1">
      <c r="A612" s="33"/>
      <c r="B612" s="33"/>
      <c r="C612" s="33"/>
      <c r="D612" s="33"/>
      <c r="E612" s="34"/>
      <c r="F612" s="36" t="s">
        <v>1171</v>
      </c>
      <c r="G612" s="36" t="s">
        <v>1172</v>
      </c>
      <c r="H612" s="36" t="s">
        <v>1173</v>
      </c>
      <c r="I612" s="36" t="s">
        <v>1174</v>
      </c>
      <c r="J612" s="36" t="s">
        <v>1175</v>
      </c>
      <c r="K612" s="36" t="s">
        <v>1176</v>
      </c>
      <c r="L612" s="33"/>
      <c r="M612" s="33"/>
    </row>
    <row r="613" spans="1:13" ht="15.12" thickBot="1" customHeight="1">
      <c r="A613" s="33"/>
      <c r="B613" s="33"/>
      <c r="C613" s="33"/>
      <c r="D613" s="37"/>
      <c r="E613" s="38" t="s">
        <v>1177</v>
      </c>
      <c r="F613" s="39">
        <v>1</v>
      </c>
      <c r="G613" s="40"/>
      <c r="H613" s="40"/>
      <c r="I613" s="40"/>
      <c r="J613" s="42">
        <f ca="1">ROUND(F613,3)</f>
        <v>0</v>
      </c>
      <c r="K613" s="44">
        <f ca="1">SUM(J613:J613)</f>
        <v>0</v>
      </c>
      <c r="L613" s="33"/>
      <c r="M613" s="33"/>
    </row>
    <row r="614" spans="1:13" ht="15.48" thickBot="1" customHeight="1">
      <c r="A614" s="15" t="s">
        <v>1178</v>
      </c>
      <c r="B614" s="8" t="s">
        <v>1179</v>
      </c>
      <c r="C614" s="8" t="s">
        <v>1180</v>
      </c>
      <c r="D614" s="30" t="s">
        <v>1181</v>
      </c>
      <c r="E614" s="30"/>
      <c r="F614" s="30"/>
      <c r="G614" s="30"/>
      <c r="H614" s="30"/>
      <c r="I614" s="30"/>
      <c r="J614" s="30"/>
      <c r="K614" s="31">
        <f ca="1">SUM(K617:K617)</f>
        <v>0</v>
      </c>
      <c r="L614" s="32">
        <f ca="1">ROUND(738.740*(1+M2/100),2)</f>
        <v>0</v>
      </c>
      <c r="M614" s="32">
        <f ca="1">ROUND(K614*L614,2)</f>
        <v>0</v>
      </c>
    </row>
    <row r="615" spans="1:13" ht="123.00" thickBot="1" customHeight="1">
      <c r="A615" s="33"/>
      <c r="B615" s="33"/>
      <c r="C615" s="33"/>
      <c r="D615" s="30" t="s">
        <v>1182</v>
      </c>
      <c r="E615" s="30"/>
      <c r="F615" s="30"/>
      <c r="G615" s="30"/>
      <c r="H615" s="30"/>
      <c r="I615" s="30"/>
      <c r="J615" s="30"/>
      <c r="K615" s="30"/>
      <c r="L615" s="30"/>
      <c r="M615" s="30"/>
    </row>
    <row r="616" spans="1:13" ht="15.12" thickBot="1" customHeight="1">
      <c r="A616" s="33"/>
      <c r="B616" s="33"/>
      <c r="C616" s="33"/>
      <c r="D616" s="33"/>
      <c r="E616" s="34"/>
      <c r="F616" s="36" t="s">
        <v>1183</v>
      </c>
      <c r="G616" s="36" t="s">
        <v>1184</v>
      </c>
      <c r="H616" s="36" t="s">
        <v>1185</v>
      </c>
      <c r="I616" s="36" t="s">
        <v>1186</v>
      </c>
      <c r="J616" s="36" t="s">
        <v>1187</v>
      </c>
      <c r="K616" s="36" t="s">
        <v>1188</v>
      </c>
      <c r="L616" s="33"/>
      <c r="M616" s="33"/>
    </row>
    <row r="617" spans="1:13" ht="15.12" thickBot="1" customHeight="1">
      <c r="A617" s="33"/>
      <c r="B617" s="33"/>
      <c r="C617" s="33"/>
      <c r="D617" s="37"/>
      <c r="E617" s="38"/>
      <c r="F617" s="39">
        <v>1</v>
      </c>
      <c r="G617" s="40"/>
      <c r="H617" s="40">
        <v>0.500</v>
      </c>
      <c r="I617" s="40">
        <v>1.900</v>
      </c>
      <c r="J617" s="42">
        <f ca="1">ROUND(F617*H617*I617,3)</f>
        <v>0</v>
      </c>
      <c r="K617" s="44">
        <f ca="1">SUM(J617:J617)</f>
        <v>0</v>
      </c>
      <c r="L617" s="33"/>
      <c r="M617" s="33"/>
    </row>
    <row r="618" spans="1:13" ht="15.48" thickBot="1" customHeight="1">
      <c r="A618" s="15" t="s">
        <v>1189</v>
      </c>
      <c r="B618" s="8" t="s">
        <v>1190</v>
      </c>
      <c r="C618" s="8" t="s">
        <v>1191</v>
      </c>
      <c r="D618" s="30" t="s">
        <v>1192</v>
      </c>
      <c r="E618" s="30"/>
      <c r="F618" s="30"/>
      <c r="G618" s="30"/>
      <c r="H618" s="30"/>
      <c r="I618" s="30"/>
      <c r="J618" s="30"/>
      <c r="K618" s="31">
        <f ca="1">SUM(K621:K621)</f>
        <v>0</v>
      </c>
      <c r="L618" s="32">
        <f ca="1">ROUND(543.060*(1+M2/100),2)</f>
        <v>0</v>
      </c>
      <c r="M618" s="32">
        <f ca="1">ROUND(K618*L618,2)</f>
        <v>0</v>
      </c>
    </row>
    <row r="619" spans="1:13" ht="132.24" thickBot="1" customHeight="1">
      <c r="A619" s="33"/>
      <c r="B619" s="33"/>
      <c r="C619" s="33"/>
      <c r="D619" s="30" t="s">
        <v>1193</v>
      </c>
      <c r="E619" s="30"/>
      <c r="F619" s="30"/>
      <c r="G619" s="30"/>
      <c r="H619" s="30"/>
      <c r="I619" s="30"/>
      <c r="J619" s="30"/>
      <c r="K619" s="30"/>
      <c r="L619" s="30"/>
      <c r="M619" s="30"/>
    </row>
    <row r="620" spans="1:13" ht="15.12" thickBot="1" customHeight="1">
      <c r="A620" s="33"/>
      <c r="B620" s="33"/>
      <c r="C620" s="33"/>
      <c r="D620" s="33"/>
      <c r="E620" s="34"/>
      <c r="F620" s="36" t="s">
        <v>1194</v>
      </c>
      <c r="G620" s="36" t="s">
        <v>1195</v>
      </c>
      <c r="H620" s="36" t="s">
        <v>1196</v>
      </c>
      <c r="I620" s="36" t="s">
        <v>1197</v>
      </c>
      <c r="J620" s="36" t="s">
        <v>1198</v>
      </c>
      <c r="K620" s="36" t="s">
        <v>1199</v>
      </c>
      <c r="L620" s="33"/>
      <c r="M620" s="33"/>
    </row>
    <row r="621" spans="1:13" ht="15.12" thickBot="1" customHeight="1">
      <c r="A621" s="33"/>
      <c r="B621" s="33"/>
      <c r="C621" s="33"/>
      <c r="D621" s="37"/>
      <c r="E621" s="38"/>
      <c r="F621" s="39">
        <v>1</v>
      </c>
      <c r="G621" s="40"/>
      <c r="H621" s="40">
        <v>1.500</v>
      </c>
      <c r="I621" s="40">
        <v>0.900</v>
      </c>
      <c r="J621" s="42">
        <f ca="1">ROUND(F621*H621*I621,3)</f>
        <v>0</v>
      </c>
      <c r="K621" s="44">
        <f ca="1">SUM(J621:J621)</f>
        <v>0</v>
      </c>
      <c r="L621" s="33"/>
      <c r="M621" s="33"/>
    </row>
    <row r="622" spans="1:13" ht="15.48" thickBot="1" customHeight="1">
      <c r="A622" s="15" t="s">
        <v>1200</v>
      </c>
      <c r="B622" s="8" t="s">
        <v>1201</v>
      </c>
      <c r="C622" s="8" t="s">
        <v>1202</v>
      </c>
      <c r="D622" s="30" t="s">
        <v>1203</v>
      </c>
      <c r="E622" s="30"/>
      <c r="F622" s="30"/>
      <c r="G622" s="30"/>
      <c r="H622" s="30"/>
      <c r="I622" s="30"/>
      <c r="J622" s="30"/>
      <c r="K622" s="31">
        <f ca="1">SUM(K625:K629)</f>
        <v>0</v>
      </c>
      <c r="L622" s="32">
        <f ca="1">ROUND(621.440*(1+M2/100),2)</f>
        <v>0</v>
      </c>
      <c r="M622" s="32">
        <f ca="1">ROUND(K622*L622,2)</f>
        <v>0</v>
      </c>
    </row>
    <row r="623" spans="1:13" ht="123.00" thickBot="1" customHeight="1">
      <c r="A623" s="33"/>
      <c r="B623" s="33"/>
      <c r="C623" s="33"/>
      <c r="D623" s="30" t="s">
        <v>1204</v>
      </c>
      <c r="E623" s="30"/>
      <c r="F623" s="30"/>
      <c r="G623" s="30"/>
      <c r="H623" s="30"/>
      <c r="I623" s="30"/>
      <c r="J623" s="30"/>
      <c r="K623" s="30"/>
      <c r="L623" s="30"/>
      <c r="M623" s="30"/>
    </row>
    <row r="624" spans="1:13" ht="15.12" thickBot="1" customHeight="1">
      <c r="A624" s="33"/>
      <c r="B624" s="33"/>
      <c r="C624" s="33"/>
      <c r="D624" s="33"/>
      <c r="E624" s="34"/>
      <c r="F624" s="36" t="s">
        <v>1205</v>
      </c>
      <c r="G624" s="36" t="s">
        <v>1206</v>
      </c>
      <c r="H624" s="36" t="s">
        <v>1207</v>
      </c>
      <c r="I624" s="36" t="s">
        <v>1208</v>
      </c>
      <c r="J624" s="36" t="s">
        <v>1209</v>
      </c>
      <c r="K624" s="36" t="s">
        <v>1210</v>
      </c>
      <c r="L624" s="33"/>
      <c r="M624" s="33"/>
    </row>
    <row r="625" spans="1:13" ht="15.12" thickBot="1" customHeight="1">
      <c r="A625" s="33"/>
      <c r="B625" s="33"/>
      <c r="C625" s="33"/>
      <c r="D625" s="37"/>
      <c r="E625" s="38" t="s">
        <v>1211</v>
      </c>
      <c r="F625" s="39">
        <v>1</v>
      </c>
      <c r="G625" s="40"/>
      <c r="H625" s="40">
        <v>0.900</v>
      </c>
      <c r="I625" s="40">
        <v>1.940</v>
      </c>
      <c r="J625" s="42">
        <f ca="1">ROUND(F625*H625*I625,3)</f>
        <v>0</v>
      </c>
      <c r="K625" s="45"/>
      <c r="L625" s="33"/>
      <c r="M625" s="33"/>
    </row>
    <row r="626" spans="1:13" ht="15.12" thickBot="1" customHeight="1">
      <c r="A626" s="33"/>
      <c r="B626" s="33"/>
      <c r="C626" s="33"/>
      <c r="D626" s="37"/>
      <c r="E626" s="8" t="s">
        <v>1212</v>
      </c>
      <c r="F626" s="6">
        <v>1</v>
      </c>
      <c r="G626" s="31"/>
      <c r="H626" s="31">
        <v>0.900</v>
      </c>
      <c r="I626" s="31">
        <v>1.940</v>
      </c>
      <c r="J626" s="41">
        <f ca="1">ROUND(F626*H626*I626,3)</f>
        <v>0</v>
      </c>
      <c r="K626" s="33"/>
      <c r="L626" s="33"/>
      <c r="M626" s="33"/>
    </row>
    <row r="627" spans="1:13" ht="15.12" thickBot="1" customHeight="1">
      <c r="A627" s="33"/>
      <c r="B627" s="33"/>
      <c r="C627" s="33"/>
      <c r="D627" s="37"/>
      <c r="E627" s="8" t="s">
        <v>1213</v>
      </c>
      <c r="F627" s="6">
        <v>1</v>
      </c>
      <c r="G627" s="31"/>
      <c r="H627" s="31">
        <v>1.400</v>
      </c>
      <c r="I627" s="31">
        <v>1.500</v>
      </c>
      <c r="J627" s="41">
        <f ca="1">ROUND(F627*H627*I627,3)</f>
        <v>0</v>
      </c>
      <c r="K627" s="33"/>
      <c r="L627" s="33"/>
      <c r="M627" s="33"/>
    </row>
    <row r="628" spans="1:13" ht="15.12" thickBot="1" customHeight="1">
      <c r="A628" s="33"/>
      <c r="B628" s="33"/>
      <c r="C628" s="33"/>
      <c r="D628" s="37"/>
      <c r="E628" s="8" t="s">
        <v>1214</v>
      </c>
      <c r="F628" s="6">
        <v>2</v>
      </c>
      <c r="G628" s="31"/>
      <c r="H628" s="31">
        <v>0.600</v>
      </c>
      <c r="I628" s="31">
        <v>1.500</v>
      </c>
      <c r="J628" s="41">
        <f ca="1">ROUND(F628*H628*I628,3)</f>
        <v>0</v>
      </c>
      <c r="K628" s="33"/>
      <c r="L628" s="33"/>
      <c r="M628" s="33"/>
    </row>
    <row r="629" spans="1:13" ht="15.12" thickBot="1" customHeight="1">
      <c r="A629" s="33"/>
      <c r="B629" s="33"/>
      <c r="C629" s="33"/>
      <c r="D629" s="37"/>
      <c r="E629" s="8" t="s">
        <v>1215</v>
      </c>
      <c r="F629" s="6">
        <v>1</v>
      </c>
      <c r="G629" s="31"/>
      <c r="H629" s="31">
        <v>1.400</v>
      </c>
      <c r="I629" s="31">
        <v>1.500</v>
      </c>
      <c r="J629" s="41">
        <f ca="1">ROUND(F629*H629*I629,3)</f>
        <v>0</v>
      </c>
      <c r="K629" s="43">
        <f ca="1">SUM(J625:J629)</f>
        <v>0</v>
      </c>
      <c r="L629" s="33"/>
      <c r="M629" s="33"/>
    </row>
    <row r="630" spans="1:13" ht="15.48" thickBot="1" customHeight="1">
      <c r="A630" s="15" t="s">
        <v>1216</v>
      </c>
      <c r="B630" s="8" t="s">
        <v>1217</v>
      </c>
      <c r="C630" s="8" t="s">
        <v>1218</v>
      </c>
      <c r="D630" s="30" t="s">
        <v>1219</v>
      </c>
      <c r="E630" s="30"/>
      <c r="F630" s="30"/>
      <c r="G630" s="30"/>
      <c r="H630" s="30"/>
      <c r="I630" s="30"/>
      <c r="J630" s="30"/>
      <c r="K630" s="31">
        <f ca="1">SUM(K633:K636)</f>
        <v>0</v>
      </c>
      <c r="L630" s="32">
        <f ca="1">ROUND(132.750*(1+M2/100),2)</f>
        <v>0</v>
      </c>
      <c r="M630" s="32">
        <f ca="1">ROUND(K630*L630,2)</f>
        <v>0</v>
      </c>
    </row>
    <row r="631" spans="1:13" ht="67.56" thickBot="1" customHeight="1">
      <c r="A631" s="33"/>
      <c r="B631" s="33"/>
      <c r="C631" s="33"/>
      <c r="D631" s="30" t="s">
        <v>1220</v>
      </c>
      <c r="E631" s="30"/>
      <c r="F631" s="30"/>
      <c r="G631" s="30"/>
      <c r="H631" s="30"/>
      <c r="I631" s="30"/>
      <c r="J631" s="30"/>
      <c r="K631" s="30"/>
      <c r="L631" s="30"/>
      <c r="M631" s="30"/>
    </row>
    <row r="632" spans="1:13" ht="15.12" thickBot="1" customHeight="1">
      <c r="A632" s="33"/>
      <c r="B632" s="33"/>
      <c r="C632" s="33"/>
      <c r="D632" s="33"/>
      <c r="E632" s="34"/>
      <c r="F632" s="36" t="s">
        <v>1221</v>
      </c>
      <c r="G632" s="36" t="s">
        <v>1222</v>
      </c>
      <c r="H632" s="36" t="s">
        <v>1223</v>
      </c>
      <c r="I632" s="36" t="s">
        <v>1224</v>
      </c>
      <c r="J632" s="36" t="s">
        <v>1225</v>
      </c>
      <c r="K632" s="36" t="s">
        <v>1226</v>
      </c>
      <c r="L632" s="33"/>
      <c r="M632" s="33"/>
    </row>
    <row r="633" spans="1:13" ht="15.12" thickBot="1" customHeight="1">
      <c r="A633" s="33"/>
      <c r="B633" s="33"/>
      <c r="C633" s="33"/>
      <c r="D633" s="37"/>
      <c r="E633" s="38" t="s">
        <v>1227</v>
      </c>
      <c r="F633" s="39">
        <v>6</v>
      </c>
      <c r="G633" s="40">
        <v>2.330</v>
      </c>
      <c r="H633" s="40"/>
      <c r="I633" s="40"/>
      <c r="J633" s="42">
        <f ca="1">ROUND(F633*G633,3)</f>
        <v>0</v>
      </c>
      <c r="K633" s="45"/>
      <c r="L633" s="33"/>
      <c r="M633" s="33"/>
    </row>
    <row r="634" spans="1:13" ht="15.12" thickBot="1" customHeight="1">
      <c r="A634" s="33"/>
      <c r="B634" s="33"/>
      <c r="C634" s="33"/>
      <c r="D634" s="37"/>
      <c r="E634" s="8" t="s">
        <v>1228</v>
      </c>
      <c r="F634" s="6">
        <v>4</v>
      </c>
      <c r="G634" s="31">
        <v>2.330</v>
      </c>
      <c r="H634" s="31"/>
      <c r="I634" s="31"/>
      <c r="J634" s="41">
        <f ca="1">ROUND(F634*G634,3)</f>
        <v>0</v>
      </c>
      <c r="K634" s="33"/>
      <c r="L634" s="33"/>
      <c r="M634" s="33"/>
    </row>
    <row r="635" spans="1:13" ht="15.12" thickBot="1" customHeight="1">
      <c r="A635" s="33"/>
      <c r="B635" s="33"/>
      <c r="C635" s="33"/>
      <c r="D635" s="37"/>
      <c r="E635" s="8" t="s">
        <v>1229</v>
      </c>
      <c r="F635" s="6">
        <v>6</v>
      </c>
      <c r="G635" s="31">
        <v>2.330</v>
      </c>
      <c r="H635" s="31"/>
      <c r="I635" s="31"/>
      <c r="J635" s="41">
        <f ca="1">ROUND(F635*G635,3)</f>
        <v>0</v>
      </c>
      <c r="K635" s="33"/>
      <c r="L635" s="33"/>
      <c r="M635" s="33"/>
    </row>
    <row r="636" spans="1:13" ht="15.12" thickBot="1" customHeight="1">
      <c r="A636" s="33"/>
      <c r="B636" s="33"/>
      <c r="C636" s="33"/>
      <c r="D636" s="37"/>
      <c r="E636" s="8" t="s">
        <v>1230</v>
      </c>
      <c r="F636" s="6">
        <v>2</v>
      </c>
      <c r="G636" s="31">
        <v>2.330</v>
      </c>
      <c r="H636" s="31"/>
      <c r="I636" s="31"/>
      <c r="J636" s="41">
        <f ca="1">ROUND(F636*G636,3)</f>
        <v>0</v>
      </c>
      <c r="K636" s="43">
        <f ca="1">SUM(J633:J636)</f>
        <v>0</v>
      </c>
      <c r="L636" s="33"/>
      <c r="M636" s="33"/>
    </row>
    <row r="637" spans="1:13" ht="15.48" thickBot="1" customHeight="1">
      <c r="A637" s="15" t="s">
        <v>1231</v>
      </c>
      <c r="B637" s="8" t="s">
        <v>1232</v>
      </c>
      <c r="C637" s="8" t="s">
        <v>1233</v>
      </c>
      <c r="D637" s="30" t="s">
        <v>1234</v>
      </c>
      <c r="E637" s="30"/>
      <c r="F637" s="30"/>
      <c r="G637" s="30"/>
      <c r="H637" s="30"/>
      <c r="I637" s="30"/>
      <c r="J637" s="30"/>
      <c r="K637" s="31">
        <f ca="1">ROUND(1.00,2)</f>
        <v>0</v>
      </c>
      <c r="L637" s="32">
        <f ca="1">ROUND(520.230*(1+M2/100),2)</f>
        <v>0</v>
      </c>
      <c r="M637" s="32">
        <f ca="1">ROUND(K637*L637,2)</f>
        <v>0</v>
      </c>
    </row>
    <row r="638" spans="1:13" ht="67.56" thickBot="1" customHeight="1">
      <c r="A638" s="33"/>
      <c r="B638" s="33"/>
      <c r="C638" s="33"/>
      <c r="D638" s="30" t="s">
        <v>1235</v>
      </c>
      <c r="E638" s="30"/>
      <c r="F638" s="30"/>
      <c r="G638" s="30"/>
      <c r="H638" s="30"/>
      <c r="I638" s="30"/>
      <c r="J638" s="30"/>
      <c r="K638" s="30"/>
      <c r="L638" s="30"/>
      <c r="M638" s="30"/>
    </row>
    <row r="639" spans="1:13" ht="15.48" thickBot="1" customHeight="1">
      <c r="A639" s="15" t="s">
        <v>1236</v>
      </c>
      <c r="B639" s="8" t="s">
        <v>1237</v>
      </c>
      <c r="C639" s="8" t="s">
        <v>1238</v>
      </c>
      <c r="D639" s="30" t="s">
        <v>1239</v>
      </c>
      <c r="E639" s="30"/>
      <c r="F639" s="30"/>
      <c r="G639" s="30"/>
      <c r="H639" s="30"/>
      <c r="I639" s="30"/>
      <c r="J639" s="30"/>
      <c r="K639" s="31">
        <f ca="1">SUM(K642:K655)</f>
        <v>0</v>
      </c>
      <c r="L639" s="32">
        <f ca="1">ROUND(119.100*(1+M2/100),2)</f>
        <v>0</v>
      </c>
      <c r="M639" s="32">
        <f ca="1">ROUND(K639*L639,2)</f>
        <v>0</v>
      </c>
    </row>
    <row r="640" spans="1:13" ht="49.08" thickBot="1" customHeight="1">
      <c r="A640" s="33"/>
      <c r="B640" s="33"/>
      <c r="C640" s="33"/>
      <c r="D640" s="30" t="s">
        <v>1240</v>
      </c>
      <c r="E640" s="30"/>
      <c r="F640" s="30"/>
      <c r="G640" s="30"/>
      <c r="H640" s="30"/>
      <c r="I640" s="30"/>
      <c r="J640" s="30"/>
      <c r="K640" s="30"/>
      <c r="L640" s="30"/>
      <c r="M640" s="30"/>
    </row>
    <row r="641" spans="1:13" ht="15.12" thickBot="1" customHeight="1">
      <c r="A641" s="33"/>
      <c r="B641" s="33"/>
      <c r="C641" s="33"/>
      <c r="D641" s="33"/>
      <c r="E641" s="34"/>
      <c r="F641" s="36" t="s">
        <v>1241</v>
      </c>
      <c r="G641" s="36" t="s">
        <v>1242</v>
      </c>
      <c r="H641" s="36" t="s">
        <v>1243</v>
      </c>
      <c r="I641" s="36" t="s">
        <v>1244</v>
      </c>
      <c r="J641" s="36" t="s">
        <v>1245</v>
      </c>
      <c r="K641" s="36" t="s">
        <v>1246</v>
      </c>
      <c r="L641" s="33"/>
      <c r="M641" s="33"/>
    </row>
    <row r="642" spans="1:13" ht="15.12" thickBot="1" customHeight="1">
      <c r="A642" s="33"/>
      <c r="B642" s="33"/>
      <c r="C642" s="33"/>
      <c r="D642" s="37"/>
      <c r="E642" s="38" t="s">
        <v>1247</v>
      </c>
      <c r="F642" s="39">
        <v>1</v>
      </c>
      <c r="G642" s="40"/>
      <c r="H642" s="40"/>
      <c r="I642" s="40"/>
      <c r="J642" s="42">
        <f ca="1">ROUND(F642,3)</f>
        <v>0</v>
      </c>
      <c r="K642" s="45"/>
      <c r="L642" s="33"/>
      <c r="M642" s="33"/>
    </row>
    <row r="643" spans="1:13" ht="15.12" thickBot="1" customHeight="1">
      <c r="A643" s="33"/>
      <c r="B643" s="33"/>
      <c r="C643" s="33"/>
      <c r="D643" s="37"/>
      <c r="E643" s="8" t="s">
        <v>1248</v>
      </c>
      <c r="F643" s="6">
        <v>1</v>
      </c>
      <c r="G643" s="31"/>
      <c r="H643" s="31"/>
      <c r="I643" s="31"/>
      <c r="J643" s="41">
        <f ca="1">ROUND(F643,3)</f>
        <v>0</v>
      </c>
      <c r="K643" s="33"/>
      <c r="L643" s="33"/>
      <c r="M643" s="33"/>
    </row>
    <row r="644" spans="1:13" ht="15.12" thickBot="1" customHeight="1">
      <c r="A644" s="33"/>
      <c r="B644" s="33"/>
      <c r="C644" s="33"/>
      <c r="D644" s="37"/>
      <c r="E644" s="8" t="s">
        <v>1249</v>
      </c>
      <c r="F644" s="6">
        <v>1</v>
      </c>
      <c r="G644" s="31"/>
      <c r="H644" s="31"/>
      <c r="I644" s="31"/>
      <c r="J644" s="41">
        <f ca="1">ROUND(F644,3)</f>
        <v>0</v>
      </c>
      <c r="K644" s="33"/>
      <c r="L644" s="33"/>
      <c r="M644" s="33"/>
    </row>
    <row r="645" spans="1:13" ht="15.12" thickBot="1" customHeight="1">
      <c r="A645" s="33"/>
      <c r="B645" s="33"/>
      <c r="C645" s="33"/>
      <c r="D645" s="37"/>
      <c r="E645" s="8" t="s">
        <v>1250</v>
      </c>
      <c r="F645" s="6">
        <v>1</v>
      </c>
      <c r="G645" s="31"/>
      <c r="H645" s="31"/>
      <c r="I645" s="31"/>
      <c r="J645" s="41">
        <f ca="1">ROUND(F645,3)</f>
        <v>0</v>
      </c>
      <c r="K645" s="33"/>
      <c r="L645" s="33"/>
      <c r="M645" s="33"/>
    </row>
    <row r="646" spans="1:13" ht="15.12" thickBot="1" customHeight="1">
      <c r="A646" s="33"/>
      <c r="B646" s="33"/>
      <c r="C646" s="33"/>
      <c r="D646" s="37"/>
      <c r="E646" s="8" t="s">
        <v>1251</v>
      </c>
      <c r="F646" s="6">
        <v>1</v>
      </c>
      <c r="G646" s="31"/>
      <c r="H646" s="31"/>
      <c r="I646" s="31"/>
      <c r="J646" s="41">
        <f ca="1">ROUND(F646,3)</f>
        <v>0</v>
      </c>
      <c r="K646" s="33"/>
      <c r="L646" s="33"/>
      <c r="M646" s="33"/>
    </row>
    <row r="647" spans="1:13" ht="15.12" thickBot="1" customHeight="1">
      <c r="A647" s="33"/>
      <c r="B647" s="33"/>
      <c r="C647" s="33"/>
      <c r="D647" s="37"/>
      <c r="E647" s="8" t="s">
        <v>1252</v>
      </c>
      <c r="F647" s="6">
        <v>1</v>
      </c>
      <c r="G647" s="31"/>
      <c r="H647" s="31"/>
      <c r="I647" s="31"/>
      <c r="J647" s="41">
        <f ca="1">ROUND(F647,3)</f>
        <v>0</v>
      </c>
      <c r="K647" s="33"/>
      <c r="L647" s="33"/>
      <c r="M647" s="33"/>
    </row>
    <row r="648" spans="1:13" ht="15.12" thickBot="1" customHeight="1">
      <c r="A648" s="33"/>
      <c r="B648" s="33"/>
      <c r="C648" s="33"/>
      <c r="D648" s="37"/>
      <c r="E648" s="8" t="s">
        <v>1253</v>
      </c>
      <c r="F648" s="6">
        <v>1</v>
      </c>
      <c r="G648" s="31"/>
      <c r="H648" s="31"/>
      <c r="I648" s="31"/>
      <c r="J648" s="41">
        <f ca="1">ROUND(F648,3)</f>
        <v>0</v>
      </c>
      <c r="K648" s="33"/>
      <c r="L648" s="33"/>
      <c r="M648" s="33"/>
    </row>
    <row r="649" spans="1:13" ht="15.12" thickBot="1" customHeight="1">
      <c r="A649" s="33"/>
      <c r="B649" s="33"/>
      <c r="C649" s="33"/>
      <c r="D649" s="37"/>
      <c r="E649" s="8" t="s">
        <v>1254</v>
      </c>
      <c r="F649" s="6">
        <v>1</v>
      </c>
      <c r="G649" s="31"/>
      <c r="H649" s="31"/>
      <c r="I649" s="31"/>
      <c r="J649" s="41">
        <f ca="1">ROUND(F649,3)</f>
        <v>0</v>
      </c>
      <c r="K649" s="33"/>
      <c r="L649" s="33"/>
      <c r="M649" s="33"/>
    </row>
    <row r="650" spans="1:13" ht="15.12" thickBot="1" customHeight="1">
      <c r="A650" s="33"/>
      <c r="B650" s="33"/>
      <c r="C650" s="33"/>
      <c r="D650" s="37"/>
      <c r="E650" s="8" t="s">
        <v>1255</v>
      </c>
      <c r="F650" s="6">
        <v>1</v>
      </c>
      <c r="G650" s="31"/>
      <c r="H650" s="31"/>
      <c r="I650" s="31"/>
      <c r="J650" s="41">
        <f ca="1">ROUND(F650,3)</f>
        <v>0</v>
      </c>
      <c r="K650" s="33"/>
      <c r="L650" s="33"/>
      <c r="M650" s="33"/>
    </row>
    <row r="651" spans="1:13" ht="15.12" thickBot="1" customHeight="1">
      <c r="A651" s="33"/>
      <c r="B651" s="33"/>
      <c r="C651" s="33"/>
      <c r="D651" s="37"/>
      <c r="E651" s="8" t="s">
        <v>1256</v>
      </c>
      <c r="F651" s="6">
        <v>1</v>
      </c>
      <c r="G651" s="31"/>
      <c r="H651" s="31"/>
      <c r="I651" s="31"/>
      <c r="J651" s="41">
        <f ca="1">ROUND(F651,3)</f>
        <v>0</v>
      </c>
      <c r="K651" s="33"/>
      <c r="L651" s="33"/>
      <c r="M651" s="33"/>
    </row>
    <row r="652" spans="1:13" ht="15.12" thickBot="1" customHeight="1">
      <c r="A652" s="33"/>
      <c r="B652" s="33"/>
      <c r="C652" s="33"/>
      <c r="D652" s="37"/>
      <c r="E652" s="8" t="s">
        <v>1257</v>
      </c>
      <c r="F652" s="6">
        <v>1</v>
      </c>
      <c r="G652" s="31"/>
      <c r="H652" s="31"/>
      <c r="I652" s="31"/>
      <c r="J652" s="41">
        <f ca="1">ROUND(F652,3)</f>
        <v>0</v>
      </c>
      <c r="K652" s="33"/>
      <c r="L652" s="33"/>
      <c r="M652" s="33"/>
    </row>
    <row r="653" spans="1:13" ht="15.12" thickBot="1" customHeight="1">
      <c r="A653" s="33"/>
      <c r="B653" s="33"/>
      <c r="C653" s="33"/>
      <c r="D653" s="37"/>
      <c r="E653" s="8" t="s">
        <v>1258</v>
      </c>
      <c r="F653" s="6">
        <v>1</v>
      </c>
      <c r="G653" s="31"/>
      <c r="H653" s="31"/>
      <c r="I653" s="31"/>
      <c r="J653" s="41">
        <f ca="1">ROUND(F653,3)</f>
        <v>0</v>
      </c>
      <c r="K653" s="33"/>
      <c r="L653" s="33"/>
      <c r="M653" s="33"/>
    </row>
    <row r="654" spans="1:13" ht="15.12" thickBot="1" customHeight="1">
      <c r="A654" s="33"/>
      <c r="B654" s="33"/>
      <c r="C654" s="33"/>
      <c r="D654" s="37"/>
      <c r="E654" s="8" t="s">
        <v>1259</v>
      </c>
      <c r="F654" s="6">
        <v>1</v>
      </c>
      <c r="G654" s="31"/>
      <c r="H654" s="31"/>
      <c r="I654" s="31"/>
      <c r="J654" s="41">
        <f ca="1">ROUND(F654,3)</f>
        <v>0</v>
      </c>
      <c r="K654" s="33"/>
      <c r="L654" s="33"/>
      <c r="M654" s="33"/>
    </row>
    <row r="655" spans="1:13" ht="15.12" thickBot="1" customHeight="1">
      <c r="A655" s="33"/>
      <c r="B655" s="33"/>
      <c r="C655" s="33"/>
      <c r="D655" s="37"/>
      <c r="E655" s="8" t="s">
        <v>1260</v>
      </c>
      <c r="F655" s="6">
        <v>1</v>
      </c>
      <c r="G655" s="31"/>
      <c r="H655" s="31"/>
      <c r="I655" s="31"/>
      <c r="J655" s="41">
        <f ca="1">ROUND(F655,3)</f>
        <v>0</v>
      </c>
      <c r="K655" s="43">
        <f ca="1">SUM(J642:J655)</f>
        <v>0</v>
      </c>
      <c r="L655" s="33"/>
      <c r="M655" s="33"/>
    </row>
    <row r="656" spans="1:13" ht="15.48" thickBot="1" customHeight="1">
      <c r="A656" s="15" t="s">
        <v>1261</v>
      </c>
      <c r="B656" s="8" t="s">
        <v>1262</v>
      </c>
      <c r="C656" s="8" t="s">
        <v>1263</v>
      </c>
      <c r="D656" s="30" t="s">
        <v>1264</v>
      </c>
      <c r="E656" s="30"/>
      <c r="F656" s="30"/>
      <c r="G656" s="30"/>
      <c r="H656" s="30"/>
      <c r="I656" s="30"/>
      <c r="J656" s="30"/>
      <c r="K656" s="31">
        <f ca="1">ROUND(1.00,2)</f>
        <v>0</v>
      </c>
      <c r="L656" s="32">
        <f ca="1">ROUND(4042.550*(1+M2/100),2)</f>
        <v>0</v>
      </c>
      <c r="M656" s="32">
        <f ca="1">ROUND(K656*L656,2)</f>
        <v>0</v>
      </c>
    </row>
    <row r="657" spans="1:13" ht="39.84" thickBot="1" customHeight="1">
      <c r="A657" s="33"/>
      <c r="B657" s="33"/>
      <c r="C657" s="33"/>
      <c r="D657" s="30" t="s">
        <v>1265</v>
      </c>
      <c r="E657" s="30"/>
      <c r="F657" s="30"/>
      <c r="G657" s="30"/>
      <c r="H657" s="30"/>
      <c r="I657" s="30"/>
      <c r="J657" s="30"/>
      <c r="K657" s="30"/>
      <c r="L657" s="30"/>
      <c r="M657" s="30"/>
    </row>
    <row r="658" spans="1:13" ht="15.48" thickBot="1" customHeight="1">
      <c r="A658" s="15" t="s">
        <v>1266</v>
      </c>
      <c r="B658" s="8" t="s">
        <v>1267</v>
      </c>
      <c r="C658" s="8" t="s">
        <v>1268</v>
      </c>
      <c r="D658" s="30" t="s">
        <v>1269</v>
      </c>
      <c r="E658" s="30"/>
      <c r="F658" s="30"/>
      <c r="G658" s="30"/>
      <c r="H658" s="30"/>
      <c r="I658" s="30"/>
      <c r="J658" s="30"/>
      <c r="K658" s="31">
        <f ca="1">SUM(K661:K662)</f>
        <v>0</v>
      </c>
      <c r="L658" s="32">
        <f ca="1">ROUND(4329.780*(1+M2/100),2)</f>
        <v>0</v>
      </c>
      <c r="M658" s="32">
        <f ca="1">ROUND(K658*L658,2)</f>
        <v>0</v>
      </c>
    </row>
    <row r="659" spans="1:13" ht="49.08" thickBot="1" customHeight="1">
      <c r="A659" s="33"/>
      <c r="B659" s="33"/>
      <c r="C659" s="33"/>
      <c r="D659" s="30" t="s">
        <v>1270</v>
      </c>
      <c r="E659" s="30"/>
      <c r="F659" s="30"/>
      <c r="G659" s="30"/>
      <c r="H659" s="30"/>
      <c r="I659" s="30"/>
      <c r="J659" s="30"/>
      <c r="K659" s="30"/>
      <c r="L659" s="30"/>
      <c r="M659" s="30"/>
    </row>
    <row r="660" spans="1:13" ht="15.12" thickBot="1" customHeight="1">
      <c r="A660" s="33"/>
      <c r="B660" s="33"/>
      <c r="C660" s="33"/>
      <c r="D660" s="33"/>
      <c r="E660" s="34"/>
      <c r="F660" s="36" t="s">
        <v>1271</v>
      </c>
      <c r="G660" s="36" t="s">
        <v>1272</v>
      </c>
      <c r="H660" s="36" t="s">
        <v>1273</v>
      </c>
      <c r="I660" s="36" t="s">
        <v>1274</v>
      </c>
      <c r="J660" s="36" t="s">
        <v>1275</v>
      </c>
      <c r="K660" s="36" t="s">
        <v>1276</v>
      </c>
      <c r="L660" s="33"/>
      <c r="M660" s="33"/>
    </row>
    <row r="661" spans="1:13" ht="15.12" thickBot="1" customHeight="1">
      <c r="A661" s="33"/>
      <c r="B661" s="33"/>
      <c r="C661" s="33"/>
      <c r="D661" s="37"/>
      <c r="E661" s="38" t="s">
        <v>1277</v>
      </c>
      <c r="F661" s="39">
        <v>1</v>
      </c>
      <c r="G661" s="40"/>
      <c r="H661" s="40"/>
      <c r="I661" s="40"/>
      <c r="J661" s="42">
        <f ca="1">ROUND(F661,3)</f>
        <v>0</v>
      </c>
      <c r="K661" s="45"/>
      <c r="L661" s="33"/>
      <c r="M661" s="33"/>
    </row>
    <row r="662" spans="1:13" ht="15.12" thickBot="1" customHeight="1">
      <c r="A662" s="33"/>
      <c r="B662" s="33"/>
      <c r="C662" s="33"/>
      <c r="D662" s="37"/>
      <c r="E662" s="8" t="s">
        <v>1278</v>
      </c>
      <c r="F662" s="6">
        <v>1</v>
      </c>
      <c r="G662" s="31"/>
      <c r="H662" s="31"/>
      <c r="I662" s="31"/>
      <c r="J662" s="41">
        <f ca="1">ROUND(F662,3)</f>
        <v>0</v>
      </c>
      <c r="K662" s="43">
        <f ca="1">SUM(J661:J662)</f>
        <v>0</v>
      </c>
      <c r="L662" s="33"/>
      <c r="M662" s="33"/>
    </row>
    <row r="663" spans="1:13" ht="15.48" thickBot="1" customHeight="1">
      <c r="A663" s="15" t="s">
        <v>1279</v>
      </c>
      <c r="B663" s="8" t="s">
        <v>1280</v>
      </c>
      <c r="C663" s="8" t="s">
        <v>1281</v>
      </c>
      <c r="D663" s="30" t="s">
        <v>1282</v>
      </c>
      <c r="E663" s="30"/>
      <c r="F663" s="30"/>
      <c r="G663" s="30"/>
      <c r="H663" s="30"/>
      <c r="I663" s="30"/>
      <c r="J663" s="30"/>
      <c r="K663" s="31">
        <f ca="1">SUM(K666:K667)</f>
        <v>0</v>
      </c>
      <c r="L663" s="32">
        <f ca="1">ROUND(465.140*(1+M2/100),2)</f>
        <v>0</v>
      </c>
      <c r="M663" s="32">
        <f ca="1">ROUND(K663*L663,2)</f>
        <v>0</v>
      </c>
    </row>
    <row r="664" spans="1:13" ht="150.72" thickBot="1" customHeight="1">
      <c r="A664" s="33"/>
      <c r="B664" s="33"/>
      <c r="C664" s="33"/>
      <c r="D664" s="30" t="s">
        <v>1283</v>
      </c>
      <c r="E664" s="30"/>
      <c r="F664" s="30"/>
      <c r="G664" s="30"/>
      <c r="H664" s="30"/>
      <c r="I664" s="30"/>
      <c r="J664" s="30"/>
      <c r="K664" s="30"/>
      <c r="L664" s="30"/>
      <c r="M664" s="30"/>
    </row>
    <row r="665" spans="1:13" ht="15.12" thickBot="1" customHeight="1">
      <c r="A665" s="33"/>
      <c r="B665" s="33"/>
      <c r="C665" s="33"/>
      <c r="D665" s="33"/>
      <c r="E665" s="34"/>
      <c r="F665" s="36" t="s">
        <v>1284</v>
      </c>
      <c r="G665" s="36" t="s">
        <v>1285</v>
      </c>
      <c r="H665" s="36" t="s">
        <v>1286</v>
      </c>
      <c r="I665" s="36" t="s">
        <v>1287</v>
      </c>
      <c r="J665" s="36" t="s">
        <v>1288</v>
      </c>
      <c r="K665" s="36" t="s">
        <v>1289</v>
      </c>
      <c r="L665" s="33"/>
      <c r="M665" s="33"/>
    </row>
    <row r="666" spans="1:13" ht="15.12" thickBot="1" customHeight="1">
      <c r="A666" s="33"/>
      <c r="B666" s="33"/>
      <c r="C666" s="33"/>
      <c r="D666" s="37"/>
      <c r="E666" s="38" t="s">
        <v>1290</v>
      </c>
      <c r="F666" s="39">
        <v>1</v>
      </c>
      <c r="G666" s="40"/>
      <c r="H666" s="40">
        <v>1.000</v>
      </c>
      <c r="I666" s="40">
        <v>2.580</v>
      </c>
      <c r="J666" s="42">
        <f ca="1">ROUND(F666*H666*I666,3)</f>
        <v>0</v>
      </c>
      <c r="K666" s="45"/>
      <c r="L666" s="33"/>
      <c r="M666" s="33"/>
    </row>
    <row r="667" spans="1:13" ht="15.12" thickBot="1" customHeight="1">
      <c r="A667" s="33"/>
      <c r="B667" s="33"/>
      <c r="C667" s="33"/>
      <c r="D667" s="37"/>
      <c r="E667" s="8" t="s">
        <v>1291</v>
      </c>
      <c r="F667" s="6">
        <v>1</v>
      </c>
      <c r="G667" s="31"/>
      <c r="H667" s="31">
        <v>1.120</v>
      </c>
      <c r="I667" s="31">
        <v>2.240</v>
      </c>
      <c r="J667" s="41">
        <f ca="1">ROUND(F667*H667*I667,3)</f>
        <v>0</v>
      </c>
      <c r="K667" s="43">
        <f ca="1">SUM(J666:J667)</f>
        <v>0</v>
      </c>
      <c r="L667" s="33"/>
      <c r="M667" s="33"/>
    </row>
    <row r="668" spans="1:13" ht="15.48" thickBot="1" customHeight="1">
      <c r="A668" s="46"/>
      <c r="B668" s="46"/>
      <c r="C668" s="46"/>
      <c r="D668" s="47" t="s">
        <v>1292</v>
      </c>
      <c r="E668" s="48"/>
      <c r="F668" s="48"/>
      <c r="G668" s="48"/>
      <c r="H668" s="48"/>
      <c r="I668" s="48"/>
      <c r="J668" s="48"/>
      <c r="K668" s="48"/>
      <c r="L668" s="49">
        <f ca="1">M592+M600+M610+M614+M618+M622+M630+M637+M639+M656+M658+M663</f>
        <v>0</v>
      </c>
      <c r="M668" s="49">
        <f ca="1">ROUND(L668,2)</f>
        <v>0</v>
      </c>
    </row>
    <row r="669" spans="1:13" ht="15.48" thickBot="1" customHeight="1">
      <c r="A669" s="55"/>
      <c r="B669" s="55"/>
      <c r="C669" s="55"/>
      <c r="D669" s="56" t="s">
        <v>1293</v>
      </c>
      <c r="E669" s="57"/>
      <c r="F669" s="57"/>
      <c r="G669" s="57"/>
      <c r="H669" s="57"/>
      <c r="I669" s="57"/>
      <c r="J669" s="57"/>
      <c r="K669" s="57"/>
      <c r="L669" s="58">
        <f ca="1">M526+M563+M590+M668</f>
        <v>0</v>
      </c>
      <c r="M669" s="58">
        <f ca="1">ROUND(L669,2)</f>
        <v>0</v>
      </c>
    </row>
    <row r="670" spans="1:13" ht="15.48" thickBot="1" customHeight="1">
      <c r="A670" s="59" t="s">
        <v>1294</v>
      </c>
      <c r="B670" s="59" t="s">
        <v>1295</v>
      </c>
      <c r="C670" s="60"/>
      <c r="D670" s="61" t="s">
        <v>1296</v>
      </c>
      <c r="E670" s="61"/>
      <c r="F670" s="61"/>
      <c r="G670" s="61"/>
      <c r="H670" s="61"/>
      <c r="I670" s="61"/>
      <c r="J670" s="61"/>
      <c r="K670" s="60"/>
      <c r="L670" s="62">
        <f ca="1">L691</f>
        <v>0</v>
      </c>
      <c r="M670" s="62">
        <f ca="1">ROUND(L670,2)</f>
        <v>0</v>
      </c>
    </row>
    <row r="671" spans="1:13" ht="15.48" thickBot="1" customHeight="1">
      <c r="A671" s="15" t="s">
        <v>1297</v>
      </c>
      <c r="B671" s="8" t="s">
        <v>1298</v>
      </c>
      <c r="C671" s="8" t="s">
        <v>1299</v>
      </c>
      <c r="D671" s="30" t="s">
        <v>1300</v>
      </c>
      <c r="E671" s="30"/>
      <c r="F671" s="30"/>
      <c r="G671" s="30"/>
      <c r="H671" s="30"/>
      <c r="I671" s="30"/>
      <c r="J671" s="30"/>
      <c r="K671" s="31">
        <f ca="1">SUM(K674:K674)</f>
        <v>0</v>
      </c>
      <c r="L671" s="32">
        <f ca="1">ROUND(49.390*(1+M2/100),2)</f>
        <v>0</v>
      </c>
      <c r="M671" s="32">
        <f ca="1">ROUND(K671*L671,2)</f>
        <v>0</v>
      </c>
    </row>
    <row r="672" spans="1:13" ht="76.80" thickBot="1" customHeight="1">
      <c r="A672" s="33"/>
      <c r="B672" s="33"/>
      <c r="C672" s="33"/>
      <c r="D672" s="30" t="s">
        <v>1301</v>
      </c>
      <c r="E672" s="30"/>
      <c r="F672" s="30"/>
      <c r="G672" s="30"/>
      <c r="H672" s="30"/>
      <c r="I672" s="30"/>
      <c r="J672" s="30"/>
      <c r="K672" s="30"/>
      <c r="L672" s="30"/>
      <c r="M672" s="30"/>
    </row>
    <row r="673" spans="1:13" ht="15.12" thickBot="1" customHeight="1">
      <c r="A673" s="33"/>
      <c r="B673" s="33"/>
      <c r="C673" s="33"/>
      <c r="D673" s="33"/>
      <c r="E673" s="34"/>
      <c r="F673" s="36" t="s">
        <v>1302</v>
      </c>
      <c r="G673" s="36" t="s">
        <v>1303</v>
      </c>
      <c r="H673" s="36" t="s">
        <v>1304</v>
      </c>
      <c r="I673" s="36" t="s">
        <v>1305</v>
      </c>
      <c r="J673" s="36" t="s">
        <v>1306</v>
      </c>
      <c r="K673" s="36" t="s">
        <v>1307</v>
      </c>
      <c r="L673" s="33"/>
      <c r="M673" s="33"/>
    </row>
    <row r="674" spans="1:13" ht="15.12" thickBot="1" customHeight="1">
      <c r="A674" s="33"/>
      <c r="B674" s="33"/>
      <c r="C674" s="33"/>
      <c r="D674" s="37"/>
      <c r="E674" s="38" t="s">
        <v>1308</v>
      </c>
      <c r="F674" s="39">
        <v>1</v>
      </c>
      <c r="G674" s="40">
        <v>35.000</v>
      </c>
      <c r="H674" s="40"/>
      <c r="I674" s="40"/>
      <c r="J674" s="42">
        <f ca="1">ROUND(F674*G674,3)</f>
        <v>0</v>
      </c>
      <c r="K674" s="44">
        <f ca="1">SUM(J674:J674)</f>
        <v>0</v>
      </c>
      <c r="L674" s="33"/>
      <c r="M674" s="33"/>
    </row>
    <row r="675" spans="1:13" ht="15.48" thickBot="1" customHeight="1">
      <c r="A675" s="15" t="s">
        <v>1309</v>
      </c>
      <c r="B675" s="8" t="s">
        <v>1310</v>
      </c>
      <c r="C675" s="8" t="s">
        <v>1311</v>
      </c>
      <c r="D675" s="30" t="s">
        <v>1312</v>
      </c>
      <c r="E675" s="30"/>
      <c r="F675" s="30"/>
      <c r="G675" s="30"/>
      <c r="H675" s="30"/>
      <c r="I675" s="30"/>
      <c r="J675" s="30"/>
      <c r="K675" s="31">
        <f ca="1">SUM(K678:K678)</f>
        <v>0</v>
      </c>
      <c r="L675" s="32">
        <f ca="1">ROUND(1021.130*(1+M2/100),2)</f>
        <v>0</v>
      </c>
      <c r="M675" s="32">
        <f ca="1">ROUND(K675*L675,2)</f>
        <v>0</v>
      </c>
    </row>
    <row r="676" spans="1:13" ht="86.04" thickBot="1" customHeight="1">
      <c r="A676" s="33"/>
      <c r="B676" s="33"/>
      <c r="C676" s="33"/>
      <c r="D676" s="30" t="s">
        <v>1313</v>
      </c>
      <c r="E676" s="30"/>
      <c r="F676" s="30"/>
      <c r="G676" s="30"/>
      <c r="H676" s="30"/>
      <c r="I676" s="30"/>
      <c r="J676" s="30"/>
      <c r="K676" s="30"/>
      <c r="L676" s="30"/>
      <c r="M676" s="30"/>
    </row>
    <row r="677" spans="1:13" ht="15.12" thickBot="1" customHeight="1">
      <c r="A677" s="33"/>
      <c r="B677" s="33"/>
      <c r="C677" s="33"/>
      <c r="D677" s="33"/>
      <c r="E677" s="34"/>
      <c r="F677" s="36" t="s">
        <v>1314</v>
      </c>
      <c r="G677" s="36" t="s">
        <v>1315</v>
      </c>
      <c r="H677" s="36" t="s">
        <v>1316</v>
      </c>
      <c r="I677" s="36" t="s">
        <v>1317</v>
      </c>
      <c r="J677" s="36" t="s">
        <v>1318</v>
      </c>
      <c r="K677" s="36" t="s">
        <v>1319</v>
      </c>
      <c r="L677" s="33"/>
      <c r="M677" s="33"/>
    </row>
    <row r="678" spans="1:13" ht="15.12" thickBot="1" customHeight="1">
      <c r="A678" s="33"/>
      <c r="B678" s="33"/>
      <c r="C678" s="33"/>
      <c r="D678" s="37"/>
      <c r="E678" s="38" t="s">
        <v>1320</v>
      </c>
      <c r="F678" s="39">
        <v>1</v>
      </c>
      <c r="G678" s="40"/>
      <c r="H678" s="40"/>
      <c r="I678" s="40"/>
      <c r="J678" s="42">
        <f ca="1">ROUND(F678,3)</f>
        <v>0</v>
      </c>
      <c r="K678" s="44">
        <f ca="1">SUM(J678:J678)</f>
        <v>0</v>
      </c>
      <c r="L678" s="33"/>
      <c r="M678" s="33"/>
    </row>
    <row r="679" spans="1:13" ht="15.48" thickBot="1" customHeight="1">
      <c r="A679" s="15" t="s">
        <v>1321</v>
      </c>
      <c r="B679" s="8" t="s">
        <v>1322</v>
      </c>
      <c r="C679" s="8" t="s">
        <v>1323</v>
      </c>
      <c r="D679" s="30" t="s">
        <v>1324</v>
      </c>
      <c r="E679" s="30"/>
      <c r="F679" s="30"/>
      <c r="G679" s="30"/>
      <c r="H679" s="30"/>
      <c r="I679" s="30"/>
      <c r="J679" s="30"/>
      <c r="K679" s="31">
        <f ca="1">ROUND(1.00,2)</f>
        <v>0</v>
      </c>
      <c r="L679" s="32">
        <f ca="1">ROUND(236.350*(1+M2/100),2)</f>
        <v>0</v>
      </c>
      <c r="M679" s="32">
        <f ca="1">ROUND(K679*L679,2)</f>
        <v>0</v>
      </c>
    </row>
    <row r="680" spans="1:13" ht="67.56" thickBot="1" customHeight="1">
      <c r="A680" s="33"/>
      <c r="B680" s="33"/>
      <c r="C680" s="33"/>
      <c r="D680" s="30" t="s">
        <v>1325</v>
      </c>
      <c r="E680" s="30"/>
      <c r="F680" s="30"/>
      <c r="G680" s="30"/>
      <c r="H680" s="30"/>
      <c r="I680" s="30"/>
      <c r="J680" s="30"/>
      <c r="K680" s="30"/>
      <c r="L680" s="30"/>
      <c r="M680" s="30"/>
    </row>
    <row r="681" spans="1:13" ht="15.48" thickBot="1" customHeight="1">
      <c r="A681" s="15" t="s">
        <v>1326</v>
      </c>
      <c r="B681" s="8" t="s">
        <v>1327</v>
      </c>
      <c r="C681" s="8" t="s">
        <v>1328</v>
      </c>
      <c r="D681" s="30" t="s">
        <v>1329</v>
      </c>
      <c r="E681" s="30"/>
      <c r="F681" s="30"/>
      <c r="G681" s="30"/>
      <c r="H681" s="30"/>
      <c r="I681" s="30"/>
      <c r="J681" s="30"/>
      <c r="K681" s="31">
        <f ca="1">ROUND(1.00,2)</f>
        <v>0</v>
      </c>
      <c r="L681" s="32">
        <f ca="1">ROUND(1322.920*(1+M2/100),2)</f>
        <v>0</v>
      </c>
      <c r="M681" s="32">
        <f ca="1">ROUND(K681*L681,2)</f>
        <v>0</v>
      </c>
    </row>
    <row r="682" spans="1:13" ht="67.56" thickBot="1" customHeight="1">
      <c r="A682" s="33"/>
      <c r="B682" s="33"/>
      <c r="C682" s="33"/>
      <c r="D682" s="30" t="s">
        <v>1330</v>
      </c>
      <c r="E682" s="30"/>
      <c r="F682" s="30"/>
      <c r="G682" s="30"/>
      <c r="H682" s="30"/>
      <c r="I682" s="30"/>
      <c r="J682" s="30"/>
      <c r="K682" s="30"/>
      <c r="L682" s="30"/>
      <c r="M682" s="30"/>
    </row>
    <row r="683" spans="1:13" ht="15.48" thickBot="1" customHeight="1">
      <c r="A683" s="15" t="s">
        <v>1331</v>
      </c>
      <c r="B683" s="8" t="s">
        <v>1332</v>
      </c>
      <c r="C683" s="8" t="s">
        <v>1333</v>
      </c>
      <c r="D683" s="30" t="s">
        <v>1334</v>
      </c>
      <c r="E683" s="30"/>
      <c r="F683" s="30"/>
      <c r="G683" s="30"/>
      <c r="H683" s="30"/>
      <c r="I683" s="30"/>
      <c r="J683" s="30"/>
      <c r="K683" s="31">
        <f ca="1">ROUND(1.00,2)</f>
        <v>0</v>
      </c>
      <c r="L683" s="32">
        <f ca="1">ROUND(2557.380*(1+M2/100),2)</f>
        <v>0</v>
      </c>
      <c r="M683" s="32">
        <f ca="1">ROUND(K683*L683,2)</f>
        <v>0</v>
      </c>
    </row>
    <row r="684" spans="1:13" ht="39.84" thickBot="1" customHeight="1">
      <c r="A684" s="33"/>
      <c r="B684" s="33"/>
      <c r="C684" s="33"/>
      <c r="D684" s="30" t="s">
        <v>1335</v>
      </c>
      <c r="E684" s="30"/>
      <c r="F684" s="30"/>
      <c r="G684" s="30"/>
      <c r="H684" s="30"/>
      <c r="I684" s="30"/>
      <c r="J684" s="30"/>
      <c r="K684" s="30"/>
      <c r="L684" s="30"/>
      <c r="M684" s="30"/>
    </row>
    <row r="685" spans="1:13" ht="15.48" thickBot="1" customHeight="1">
      <c r="A685" s="15" t="s">
        <v>1336</v>
      </c>
      <c r="B685" s="8" t="s">
        <v>1337</v>
      </c>
      <c r="C685" s="8" t="s">
        <v>1338</v>
      </c>
      <c r="D685" s="30" t="s">
        <v>1339</v>
      </c>
      <c r="E685" s="30"/>
      <c r="F685" s="30"/>
      <c r="G685" s="30"/>
      <c r="H685" s="30"/>
      <c r="I685" s="30"/>
      <c r="J685" s="30"/>
      <c r="K685" s="31">
        <f ca="1">ROUND(1.00,2)</f>
        <v>0</v>
      </c>
      <c r="L685" s="32">
        <f ca="1">ROUND(861.220*(1+M2/100),2)</f>
        <v>0</v>
      </c>
      <c r="M685" s="32">
        <f ca="1">ROUND(K685*L685,2)</f>
        <v>0</v>
      </c>
    </row>
    <row r="686" spans="1:13" ht="49.08" thickBot="1" customHeight="1">
      <c r="A686" s="33"/>
      <c r="B686" s="33"/>
      <c r="C686" s="33"/>
      <c r="D686" s="30" t="s">
        <v>1340</v>
      </c>
      <c r="E686" s="30"/>
      <c r="F686" s="30"/>
      <c r="G686" s="30"/>
      <c r="H686" s="30"/>
      <c r="I686" s="30"/>
      <c r="J686" s="30"/>
      <c r="K686" s="30"/>
      <c r="L686" s="30"/>
      <c r="M686" s="30"/>
    </row>
    <row r="687" spans="1:13" ht="15.48" thickBot="1" customHeight="1">
      <c r="A687" s="15" t="s">
        <v>1341</v>
      </c>
      <c r="B687" s="8" t="s">
        <v>1342</v>
      </c>
      <c r="C687" s="8" t="s">
        <v>1343</v>
      </c>
      <c r="D687" s="30" t="s">
        <v>1344</v>
      </c>
      <c r="E687" s="30"/>
      <c r="F687" s="30"/>
      <c r="G687" s="30"/>
      <c r="H687" s="30"/>
      <c r="I687" s="30"/>
      <c r="J687" s="30"/>
      <c r="K687" s="31">
        <f ca="1">SUM(K690:K690)</f>
        <v>0</v>
      </c>
      <c r="L687" s="32">
        <f ca="1">ROUND(727.070*(1+M2/100),2)</f>
        <v>0</v>
      </c>
      <c r="M687" s="32">
        <f ca="1">ROUND(K687*L687,2)</f>
        <v>0</v>
      </c>
    </row>
    <row r="688" spans="1:13" ht="39.84" thickBot="1" customHeight="1">
      <c r="A688" s="33"/>
      <c r="B688" s="33"/>
      <c r="C688" s="33"/>
      <c r="D688" s="30" t="s">
        <v>1345</v>
      </c>
      <c r="E688" s="30"/>
      <c r="F688" s="30"/>
      <c r="G688" s="30"/>
      <c r="H688" s="30"/>
      <c r="I688" s="30"/>
      <c r="J688" s="30"/>
      <c r="K688" s="30"/>
      <c r="L688" s="30"/>
      <c r="M688" s="30"/>
    </row>
    <row r="689" spans="1:13" ht="15.12" thickBot="1" customHeight="1">
      <c r="A689" s="33"/>
      <c r="B689" s="33"/>
      <c r="C689" s="33"/>
      <c r="D689" s="33"/>
      <c r="E689" s="34"/>
      <c r="F689" s="36" t="s">
        <v>1346</v>
      </c>
      <c r="G689" s="36" t="s">
        <v>1347</v>
      </c>
      <c r="H689" s="36" t="s">
        <v>1348</v>
      </c>
      <c r="I689" s="36" t="s">
        <v>1349</v>
      </c>
      <c r="J689" s="36" t="s">
        <v>1350</v>
      </c>
      <c r="K689" s="36" t="s">
        <v>1351</v>
      </c>
      <c r="L689" s="33"/>
      <c r="M689" s="33"/>
    </row>
    <row r="690" spans="1:13" ht="21.36" thickBot="1" customHeight="1">
      <c r="A690" s="33"/>
      <c r="B690" s="33"/>
      <c r="C690" s="33"/>
      <c r="D690" s="37"/>
      <c r="E690" s="38" t="s">
        <v>1352</v>
      </c>
      <c r="F690" s="39">
        <v>1</v>
      </c>
      <c r="G690" s="40"/>
      <c r="H690" s="40"/>
      <c r="I690" s="40"/>
      <c r="J690" s="42">
        <f ca="1">ROUND(F690,3)</f>
        <v>0</v>
      </c>
      <c r="K690" s="44">
        <f ca="1">SUM(J690:J690)</f>
        <v>0</v>
      </c>
      <c r="L690" s="33"/>
      <c r="M690" s="33"/>
    </row>
    <row r="691" spans="1:13" ht="15.48" thickBot="1" customHeight="1">
      <c r="A691" s="46"/>
      <c r="B691" s="46"/>
      <c r="C691" s="46"/>
      <c r="D691" s="77" t="s">
        <v>1353</v>
      </c>
      <c r="E691" s="78"/>
      <c r="F691" s="78"/>
      <c r="G691" s="78"/>
      <c r="H691" s="78"/>
      <c r="I691" s="78"/>
      <c r="J691" s="78"/>
      <c r="K691" s="78"/>
      <c r="L691" s="79">
        <f ca="1">M671+M675+M679+M681+M683+M685+M687</f>
        <v>0</v>
      </c>
      <c r="M691" s="79">
        <f ca="1">ROUND(L691,2)</f>
        <v>0</v>
      </c>
    </row>
    <row r="692" spans="1:13" ht="15.48" thickBot="1" customHeight="1">
      <c r="A692" s="59" t="s">
        <v>1354</v>
      </c>
      <c r="B692" s="59" t="s">
        <v>1355</v>
      </c>
      <c r="C692" s="60"/>
      <c r="D692" s="61" t="s">
        <v>1356</v>
      </c>
      <c r="E692" s="61"/>
      <c r="F692" s="61"/>
      <c r="G692" s="61"/>
      <c r="H692" s="61"/>
      <c r="I692" s="61"/>
      <c r="J692" s="61"/>
      <c r="K692" s="60"/>
      <c r="L692" s="62">
        <f ca="1">L701</f>
        <v>0</v>
      </c>
      <c r="M692" s="62">
        <f ca="1">ROUND(L692,2)</f>
        <v>0</v>
      </c>
    </row>
    <row r="693" spans="1:13" ht="15.48" thickBot="1" customHeight="1">
      <c r="A693" s="15" t="s">
        <v>1357</v>
      </c>
      <c r="B693" s="8" t="s">
        <v>1358</v>
      </c>
      <c r="C693" s="8" t="s">
        <v>1359</v>
      </c>
      <c r="D693" s="30" t="s">
        <v>1360</v>
      </c>
      <c r="E693" s="30"/>
      <c r="F693" s="30"/>
      <c r="G693" s="30"/>
      <c r="H693" s="30"/>
      <c r="I693" s="30"/>
      <c r="J693" s="30"/>
      <c r="K693" s="31">
        <f ca="1">ROUND(1.00,2)</f>
        <v>0</v>
      </c>
      <c r="L693" s="32">
        <f ca="1">ROUND(432.320*(1+M2/100),2)</f>
        <v>0</v>
      </c>
      <c r="M693" s="32">
        <f ca="1">ROUND(K693*L693,2)</f>
        <v>0</v>
      </c>
    </row>
    <row r="694" spans="1:13" ht="12.12" thickBot="1" customHeight="1">
      <c r="A694" s="33"/>
      <c r="B694" s="33"/>
      <c r="C694" s="33"/>
      <c r="D694" s="30" t="s">
        <v>1361</v>
      </c>
      <c r="E694" s="30"/>
      <c r="F694" s="30"/>
      <c r="G694" s="30"/>
      <c r="H694" s="30"/>
      <c r="I694" s="30"/>
      <c r="J694" s="30"/>
      <c r="K694" s="30"/>
      <c r="L694" s="30"/>
      <c r="M694" s="30"/>
    </row>
    <row r="695" spans="1:13" ht="15.48" thickBot="1" customHeight="1">
      <c r="A695" s="15" t="s">
        <v>1362</v>
      </c>
      <c r="B695" s="8" t="s">
        <v>1363</v>
      </c>
      <c r="C695" s="8" t="s">
        <v>1364</v>
      </c>
      <c r="D695" s="30" t="s">
        <v>1365</v>
      </c>
      <c r="E695" s="30"/>
      <c r="F695" s="30"/>
      <c r="G695" s="30"/>
      <c r="H695" s="30"/>
      <c r="I695" s="30"/>
      <c r="J695" s="30"/>
      <c r="K695" s="31">
        <f ca="1">ROUND(1.00,2)</f>
        <v>0</v>
      </c>
      <c r="L695" s="32">
        <f ca="1">ROUND(315.560*(1+M2/100),2)</f>
        <v>0</v>
      </c>
      <c r="M695" s="32">
        <f ca="1">ROUND(K695*L695,2)</f>
        <v>0</v>
      </c>
    </row>
    <row r="696" spans="1:13" ht="58.32" thickBot="1" customHeight="1">
      <c r="A696" s="33"/>
      <c r="B696" s="33"/>
      <c r="C696" s="33"/>
      <c r="D696" s="30" t="s">
        <v>1366</v>
      </c>
      <c r="E696" s="30"/>
      <c r="F696" s="30"/>
      <c r="G696" s="30"/>
      <c r="H696" s="30"/>
      <c r="I696" s="30"/>
      <c r="J696" s="30"/>
      <c r="K696" s="30"/>
      <c r="L696" s="30"/>
      <c r="M696" s="30"/>
    </row>
    <row r="697" spans="1:13" ht="15.48" thickBot="1" customHeight="1">
      <c r="A697" s="15" t="s">
        <v>1367</v>
      </c>
      <c r="B697" s="8" t="s">
        <v>1368</v>
      </c>
      <c r="C697" s="8" t="s">
        <v>1369</v>
      </c>
      <c r="D697" s="30" t="s">
        <v>1370</v>
      </c>
      <c r="E697" s="30"/>
      <c r="F697" s="30"/>
      <c r="G697" s="30"/>
      <c r="H697" s="30"/>
      <c r="I697" s="30"/>
      <c r="J697" s="30"/>
      <c r="K697" s="31">
        <f ca="1">ROUND(1.00,2)</f>
        <v>0</v>
      </c>
      <c r="L697" s="32">
        <f ca="1">ROUND(246.850*(1+M2/100),2)</f>
        <v>0</v>
      </c>
      <c r="M697" s="32">
        <f ca="1">ROUND(K697*L697,2)</f>
        <v>0</v>
      </c>
    </row>
    <row r="698" spans="1:13" ht="30.60" thickBot="1" customHeight="1">
      <c r="A698" s="33"/>
      <c r="B698" s="33"/>
      <c r="C698" s="33"/>
      <c r="D698" s="30" t="s">
        <v>1371</v>
      </c>
      <c r="E698" s="30"/>
      <c r="F698" s="30"/>
      <c r="G698" s="30"/>
      <c r="H698" s="30"/>
      <c r="I698" s="30"/>
      <c r="J698" s="30"/>
      <c r="K698" s="30"/>
      <c r="L698" s="30"/>
      <c r="M698" s="30"/>
    </row>
    <row r="699" spans="1:13" ht="15.48" thickBot="1" customHeight="1">
      <c r="A699" s="15" t="s">
        <v>1372</v>
      </c>
      <c r="B699" s="8" t="s">
        <v>1373</v>
      </c>
      <c r="C699" s="8" t="s">
        <v>1374</v>
      </c>
      <c r="D699" s="30" t="s">
        <v>1375</v>
      </c>
      <c r="E699" s="30"/>
      <c r="F699" s="30"/>
      <c r="G699" s="30"/>
      <c r="H699" s="30"/>
      <c r="I699" s="30"/>
      <c r="J699" s="30"/>
      <c r="K699" s="31">
        <f ca="1">ROUND(1.00,2)</f>
        <v>0</v>
      </c>
      <c r="L699" s="32">
        <f ca="1">ROUND(1333.880*(1+M2/100),2)</f>
        <v>0</v>
      </c>
      <c r="M699" s="32">
        <f ca="1">ROUND(K699*L699,2)</f>
        <v>0</v>
      </c>
    </row>
    <row r="700" spans="1:13" ht="21.36" thickBot="1" customHeight="1">
      <c r="A700" s="33"/>
      <c r="B700" s="33"/>
      <c r="C700" s="33"/>
      <c r="D700" s="30" t="s">
        <v>1376</v>
      </c>
      <c r="E700" s="30"/>
      <c r="F700" s="30"/>
      <c r="G700" s="30"/>
      <c r="H700" s="30"/>
      <c r="I700" s="30"/>
      <c r="J700" s="30"/>
      <c r="K700" s="30"/>
      <c r="L700" s="30"/>
      <c r="M700" s="30"/>
    </row>
    <row r="701" spans="1:13" ht="15.48" thickBot="1" customHeight="1">
      <c r="A701" s="46"/>
      <c r="B701" s="46"/>
      <c r="C701" s="46"/>
      <c r="D701" s="77" t="s">
        <v>1377</v>
      </c>
      <c r="E701" s="78"/>
      <c r="F701" s="78"/>
      <c r="G701" s="78"/>
      <c r="H701" s="78"/>
      <c r="I701" s="78"/>
      <c r="J701" s="78"/>
      <c r="K701" s="78"/>
      <c r="L701" s="79">
        <f ca="1">M693+M695+M697+M699</f>
        <v>0</v>
      </c>
      <c r="M701" s="79">
        <f ca="1">ROUND(L701,2)</f>
        <v>0</v>
      </c>
    </row>
    <row r="702" spans="1:13" ht="15.48" thickBot="1" customHeight="1">
      <c r="A702" s="59" t="s">
        <v>1378</v>
      </c>
      <c r="B702" s="59" t="s">
        <v>1379</v>
      </c>
      <c r="C702" s="60"/>
      <c r="D702" s="61" t="s">
        <v>1380</v>
      </c>
      <c r="E702" s="61"/>
      <c r="F702" s="61"/>
      <c r="G702" s="61"/>
      <c r="H702" s="61"/>
      <c r="I702" s="61"/>
      <c r="J702" s="61"/>
      <c r="K702" s="60"/>
      <c r="L702" s="62">
        <f ca="1">L705</f>
        <v>0</v>
      </c>
      <c r="M702" s="62">
        <f ca="1">ROUND(L702,2)</f>
        <v>0</v>
      </c>
    </row>
    <row r="703" spans="1:13" ht="15.48" thickBot="1" customHeight="1">
      <c r="A703" s="15" t="s">
        <v>1381</v>
      </c>
      <c r="B703" s="8" t="s">
        <v>1382</v>
      </c>
      <c r="C703" s="8" t="s">
        <v>1383</v>
      </c>
      <c r="D703" s="30" t="s">
        <v>1384</v>
      </c>
      <c r="E703" s="30"/>
      <c r="F703" s="30"/>
      <c r="G703" s="30"/>
      <c r="H703" s="30"/>
      <c r="I703" s="30"/>
      <c r="J703" s="30"/>
      <c r="K703" s="31">
        <f ca="1">ROUND(3.00,2)</f>
        <v>0</v>
      </c>
      <c r="L703" s="32">
        <f ca="1">ROUND(127.500*(1+M2/100),2)</f>
        <v>0</v>
      </c>
      <c r="M703" s="32">
        <f ca="1">ROUND(K703*L703,2)</f>
        <v>0</v>
      </c>
    </row>
    <row r="704" spans="1:13" ht="30.60" thickBot="1" customHeight="1">
      <c r="A704" s="33"/>
      <c r="B704" s="33"/>
      <c r="C704" s="33"/>
      <c r="D704" s="30" t="s">
        <v>1385</v>
      </c>
      <c r="E704" s="30"/>
      <c r="F704" s="30"/>
      <c r="G704" s="30"/>
      <c r="H704" s="30"/>
      <c r="I704" s="30"/>
      <c r="J704" s="30"/>
      <c r="K704" s="30"/>
      <c r="L704" s="30"/>
      <c r="M704" s="30"/>
    </row>
    <row r="705" spans="1:13" ht="15.48" thickBot="1" customHeight="1">
      <c r="A705" s="46"/>
      <c r="B705" s="46"/>
      <c r="C705" s="46"/>
      <c r="D705" s="77" t="s">
        <v>1386</v>
      </c>
      <c r="E705" s="78"/>
      <c r="F705" s="78"/>
      <c r="G705" s="78"/>
      <c r="H705" s="78"/>
      <c r="I705" s="78"/>
      <c r="J705" s="78"/>
      <c r="K705" s="78"/>
      <c r="L705" s="79">
        <f ca="1">M703</f>
        <v>0</v>
      </c>
      <c r="M705" s="79">
        <f ca="1">ROUND(L705,2)</f>
        <v>0</v>
      </c>
    </row>
    <row r="706" spans="1:13" ht="15.48" thickBot="1" customHeight="1">
      <c r="A706" s="59" t="s">
        <v>1387</v>
      </c>
      <c r="B706" s="59" t="s">
        <v>1388</v>
      </c>
      <c r="C706" s="60"/>
      <c r="D706" s="61" t="s">
        <v>1389</v>
      </c>
      <c r="E706" s="61"/>
      <c r="F706" s="61"/>
      <c r="G706" s="61"/>
      <c r="H706" s="61"/>
      <c r="I706" s="61"/>
      <c r="J706" s="61"/>
      <c r="K706" s="60"/>
      <c r="L706" s="62">
        <f ca="1">L723</f>
        <v>0</v>
      </c>
      <c r="M706" s="62">
        <f ca="1">ROUND(L706,2)</f>
        <v>0</v>
      </c>
    </row>
    <row r="707" spans="1:13" ht="15.48" thickBot="1" customHeight="1">
      <c r="A707" s="15" t="s">
        <v>1390</v>
      </c>
      <c r="B707" s="8" t="s">
        <v>1391</v>
      </c>
      <c r="C707" s="8" t="s">
        <v>1392</v>
      </c>
      <c r="D707" s="30" t="s">
        <v>1393</v>
      </c>
      <c r="E707" s="30"/>
      <c r="F707" s="30"/>
      <c r="G707" s="30"/>
      <c r="H707" s="30"/>
      <c r="I707" s="30"/>
      <c r="J707" s="30"/>
      <c r="K707" s="31">
        <f ca="1">SUM(K710:K712)</f>
        <v>0</v>
      </c>
      <c r="L707" s="32">
        <f ca="1">ROUND(8.560*(1+M2/100),2)</f>
        <v>0</v>
      </c>
      <c r="M707" s="32">
        <f ca="1">ROUND(K707*L707,2)</f>
        <v>0</v>
      </c>
    </row>
    <row r="708" spans="1:13" ht="39.84" thickBot="1" customHeight="1">
      <c r="A708" s="33"/>
      <c r="B708" s="33"/>
      <c r="C708" s="33"/>
      <c r="D708" s="30" t="s">
        <v>1394</v>
      </c>
      <c r="E708" s="30"/>
      <c r="F708" s="30"/>
      <c r="G708" s="30"/>
      <c r="H708" s="30"/>
      <c r="I708" s="30"/>
      <c r="J708" s="30"/>
      <c r="K708" s="30"/>
      <c r="L708" s="30"/>
      <c r="M708" s="30"/>
    </row>
    <row r="709" spans="1:13" ht="15.12" thickBot="1" customHeight="1">
      <c r="A709" s="33"/>
      <c r="B709" s="33"/>
      <c r="C709" s="33"/>
      <c r="D709" s="33"/>
      <c r="E709" s="34"/>
      <c r="F709" s="36" t="s">
        <v>1395</v>
      </c>
      <c r="G709" s="36" t="s">
        <v>1396</v>
      </c>
      <c r="H709" s="36" t="s">
        <v>1397</v>
      </c>
      <c r="I709" s="36" t="s">
        <v>1398</v>
      </c>
      <c r="J709" s="36" t="s">
        <v>1399</v>
      </c>
      <c r="K709" s="36" t="s">
        <v>1400</v>
      </c>
      <c r="L709" s="33"/>
      <c r="M709" s="33"/>
    </row>
    <row r="710" spans="1:13" ht="15.12" thickBot="1" customHeight="1">
      <c r="A710" s="33"/>
      <c r="B710" s="33"/>
      <c r="C710" s="33"/>
      <c r="D710" s="37"/>
      <c r="E710" s="38" t="s">
        <v>1401</v>
      </c>
      <c r="F710" s="39">
        <v>1</v>
      </c>
      <c r="G710" s="40">
        <v>35.000</v>
      </c>
      <c r="H710" s="40">
        <v>0.700</v>
      </c>
      <c r="I710" s="40">
        <v>1.000</v>
      </c>
      <c r="J710" s="42">
        <f ca="1">ROUND(F710*G710*H710*I710,3)</f>
        <v>0</v>
      </c>
      <c r="K710" s="45"/>
      <c r="L710" s="33"/>
      <c r="M710" s="33"/>
    </row>
    <row r="711" spans="1:13" ht="15.12" thickBot="1" customHeight="1">
      <c r="A711" s="33"/>
      <c r="B711" s="33"/>
      <c r="C711" s="33"/>
      <c r="D711" s="37"/>
      <c r="E711" s="8"/>
      <c r="F711" s="6">
        <v>1</v>
      </c>
      <c r="G711" s="31">
        <v>10.000</v>
      </c>
      <c r="H711" s="31">
        <v>0.700</v>
      </c>
      <c r="I711" s="31">
        <v>1.000</v>
      </c>
      <c r="J711" s="41">
        <f ca="1">ROUND(F711*G711*H711*I711,3)</f>
        <v>0</v>
      </c>
      <c r="K711" s="33"/>
      <c r="L711" s="33"/>
      <c r="M711" s="33"/>
    </row>
    <row r="712" spans="1:13" ht="15.12" thickBot="1" customHeight="1">
      <c r="A712" s="33"/>
      <c r="B712" s="33"/>
      <c r="C712" s="33"/>
      <c r="D712" s="37"/>
      <c r="E712" s="8"/>
      <c r="F712" s="6">
        <v>0.3</v>
      </c>
      <c r="G712" s="31">
        <v>32.500</v>
      </c>
      <c r="H712" s="31"/>
      <c r="I712" s="31"/>
      <c r="J712" s="41">
        <f ca="1">ROUND(F712*G712,3)</f>
        <v>0</v>
      </c>
      <c r="K712" s="43">
        <f ca="1">SUM(J710:J712)</f>
        <v>0</v>
      </c>
      <c r="L712" s="33"/>
      <c r="M712" s="33"/>
    </row>
    <row r="713" spans="1:13" ht="15.48" thickBot="1" customHeight="1">
      <c r="A713" s="15" t="s">
        <v>1402</v>
      </c>
      <c r="B713" s="8" t="s">
        <v>1403</v>
      </c>
      <c r="C713" s="8" t="s">
        <v>1404</v>
      </c>
      <c r="D713" s="30" t="s">
        <v>1405</v>
      </c>
      <c r="E713" s="30"/>
      <c r="F713" s="30"/>
      <c r="G713" s="30"/>
      <c r="H713" s="30"/>
      <c r="I713" s="30"/>
      <c r="J713" s="30"/>
      <c r="K713" s="31">
        <f ca="1">SUM(K716:K718)</f>
        <v>0</v>
      </c>
      <c r="L713" s="32">
        <f ca="1">ROUND(4.290*(1+M2/100),2)</f>
        <v>0</v>
      </c>
      <c r="M713" s="32">
        <f ca="1">ROUND(K713*L713,2)</f>
        <v>0</v>
      </c>
    </row>
    <row r="714" spans="1:13" ht="21.36" thickBot="1" customHeight="1">
      <c r="A714" s="33"/>
      <c r="B714" s="33"/>
      <c r="C714" s="33"/>
      <c r="D714" s="30" t="s">
        <v>1406</v>
      </c>
      <c r="E714" s="30"/>
      <c r="F714" s="30"/>
      <c r="G714" s="30"/>
      <c r="H714" s="30"/>
      <c r="I714" s="30"/>
      <c r="J714" s="30"/>
      <c r="K714" s="30"/>
      <c r="L714" s="30"/>
      <c r="M714" s="30"/>
    </row>
    <row r="715" spans="1:13" ht="15.12" thickBot="1" customHeight="1">
      <c r="A715" s="33"/>
      <c r="B715" s="33"/>
      <c r="C715" s="33"/>
      <c r="D715" s="33"/>
      <c r="E715" s="34"/>
      <c r="F715" s="36" t="s">
        <v>1407</v>
      </c>
      <c r="G715" s="36" t="s">
        <v>1408</v>
      </c>
      <c r="H715" s="36" t="s">
        <v>1409</v>
      </c>
      <c r="I715" s="36" t="s">
        <v>1410</v>
      </c>
      <c r="J715" s="36" t="s">
        <v>1411</v>
      </c>
      <c r="K715" s="36" t="s">
        <v>1412</v>
      </c>
      <c r="L715" s="33"/>
      <c r="M715" s="33"/>
    </row>
    <row r="716" spans="1:13" ht="15.12" thickBot="1" customHeight="1">
      <c r="A716" s="33"/>
      <c r="B716" s="33"/>
      <c r="C716" s="33"/>
      <c r="D716" s="37"/>
      <c r="E716" s="38" t="s">
        <v>1413</v>
      </c>
      <c r="F716" s="39">
        <v>1</v>
      </c>
      <c r="G716" s="40">
        <v>35.000</v>
      </c>
      <c r="H716" s="40">
        <v>0.700</v>
      </c>
      <c r="I716" s="40">
        <v>1.000</v>
      </c>
      <c r="J716" s="42">
        <f ca="1">ROUND(F716*G716*H716*I716,3)</f>
        <v>0</v>
      </c>
      <c r="K716" s="45"/>
      <c r="L716" s="33"/>
      <c r="M716" s="33"/>
    </row>
    <row r="717" spans="1:13" ht="15.12" thickBot="1" customHeight="1">
      <c r="A717" s="33"/>
      <c r="B717" s="33"/>
      <c r="C717" s="33"/>
      <c r="D717" s="37"/>
      <c r="E717" s="8"/>
      <c r="F717" s="6">
        <v>1</v>
      </c>
      <c r="G717" s="31">
        <v>10.000</v>
      </c>
      <c r="H717" s="31">
        <v>0.700</v>
      </c>
      <c r="I717" s="31">
        <v>1.000</v>
      </c>
      <c r="J717" s="41">
        <f ca="1">ROUND(F717*G717*H717*I717,3)</f>
        <v>0</v>
      </c>
      <c r="K717" s="33"/>
      <c r="L717" s="33"/>
      <c r="M717" s="33"/>
    </row>
    <row r="718" spans="1:13" ht="15.12" thickBot="1" customHeight="1">
      <c r="A718" s="33"/>
      <c r="B718" s="33"/>
      <c r="C718" s="33"/>
      <c r="D718" s="37"/>
      <c r="E718" s="8"/>
      <c r="F718" s="6">
        <v>0.3</v>
      </c>
      <c r="G718" s="31">
        <v>32.500</v>
      </c>
      <c r="H718" s="31"/>
      <c r="I718" s="31"/>
      <c r="J718" s="41">
        <f ca="1">ROUND(F718*G718,3)</f>
        <v>0</v>
      </c>
      <c r="K718" s="43">
        <f ca="1">SUM(J716:J718)</f>
        <v>0</v>
      </c>
      <c r="L718" s="33"/>
      <c r="M718" s="33"/>
    </row>
    <row r="719" spans="1:13" ht="15.48" thickBot="1" customHeight="1">
      <c r="A719" s="15" t="s">
        <v>1414</v>
      </c>
      <c r="B719" s="8" t="s">
        <v>1415</v>
      </c>
      <c r="C719" s="8" t="s">
        <v>1416</v>
      </c>
      <c r="D719" s="30" t="s">
        <v>1417</v>
      </c>
      <c r="E719" s="30"/>
      <c r="F719" s="30"/>
      <c r="G719" s="30"/>
      <c r="H719" s="30"/>
      <c r="I719" s="30"/>
      <c r="J719" s="30"/>
      <c r="K719" s="31">
        <f ca="1">ROUND(30.00,2)</f>
        <v>0</v>
      </c>
      <c r="L719" s="32">
        <f ca="1">ROUND(97.880*(1+M2/100),2)</f>
        <v>0</v>
      </c>
      <c r="M719" s="32">
        <f ca="1">ROUND(K719*L719,2)</f>
        <v>0</v>
      </c>
    </row>
    <row r="720" spans="1:13" ht="39.84" thickBot="1" customHeight="1">
      <c r="A720" s="33"/>
      <c r="B720" s="33"/>
      <c r="C720" s="33"/>
      <c r="D720" s="30" t="s">
        <v>1418</v>
      </c>
      <c r="E720" s="30"/>
      <c r="F720" s="30"/>
      <c r="G720" s="30"/>
      <c r="H720" s="30"/>
      <c r="I720" s="30"/>
      <c r="J720" s="30"/>
      <c r="K720" s="30"/>
      <c r="L720" s="30"/>
      <c r="M720" s="30"/>
    </row>
    <row r="721" spans="1:13" ht="15.48" thickBot="1" customHeight="1">
      <c r="A721" s="15" t="s">
        <v>1419</v>
      </c>
      <c r="B721" s="8" t="s">
        <v>1420</v>
      </c>
      <c r="C721" s="8" t="s">
        <v>1421</v>
      </c>
      <c r="D721" s="30" t="s">
        <v>1422</v>
      </c>
      <c r="E721" s="30"/>
      <c r="F721" s="30"/>
      <c r="G721" s="30"/>
      <c r="H721" s="30"/>
      <c r="I721" s="30"/>
      <c r="J721" s="30"/>
      <c r="K721" s="31">
        <f ca="1">ROUND(30.00,2)</f>
        <v>0</v>
      </c>
      <c r="L721" s="32">
        <f ca="1">ROUND(48.290*(1+M2/100),2)</f>
        <v>0</v>
      </c>
      <c r="M721" s="32">
        <f ca="1">ROUND(K721*L721,2)</f>
        <v>0</v>
      </c>
    </row>
    <row r="722" spans="1:13" ht="21.36" thickBot="1" customHeight="1">
      <c r="A722" s="33"/>
      <c r="B722" s="33"/>
      <c r="C722" s="33"/>
      <c r="D722" s="30" t="s">
        <v>1423</v>
      </c>
      <c r="E722" s="30"/>
      <c r="F722" s="30"/>
      <c r="G722" s="30"/>
      <c r="H722" s="30"/>
      <c r="I722" s="30"/>
      <c r="J722" s="30"/>
      <c r="K722" s="30"/>
      <c r="L722" s="30"/>
      <c r="M722" s="30"/>
    </row>
    <row r="723" spans="1:13" ht="15.48" thickBot="1" customHeight="1">
      <c r="A723" s="46"/>
      <c r="B723" s="46"/>
      <c r="C723" s="46"/>
      <c r="D723" s="77" t="s">
        <v>1424</v>
      </c>
      <c r="E723" s="78"/>
      <c r="F723" s="78"/>
      <c r="G723" s="78"/>
      <c r="H723" s="78"/>
      <c r="I723" s="78"/>
      <c r="J723" s="78"/>
      <c r="K723" s="78"/>
      <c r="L723" s="79">
        <f ca="1">M707+M713+M719+M721</f>
        <v>0</v>
      </c>
      <c r="M723" s="79">
        <f ca="1">ROUND(L723,2)</f>
        <v>0</v>
      </c>
    </row>
    <row r="724" spans="1:13" ht="15.48" thickBot="1" customHeight="1">
      <c r="A724" s="59" t="s">
        <v>1425</v>
      </c>
      <c r="B724" s="59" t="s">
        <v>1426</v>
      </c>
      <c r="C724" s="60"/>
      <c r="D724" s="61" t="s">
        <v>1427</v>
      </c>
      <c r="E724" s="61"/>
      <c r="F724" s="61"/>
      <c r="G724" s="61"/>
      <c r="H724" s="61"/>
      <c r="I724" s="61"/>
      <c r="J724" s="61"/>
      <c r="K724" s="60"/>
      <c r="L724" s="62">
        <f ca="1">L771</f>
        <v>0</v>
      </c>
      <c r="M724" s="62">
        <f ca="1">ROUND(L724,2)</f>
        <v>0</v>
      </c>
    </row>
    <row r="725" spans="1:13" ht="15.48" thickBot="1" customHeight="1">
      <c r="A725" s="26" t="s">
        <v>1428</v>
      </c>
      <c r="B725" s="26" t="s">
        <v>1429</v>
      </c>
      <c r="C725" s="27"/>
      <c r="D725" s="28" t="s">
        <v>1430</v>
      </c>
      <c r="E725" s="28"/>
      <c r="F725" s="28"/>
      <c r="G725" s="28"/>
      <c r="H725" s="28"/>
      <c r="I725" s="28"/>
      <c r="J725" s="28"/>
      <c r="K725" s="27"/>
      <c r="L725" s="29">
        <f ca="1">L732</f>
        <v>0</v>
      </c>
      <c r="M725" s="29">
        <f ca="1">ROUND(L725,2)</f>
        <v>0</v>
      </c>
    </row>
    <row r="726" spans="1:13" ht="15.48" thickBot="1" customHeight="1">
      <c r="A726" s="15" t="s">
        <v>1431</v>
      </c>
      <c r="B726" s="8" t="s">
        <v>1432</v>
      </c>
      <c r="C726" s="8" t="s">
        <v>1433</v>
      </c>
      <c r="D726" s="30" t="s">
        <v>1434</v>
      </c>
      <c r="E726" s="30"/>
      <c r="F726" s="30"/>
      <c r="G726" s="30"/>
      <c r="H726" s="30"/>
      <c r="I726" s="30"/>
      <c r="J726" s="30"/>
      <c r="K726" s="31">
        <f ca="1">ROUND(1000.00,2)</f>
        <v>0</v>
      </c>
      <c r="L726" s="32">
        <f ca="1">ROUND(0.790*(1+M2/100),2)</f>
        <v>0</v>
      </c>
      <c r="M726" s="32">
        <f ca="1">ROUND(K726*L726,2)</f>
        <v>0</v>
      </c>
    </row>
    <row r="727" spans="1:13" ht="12.12" thickBot="1" customHeight="1">
      <c r="A727" s="33"/>
      <c r="B727" s="33"/>
      <c r="C727" s="33"/>
      <c r="D727" s="30" t="s">
        <v>1435</v>
      </c>
      <c r="E727" s="30"/>
      <c r="F727" s="30"/>
      <c r="G727" s="30"/>
      <c r="H727" s="30"/>
      <c r="I727" s="30"/>
      <c r="J727" s="30"/>
      <c r="K727" s="30"/>
      <c r="L727" s="30"/>
      <c r="M727" s="30"/>
    </row>
    <row r="728" spans="1:13" ht="15.48" thickBot="1" customHeight="1">
      <c r="A728" s="15" t="s">
        <v>1436</v>
      </c>
      <c r="B728" s="8" t="s">
        <v>1437</v>
      </c>
      <c r="C728" s="8" t="s">
        <v>1438</v>
      </c>
      <c r="D728" s="30" t="s">
        <v>1439</v>
      </c>
      <c r="E728" s="30"/>
      <c r="F728" s="30"/>
      <c r="G728" s="30"/>
      <c r="H728" s="30"/>
      <c r="I728" s="30"/>
      <c r="J728" s="30"/>
      <c r="K728" s="31">
        <f ca="1">ROUND(4.00,2)</f>
        <v>0</v>
      </c>
      <c r="L728" s="32">
        <f ca="1">ROUND(0.770*(1+M2/100),2)</f>
        <v>0</v>
      </c>
      <c r="M728" s="32">
        <f ca="1">ROUND(K728*L728,2)</f>
        <v>0</v>
      </c>
    </row>
    <row r="729" spans="1:13" ht="21.36" thickBot="1" customHeight="1">
      <c r="A729" s="33"/>
      <c r="B729" s="33"/>
      <c r="C729" s="33"/>
      <c r="D729" s="30" t="s">
        <v>1440</v>
      </c>
      <c r="E729" s="30"/>
      <c r="F729" s="30"/>
      <c r="G729" s="30"/>
      <c r="H729" s="30"/>
      <c r="I729" s="30"/>
      <c r="J729" s="30"/>
      <c r="K729" s="30"/>
      <c r="L729" s="30"/>
      <c r="M729" s="30"/>
    </row>
    <row r="730" spans="1:13" ht="15.48" thickBot="1" customHeight="1">
      <c r="A730" s="15" t="s">
        <v>1441</v>
      </c>
      <c r="B730" s="8" t="s">
        <v>1442</v>
      </c>
      <c r="C730" s="8" t="s">
        <v>1443</v>
      </c>
      <c r="D730" s="30" t="s">
        <v>1444</v>
      </c>
      <c r="E730" s="30"/>
      <c r="F730" s="30"/>
      <c r="G730" s="30"/>
      <c r="H730" s="30"/>
      <c r="I730" s="30"/>
      <c r="J730" s="30"/>
      <c r="K730" s="31">
        <f ca="1">ROUND(4.00,2)</f>
        <v>0</v>
      </c>
      <c r="L730" s="32">
        <f ca="1">ROUND(4.250*(1+M2/100),2)</f>
        <v>0</v>
      </c>
      <c r="M730" s="32">
        <f ca="1">ROUND(K730*L730,2)</f>
        <v>0</v>
      </c>
    </row>
    <row r="731" spans="1:13" ht="12.12" thickBot="1" customHeight="1">
      <c r="A731" s="33"/>
      <c r="B731" s="33"/>
      <c r="C731" s="33"/>
      <c r="D731" s="30" t="s">
        <v>1445</v>
      </c>
      <c r="E731" s="30"/>
      <c r="F731" s="30"/>
      <c r="G731" s="30"/>
      <c r="H731" s="30"/>
      <c r="I731" s="30"/>
      <c r="J731" s="30"/>
      <c r="K731" s="30"/>
      <c r="L731" s="30"/>
      <c r="M731" s="30"/>
    </row>
    <row r="732" spans="1:13" ht="15.48" thickBot="1" customHeight="1">
      <c r="A732" s="46"/>
      <c r="B732" s="46"/>
      <c r="C732" s="46"/>
      <c r="D732" s="47" t="s">
        <v>1446</v>
      </c>
      <c r="E732" s="48"/>
      <c r="F732" s="48"/>
      <c r="G732" s="48"/>
      <c r="H732" s="48"/>
      <c r="I732" s="48"/>
      <c r="J732" s="48"/>
      <c r="K732" s="48"/>
      <c r="L732" s="49">
        <f ca="1">M726+M728+M730</f>
        <v>0</v>
      </c>
      <c r="M732" s="49">
        <f ca="1">ROUND(L732,2)</f>
        <v>0</v>
      </c>
    </row>
    <row r="733" spans="1:13" ht="15.48" thickBot="1" customHeight="1">
      <c r="A733" s="50" t="s">
        <v>1447</v>
      </c>
      <c r="B733" s="50" t="s">
        <v>1448</v>
      </c>
      <c r="C733" s="51"/>
      <c r="D733" s="52" t="s">
        <v>1449</v>
      </c>
      <c r="E733" s="52"/>
      <c r="F733" s="52"/>
      <c r="G733" s="52"/>
      <c r="H733" s="52"/>
      <c r="I733" s="52"/>
      <c r="J733" s="52"/>
      <c r="K733" s="51"/>
      <c r="L733" s="53">
        <f ca="1">L738</f>
        <v>0</v>
      </c>
      <c r="M733" s="53">
        <f ca="1">ROUND(L733,2)</f>
        <v>0</v>
      </c>
    </row>
    <row r="734" spans="1:13" ht="15.48" thickBot="1" customHeight="1">
      <c r="A734" s="15" t="s">
        <v>1450</v>
      </c>
      <c r="B734" s="8" t="s">
        <v>1451</v>
      </c>
      <c r="C734" s="8" t="s">
        <v>1452</v>
      </c>
      <c r="D734" s="30" t="s">
        <v>1453</v>
      </c>
      <c r="E734" s="30"/>
      <c r="F734" s="30"/>
      <c r="G734" s="30"/>
      <c r="H734" s="30"/>
      <c r="I734" s="30"/>
      <c r="J734" s="30"/>
      <c r="K734" s="31">
        <f ca="1">ROUND(63.00,2)</f>
        <v>0</v>
      </c>
      <c r="L734" s="32">
        <f ca="1">ROUND(6.890*(1+M2/100),2)</f>
        <v>0</v>
      </c>
      <c r="M734" s="32">
        <f ca="1">ROUND(K734*L734,2)</f>
        <v>0</v>
      </c>
    </row>
    <row r="735" spans="1:13" ht="21.36" thickBot="1" customHeight="1">
      <c r="A735" s="33"/>
      <c r="B735" s="33"/>
      <c r="C735" s="33"/>
      <c r="D735" s="30" t="s">
        <v>1454</v>
      </c>
      <c r="E735" s="30"/>
      <c r="F735" s="30"/>
      <c r="G735" s="30"/>
      <c r="H735" s="30"/>
      <c r="I735" s="30"/>
      <c r="J735" s="30"/>
      <c r="K735" s="30"/>
      <c r="L735" s="30"/>
      <c r="M735" s="30"/>
    </row>
    <row r="736" spans="1:13" ht="15.48" thickBot="1" customHeight="1">
      <c r="A736" s="15" t="s">
        <v>1455</v>
      </c>
      <c r="B736" s="8" t="s">
        <v>1456</v>
      </c>
      <c r="C736" s="8" t="s">
        <v>1457</v>
      </c>
      <c r="D736" s="30" t="s">
        <v>1458</v>
      </c>
      <c r="E736" s="30"/>
      <c r="F736" s="30"/>
      <c r="G736" s="30"/>
      <c r="H736" s="30"/>
      <c r="I736" s="30"/>
      <c r="J736" s="30"/>
      <c r="K736" s="31">
        <f ca="1">ROUND(8.00,2)</f>
        <v>0</v>
      </c>
      <c r="L736" s="32">
        <f ca="1">ROUND(26.800*(1+M2/100),2)</f>
        <v>0</v>
      </c>
      <c r="M736" s="32">
        <f ca="1">ROUND(K736*L736,2)</f>
        <v>0</v>
      </c>
    </row>
    <row r="737" spans="1:13" ht="21.36" thickBot="1" customHeight="1">
      <c r="A737" s="33"/>
      <c r="B737" s="33"/>
      <c r="C737" s="33"/>
      <c r="D737" s="30" t="s">
        <v>1459</v>
      </c>
      <c r="E737" s="30"/>
      <c r="F737" s="30"/>
      <c r="G737" s="30"/>
      <c r="H737" s="30"/>
      <c r="I737" s="30"/>
      <c r="J737" s="30"/>
      <c r="K737" s="30"/>
      <c r="L737" s="30"/>
      <c r="M737" s="30"/>
    </row>
    <row r="738" spans="1:13" ht="15.48" thickBot="1" customHeight="1">
      <c r="A738" s="46"/>
      <c r="B738" s="46"/>
      <c r="C738" s="46"/>
      <c r="D738" s="47" t="s">
        <v>1460</v>
      </c>
      <c r="E738" s="48"/>
      <c r="F738" s="48"/>
      <c r="G738" s="48"/>
      <c r="H738" s="48"/>
      <c r="I738" s="48"/>
      <c r="J738" s="48"/>
      <c r="K738" s="48"/>
      <c r="L738" s="49">
        <f ca="1">M734+M736</f>
        <v>0</v>
      </c>
      <c r="M738" s="49">
        <f ca="1">ROUND(L738,2)</f>
        <v>0</v>
      </c>
    </row>
    <row r="739" spans="1:13" ht="15.48" thickBot="1" customHeight="1">
      <c r="A739" s="50" t="s">
        <v>1461</v>
      </c>
      <c r="B739" s="50" t="s">
        <v>1462</v>
      </c>
      <c r="C739" s="51"/>
      <c r="D739" s="52" t="s">
        <v>1463</v>
      </c>
      <c r="E739" s="52"/>
      <c r="F739" s="52"/>
      <c r="G739" s="52"/>
      <c r="H739" s="52"/>
      <c r="I739" s="52"/>
      <c r="J739" s="52"/>
      <c r="K739" s="51"/>
      <c r="L739" s="53">
        <f ca="1">L770</f>
        <v>0</v>
      </c>
      <c r="M739" s="53">
        <f ca="1">ROUND(L739,2)</f>
        <v>0</v>
      </c>
    </row>
    <row r="740" spans="1:13" ht="15.48" thickBot="1" customHeight="1">
      <c r="A740" s="15" t="s">
        <v>1464</v>
      </c>
      <c r="B740" s="8" t="s">
        <v>1465</v>
      </c>
      <c r="C740" s="8" t="s">
        <v>1466</v>
      </c>
      <c r="D740" s="30" t="s">
        <v>1467</v>
      </c>
      <c r="E740" s="30"/>
      <c r="F740" s="30"/>
      <c r="G740" s="30"/>
      <c r="H740" s="30"/>
      <c r="I740" s="30"/>
      <c r="J740" s="30"/>
      <c r="K740" s="31">
        <f ca="1">ROUND(20.00,2)</f>
        <v>0</v>
      </c>
      <c r="L740" s="32">
        <f ca="1">ROUND(4.090*(1+M2/100),2)</f>
        <v>0</v>
      </c>
      <c r="M740" s="32">
        <f ca="1">ROUND(K740*L740,2)</f>
        <v>0</v>
      </c>
    </row>
    <row r="741" spans="1:13" ht="12.12" thickBot="1" customHeight="1">
      <c r="A741" s="33"/>
      <c r="B741" s="33"/>
      <c r="C741" s="33"/>
      <c r="D741" s="30" t="s">
        <v>1468</v>
      </c>
      <c r="E741" s="30"/>
      <c r="F741" s="30"/>
      <c r="G741" s="30"/>
      <c r="H741" s="30"/>
      <c r="I741" s="30"/>
      <c r="J741" s="30"/>
      <c r="K741" s="30"/>
      <c r="L741" s="30"/>
      <c r="M741" s="30"/>
    </row>
    <row r="742" spans="1:13" ht="15.48" thickBot="1" customHeight="1">
      <c r="A742" s="15" t="s">
        <v>1469</v>
      </c>
      <c r="B742" s="8" t="s">
        <v>1470</v>
      </c>
      <c r="C742" s="8" t="s">
        <v>1471</v>
      </c>
      <c r="D742" s="30" t="s">
        <v>1472</v>
      </c>
      <c r="E742" s="30"/>
      <c r="F742" s="30"/>
      <c r="G742" s="30"/>
      <c r="H742" s="30"/>
      <c r="I742" s="30"/>
      <c r="J742" s="30"/>
      <c r="K742" s="31">
        <f ca="1">ROUND(2.00,2)</f>
        <v>0</v>
      </c>
      <c r="L742" s="32">
        <f ca="1">ROUND(2.720*(1+M2/100),2)</f>
        <v>0</v>
      </c>
      <c r="M742" s="32">
        <f ca="1">ROUND(K742*L742,2)</f>
        <v>0</v>
      </c>
    </row>
    <row r="743" spans="1:13" ht="12.12" thickBot="1" customHeight="1">
      <c r="A743" s="33"/>
      <c r="B743" s="33"/>
      <c r="C743" s="33"/>
      <c r="D743" s="30" t="s">
        <v>1473</v>
      </c>
      <c r="E743" s="30"/>
      <c r="F743" s="30"/>
      <c r="G743" s="30"/>
      <c r="H743" s="30"/>
      <c r="I743" s="30"/>
      <c r="J743" s="30"/>
      <c r="K743" s="30"/>
      <c r="L743" s="30"/>
      <c r="M743" s="30"/>
    </row>
    <row r="744" spans="1:13" ht="15.48" thickBot="1" customHeight="1">
      <c r="A744" s="15" t="s">
        <v>1474</v>
      </c>
      <c r="B744" s="8" t="s">
        <v>1475</v>
      </c>
      <c r="C744" s="8" t="s">
        <v>1476</v>
      </c>
      <c r="D744" s="30" t="s">
        <v>1477</v>
      </c>
      <c r="E744" s="30"/>
      <c r="F744" s="30"/>
      <c r="G744" s="30"/>
      <c r="H744" s="30"/>
      <c r="I744" s="30"/>
      <c r="J744" s="30"/>
      <c r="K744" s="31">
        <f ca="1">ROUND(20.00,2)</f>
        <v>0</v>
      </c>
      <c r="L744" s="32">
        <f ca="1">ROUND(0.980*(1+M2/100),2)</f>
        <v>0</v>
      </c>
      <c r="M744" s="32">
        <f ca="1">ROUND(K744*L744,2)</f>
        <v>0</v>
      </c>
    </row>
    <row r="745" spans="1:13" ht="12.12" thickBot="1" customHeight="1">
      <c r="A745" s="33"/>
      <c r="B745" s="33"/>
      <c r="C745" s="33"/>
      <c r="D745" s="30" t="s">
        <v>1478</v>
      </c>
      <c r="E745" s="30"/>
      <c r="F745" s="30"/>
      <c r="G745" s="30"/>
      <c r="H745" s="30"/>
      <c r="I745" s="30"/>
      <c r="J745" s="30"/>
      <c r="K745" s="30"/>
      <c r="L745" s="30"/>
      <c r="M745" s="30"/>
    </row>
    <row r="746" spans="1:13" ht="15.48" thickBot="1" customHeight="1">
      <c r="A746" s="15" t="s">
        <v>1479</v>
      </c>
      <c r="B746" s="8" t="s">
        <v>1480</v>
      </c>
      <c r="C746" s="8" t="s">
        <v>1481</v>
      </c>
      <c r="D746" s="30" t="s">
        <v>1482</v>
      </c>
      <c r="E746" s="30"/>
      <c r="F746" s="30"/>
      <c r="G746" s="30"/>
      <c r="H746" s="30"/>
      <c r="I746" s="30"/>
      <c r="J746" s="30"/>
      <c r="K746" s="31">
        <f ca="1">ROUND(20.00,2)</f>
        <v>0</v>
      </c>
      <c r="L746" s="32">
        <f ca="1">ROUND(8.230*(1+M2/100),2)</f>
        <v>0</v>
      </c>
      <c r="M746" s="32">
        <f ca="1">ROUND(K746*L746,2)</f>
        <v>0</v>
      </c>
    </row>
    <row r="747" spans="1:13" ht="12.12" thickBot="1" customHeight="1">
      <c r="A747" s="33"/>
      <c r="B747" s="33"/>
      <c r="C747" s="33"/>
      <c r="D747" s="30" t="s">
        <v>1483</v>
      </c>
      <c r="E747" s="30"/>
      <c r="F747" s="30"/>
      <c r="G747" s="30"/>
      <c r="H747" s="30"/>
      <c r="I747" s="30"/>
      <c r="J747" s="30"/>
      <c r="K747" s="30"/>
      <c r="L747" s="30"/>
      <c r="M747" s="30"/>
    </row>
    <row r="748" spans="1:13" ht="15.48" thickBot="1" customHeight="1">
      <c r="A748" s="15" t="s">
        <v>1484</v>
      </c>
      <c r="B748" s="8" t="s">
        <v>1485</v>
      </c>
      <c r="C748" s="8" t="s">
        <v>1486</v>
      </c>
      <c r="D748" s="30" t="s">
        <v>1487</v>
      </c>
      <c r="E748" s="30"/>
      <c r="F748" s="30"/>
      <c r="G748" s="30"/>
      <c r="H748" s="30"/>
      <c r="I748" s="30"/>
      <c r="J748" s="30"/>
      <c r="K748" s="31">
        <f ca="1">ROUND(20.00,2)</f>
        <v>0</v>
      </c>
      <c r="L748" s="32">
        <f ca="1">ROUND(6.470*(1+M2/100),2)</f>
        <v>0</v>
      </c>
      <c r="M748" s="32">
        <f ca="1">ROUND(K748*L748,2)</f>
        <v>0</v>
      </c>
    </row>
    <row r="749" spans="1:13" ht="12.12" thickBot="1" customHeight="1">
      <c r="A749" s="33"/>
      <c r="B749" s="33"/>
      <c r="C749" s="33"/>
      <c r="D749" s="30" t="s">
        <v>1488</v>
      </c>
      <c r="E749" s="30"/>
      <c r="F749" s="30"/>
      <c r="G749" s="30"/>
      <c r="H749" s="30"/>
      <c r="I749" s="30"/>
      <c r="J749" s="30"/>
      <c r="K749" s="30"/>
      <c r="L749" s="30"/>
      <c r="M749" s="30"/>
    </row>
    <row r="750" spans="1:13" ht="15.48" thickBot="1" customHeight="1">
      <c r="A750" s="15" t="s">
        <v>1489</v>
      </c>
      <c r="B750" s="8" t="s">
        <v>1490</v>
      </c>
      <c r="C750" s="8" t="s">
        <v>1491</v>
      </c>
      <c r="D750" s="30" t="s">
        <v>1492</v>
      </c>
      <c r="E750" s="30"/>
      <c r="F750" s="30"/>
      <c r="G750" s="30"/>
      <c r="H750" s="30"/>
      <c r="I750" s="30"/>
      <c r="J750" s="30"/>
      <c r="K750" s="31">
        <f ca="1">ROUND(20.00,2)</f>
        <v>0</v>
      </c>
      <c r="L750" s="32">
        <f ca="1">ROUND(6.040*(1+M2/100),2)</f>
        <v>0</v>
      </c>
      <c r="M750" s="32">
        <f ca="1">ROUND(K750*L750,2)</f>
        <v>0</v>
      </c>
    </row>
    <row r="751" spans="1:13" ht="12.12" thickBot="1" customHeight="1">
      <c r="A751" s="33"/>
      <c r="B751" s="33"/>
      <c r="C751" s="33"/>
      <c r="D751" s="30" t="s">
        <v>1493</v>
      </c>
      <c r="E751" s="30"/>
      <c r="F751" s="30"/>
      <c r="G751" s="30"/>
      <c r="H751" s="30"/>
      <c r="I751" s="30"/>
      <c r="J751" s="30"/>
      <c r="K751" s="30"/>
      <c r="L751" s="30"/>
      <c r="M751" s="30"/>
    </row>
    <row r="752" spans="1:13" ht="15.48" thickBot="1" customHeight="1">
      <c r="A752" s="15" t="s">
        <v>1494</v>
      </c>
      <c r="B752" s="8" t="s">
        <v>1495</v>
      </c>
      <c r="C752" s="8" t="s">
        <v>1496</v>
      </c>
      <c r="D752" s="30" t="s">
        <v>1497</v>
      </c>
      <c r="E752" s="30"/>
      <c r="F752" s="30"/>
      <c r="G752" s="30"/>
      <c r="H752" s="30"/>
      <c r="I752" s="30"/>
      <c r="J752" s="30"/>
      <c r="K752" s="31">
        <f ca="1">ROUND(20.00,2)</f>
        <v>0</v>
      </c>
      <c r="L752" s="32">
        <f ca="1">ROUND(26.450*(1+M2/100),2)</f>
        <v>0</v>
      </c>
      <c r="M752" s="32">
        <f ca="1">ROUND(K752*L752,2)</f>
        <v>0</v>
      </c>
    </row>
    <row r="753" spans="1:13" ht="12.12" thickBot="1" customHeight="1">
      <c r="A753" s="33"/>
      <c r="B753" s="33"/>
      <c r="C753" s="33"/>
      <c r="D753" s="30" t="s">
        <v>1498</v>
      </c>
      <c r="E753" s="30"/>
      <c r="F753" s="30"/>
      <c r="G753" s="30"/>
      <c r="H753" s="30"/>
      <c r="I753" s="30"/>
      <c r="J753" s="30"/>
      <c r="K753" s="30"/>
      <c r="L753" s="30"/>
      <c r="M753" s="30"/>
    </row>
    <row r="754" spans="1:13" ht="15.48" thickBot="1" customHeight="1">
      <c r="A754" s="15" t="s">
        <v>1499</v>
      </c>
      <c r="B754" s="8" t="s">
        <v>1500</v>
      </c>
      <c r="C754" s="8" t="s">
        <v>1501</v>
      </c>
      <c r="D754" s="30" t="s">
        <v>1502</v>
      </c>
      <c r="E754" s="30"/>
      <c r="F754" s="30"/>
      <c r="G754" s="30"/>
      <c r="H754" s="30"/>
      <c r="I754" s="30"/>
      <c r="J754" s="30"/>
      <c r="K754" s="31">
        <f ca="1">ROUND(2.00,2)</f>
        <v>0</v>
      </c>
      <c r="L754" s="32">
        <f ca="1">ROUND(4.870*(1+M2/100),2)</f>
        <v>0</v>
      </c>
      <c r="M754" s="32">
        <f ca="1">ROUND(K754*L754,2)</f>
        <v>0</v>
      </c>
    </row>
    <row r="755" spans="1:13" ht="12.12" thickBot="1" customHeight="1">
      <c r="A755" s="33"/>
      <c r="B755" s="33"/>
      <c r="C755" s="33"/>
      <c r="D755" s="30" t="s">
        <v>1503</v>
      </c>
      <c r="E755" s="30"/>
      <c r="F755" s="30"/>
      <c r="G755" s="30"/>
      <c r="H755" s="30"/>
      <c r="I755" s="30"/>
      <c r="J755" s="30"/>
      <c r="K755" s="30"/>
      <c r="L755" s="30"/>
      <c r="M755" s="30"/>
    </row>
    <row r="756" spans="1:13" ht="15.48" thickBot="1" customHeight="1">
      <c r="A756" s="15" t="s">
        <v>1504</v>
      </c>
      <c r="B756" s="8" t="s">
        <v>1505</v>
      </c>
      <c r="C756" s="8" t="s">
        <v>1506</v>
      </c>
      <c r="D756" s="30" t="s">
        <v>1507</v>
      </c>
      <c r="E756" s="30"/>
      <c r="F756" s="30"/>
      <c r="G756" s="30"/>
      <c r="H756" s="30"/>
      <c r="I756" s="30"/>
      <c r="J756" s="30"/>
      <c r="K756" s="31">
        <f ca="1">ROUND(20.00,2)</f>
        <v>0</v>
      </c>
      <c r="L756" s="32">
        <f ca="1">ROUND(4.660*(1+M2/100),2)</f>
        <v>0</v>
      </c>
      <c r="M756" s="32">
        <f ca="1">ROUND(K756*L756,2)</f>
        <v>0</v>
      </c>
    </row>
    <row r="757" spans="1:13" ht="12.12" thickBot="1" customHeight="1">
      <c r="A757" s="33"/>
      <c r="B757" s="33"/>
      <c r="C757" s="33"/>
      <c r="D757" s="30" t="s">
        <v>1508</v>
      </c>
      <c r="E757" s="30"/>
      <c r="F757" s="30"/>
      <c r="G757" s="30"/>
      <c r="H757" s="30"/>
      <c r="I757" s="30"/>
      <c r="J757" s="30"/>
      <c r="K757" s="30"/>
      <c r="L757" s="30"/>
      <c r="M757" s="30"/>
    </row>
    <row r="758" spans="1:13" ht="15.48" thickBot="1" customHeight="1">
      <c r="A758" s="15" t="s">
        <v>1509</v>
      </c>
      <c r="B758" s="8" t="s">
        <v>1510</v>
      </c>
      <c r="C758" s="8" t="s">
        <v>1511</v>
      </c>
      <c r="D758" s="30" t="s">
        <v>1512</v>
      </c>
      <c r="E758" s="30"/>
      <c r="F758" s="30"/>
      <c r="G758" s="30"/>
      <c r="H758" s="30"/>
      <c r="I758" s="30"/>
      <c r="J758" s="30"/>
      <c r="K758" s="31">
        <f ca="1">ROUND(50.00,2)</f>
        <v>0</v>
      </c>
      <c r="L758" s="32">
        <f ca="1">ROUND(3.520*(1+M2/100),2)</f>
        <v>0</v>
      </c>
      <c r="M758" s="32">
        <f ca="1">ROUND(K758*L758,2)</f>
        <v>0</v>
      </c>
    </row>
    <row r="759" spans="1:13" ht="12.12" thickBot="1" customHeight="1">
      <c r="A759" s="33"/>
      <c r="B759" s="33"/>
      <c r="C759" s="33"/>
      <c r="D759" s="30" t="s">
        <v>1513</v>
      </c>
      <c r="E759" s="30"/>
      <c r="F759" s="30"/>
      <c r="G759" s="30"/>
      <c r="H759" s="30"/>
      <c r="I759" s="30"/>
      <c r="J759" s="30"/>
      <c r="K759" s="30"/>
      <c r="L759" s="30"/>
      <c r="M759" s="30"/>
    </row>
    <row r="760" spans="1:13" ht="15.48" thickBot="1" customHeight="1">
      <c r="A760" s="15" t="s">
        <v>1514</v>
      </c>
      <c r="B760" s="8" t="s">
        <v>1515</v>
      </c>
      <c r="C760" s="8" t="s">
        <v>1516</v>
      </c>
      <c r="D760" s="30" t="s">
        <v>1517</v>
      </c>
      <c r="E760" s="30"/>
      <c r="F760" s="30"/>
      <c r="G760" s="30"/>
      <c r="H760" s="30"/>
      <c r="I760" s="30"/>
      <c r="J760" s="30"/>
      <c r="K760" s="31">
        <f ca="1">ROUND(20.00,2)</f>
        <v>0</v>
      </c>
      <c r="L760" s="32">
        <f ca="1">ROUND(7.650*(1+M2/100),2)</f>
        <v>0</v>
      </c>
      <c r="M760" s="32">
        <f ca="1">ROUND(K760*L760,2)</f>
        <v>0</v>
      </c>
    </row>
    <row r="761" spans="1:13" ht="12.12" thickBot="1" customHeight="1">
      <c r="A761" s="33"/>
      <c r="B761" s="33"/>
      <c r="C761" s="33"/>
      <c r="D761" s="30" t="s">
        <v>1518</v>
      </c>
      <c r="E761" s="30"/>
      <c r="F761" s="30"/>
      <c r="G761" s="30"/>
      <c r="H761" s="30"/>
      <c r="I761" s="30"/>
      <c r="J761" s="30"/>
      <c r="K761" s="30"/>
      <c r="L761" s="30"/>
      <c r="M761" s="30"/>
    </row>
    <row r="762" spans="1:13" ht="15.48" thickBot="1" customHeight="1">
      <c r="A762" s="15" t="s">
        <v>1519</v>
      </c>
      <c r="B762" s="8" t="s">
        <v>1520</v>
      </c>
      <c r="C762" s="8" t="s">
        <v>1521</v>
      </c>
      <c r="D762" s="30" t="s">
        <v>1522</v>
      </c>
      <c r="E762" s="30"/>
      <c r="F762" s="30"/>
      <c r="G762" s="30"/>
      <c r="H762" s="30"/>
      <c r="I762" s="30"/>
      <c r="J762" s="30"/>
      <c r="K762" s="31">
        <f ca="1">ROUND(2.00,2)</f>
        <v>0</v>
      </c>
      <c r="L762" s="32">
        <f ca="1">ROUND(2.550*(1+M2/100),2)</f>
        <v>0</v>
      </c>
      <c r="M762" s="32">
        <f ca="1">ROUND(K762*L762,2)</f>
        <v>0</v>
      </c>
    </row>
    <row r="763" spans="1:13" ht="12.12" thickBot="1" customHeight="1">
      <c r="A763" s="33"/>
      <c r="B763" s="33"/>
      <c r="C763" s="33"/>
      <c r="D763" s="30" t="s">
        <v>1523</v>
      </c>
      <c r="E763" s="30"/>
      <c r="F763" s="30"/>
      <c r="G763" s="30"/>
      <c r="H763" s="30"/>
      <c r="I763" s="30"/>
      <c r="J763" s="30"/>
      <c r="K763" s="30"/>
      <c r="L763" s="30"/>
      <c r="M763" s="30"/>
    </row>
    <row r="764" spans="1:13" ht="15.48" thickBot="1" customHeight="1">
      <c r="A764" s="15" t="s">
        <v>1524</v>
      </c>
      <c r="B764" s="8" t="s">
        <v>1525</v>
      </c>
      <c r="C764" s="8" t="s">
        <v>1526</v>
      </c>
      <c r="D764" s="30" t="s">
        <v>1527</v>
      </c>
      <c r="E764" s="30"/>
      <c r="F764" s="30"/>
      <c r="G764" s="30"/>
      <c r="H764" s="30"/>
      <c r="I764" s="30"/>
      <c r="J764" s="30"/>
      <c r="K764" s="31">
        <f ca="1">ROUND(10.00,2)</f>
        <v>0</v>
      </c>
      <c r="L764" s="32">
        <f ca="1">ROUND(33.790*(1+M2/100),2)</f>
        <v>0</v>
      </c>
      <c r="M764" s="32">
        <f ca="1">ROUND(K764*L764,2)</f>
        <v>0</v>
      </c>
    </row>
    <row r="765" spans="1:13" ht="21.36" thickBot="1" customHeight="1">
      <c r="A765" s="33"/>
      <c r="B765" s="33"/>
      <c r="C765" s="33"/>
      <c r="D765" s="30" t="s">
        <v>1528</v>
      </c>
      <c r="E765" s="30"/>
      <c r="F765" s="30"/>
      <c r="G765" s="30"/>
      <c r="H765" s="30"/>
      <c r="I765" s="30"/>
      <c r="J765" s="30"/>
      <c r="K765" s="30"/>
      <c r="L765" s="30"/>
      <c r="M765" s="30"/>
    </row>
    <row r="766" spans="1:13" ht="15.48" thickBot="1" customHeight="1">
      <c r="A766" s="15" t="s">
        <v>1529</v>
      </c>
      <c r="B766" s="8" t="s">
        <v>1530</v>
      </c>
      <c r="C766" s="8" t="s">
        <v>1531</v>
      </c>
      <c r="D766" s="30" t="s">
        <v>1532</v>
      </c>
      <c r="E766" s="30"/>
      <c r="F766" s="30"/>
      <c r="G766" s="30"/>
      <c r="H766" s="30"/>
      <c r="I766" s="30"/>
      <c r="J766" s="30"/>
      <c r="K766" s="31">
        <f ca="1">ROUND(10.00,2)</f>
        <v>0</v>
      </c>
      <c r="L766" s="32">
        <f ca="1">ROUND(14.600*(1+M2/100),2)</f>
        <v>0</v>
      </c>
      <c r="M766" s="32">
        <f ca="1">ROUND(K766*L766,2)</f>
        <v>0</v>
      </c>
    </row>
    <row r="767" spans="1:13" ht="21.36" thickBot="1" customHeight="1">
      <c r="A767" s="33"/>
      <c r="B767" s="33"/>
      <c r="C767" s="33"/>
      <c r="D767" s="30" t="s">
        <v>1533</v>
      </c>
      <c r="E767" s="30"/>
      <c r="F767" s="30"/>
      <c r="G767" s="30"/>
      <c r="H767" s="30"/>
      <c r="I767" s="30"/>
      <c r="J767" s="30"/>
      <c r="K767" s="30"/>
      <c r="L767" s="30"/>
      <c r="M767" s="30"/>
    </row>
    <row r="768" spans="1:13" ht="15.48" thickBot="1" customHeight="1">
      <c r="A768" s="15" t="s">
        <v>1534</v>
      </c>
      <c r="B768" s="8" t="s">
        <v>1535</v>
      </c>
      <c r="C768" s="8" t="s">
        <v>1536</v>
      </c>
      <c r="D768" s="30" t="s">
        <v>1537</v>
      </c>
      <c r="E768" s="30"/>
      <c r="F768" s="30"/>
      <c r="G768" s="30"/>
      <c r="H768" s="30"/>
      <c r="I768" s="30"/>
      <c r="J768" s="30"/>
      <c r="K768" s="31">
        <f ca="1">ROUND(30.00,2)</f>
        <v>0</v>
      </c>
      <c r="L768" s="32">
        <f ca="1">ROUND(13.300*(1+M2/100),2)</f>
        <v>0</v>
      </c>
      <c r="M768" s="32">
        <f ca="1">ROUND(K768*L768,2)</f>
        <v>0</v>
      </c>
    </row>
    <row r="769" spans="1:13" ht="21.36" thickBot="1" customHeight="1">
      <c r="A769" s="33"/>
      <c r="B769" s="33"/>
      <c r="C769" s="33"/>
      <c r="D769" s="30" t="s">
        <v>1538</v>
      </c>
      <c r="E769" s="30"/>
      <c r="F769" s="30"/>
      <c r="G769" s="30"/>
      <c r="H769" s="30"/>
      <c r="I769" s="30"/>
      <c r="J769" s="30"/>
      <c r="K769" s="30"/>
      <c r="L769" s="30"/>
      <c r="M769" s="30"/>
    </row>
    <row r="770" spans="1:13" ht="15.48" thickBot="1" customHeight="1">
      <c r="A770" s="46"/>
      <c r="B770" s="46"/>
      <c r="C770" s="46"/>
      <c r="D770" s="47" t="s">
        <v>1539</v>
      </c>
      <c r="E770" s="48"/>
      <c r="F770" s="48"/>
      <c r="G770" s="48"/>
      <c r="H770" s="48"/>
      <c r="I770" s="48"/>
      <c r="J770" s="48"/>
      <c r="K770" s="48"/>
      <c r="L770" s="49">
        <f ca="1">M740+M742+M744+M746+M748+M750+M752+M754+M756+M758+M760+M762+M764+M766+M768</f>
        <v>0</v>
      </c>
      <c r="M770" s="49">
        <f ca="1">ROUND(L770,2)</f>
        <v>0</v>
      </c>
    </row>
    <row r="771" spans="1:13" ht="15.48" thickBot="1" customHeight="1">
      <c r="A771" s="55"/>
      <c r="B771" s="55"/>
      <c r="C771" s="55"/>
      <c r="D771" s="56" t="s">
        <v>1540</v>
      </c>
      <c r="E771" s="57"/>
      <c r="F771" s="57"/>
      <c r="G771" s="57"/>
      <c r="H771" s="57"/>
      <c r="I771" s="57"/>
      <c r="J771" s="57"/>
      <c r="K771" s="57"/>
      <c r="L771" s="58">
        <f ca="1">M732+M738+M770</f>
        <v>0</v>
      </c>
      <c r="M771" s="58">
        <f ca="1">ROUND(L771,2)</f>
        <v>0</v>
      </c>
    </row>
    <row r="772" spans="1:13" ht="15.48" thickBot="1" customHeight="1">
      <c r="A772" s="55"/>
      <c r="B772" s="55"/>
      <c r="C772" s="55"/>
      <c r="D772" s="80" t="s">
        <v>1541</v>
      </c>
      <c r="E772" s="81"/>
      <c r="F772" s="81"/>
      <c r="G772" s="81"/>
      <c r="H772" s="81"/>
      <c r="I772" s="81"/>
      <c r="J772" s="81"/>
      <c r="K772" s="81"/>
      <c r="L772" s="82">
        <f ca="1">M330+M464+M669+M691+M701+M705+M723+M771</f>
        <v>0</v>
      </c>
      <c r="M772" s="82">
        <f ca="1">ROUND(L772,2)</f>
        <v>0</v>
      </c>
    </row>
  </sheetData>
  <mergeCells count="301">
    <mergeCell ref="B1:M1"/>
    <mergeCell ref="A2:C2"/>
    <mergeCell ref="D4:J4"/>
    <mergeCell ref="D5:J5"/>
    <mergeCell ref="D6:J6"/>
    <mergeCell ref="D7:J7"/>
    <mergeCell ref="D8:M8"/>
    <mergeCell ref="D11:J11"/>
    <mergeCell ref="D12:M12"/>
    <mergeCell ref="D13:J13"/>
    <mergeCell ref="D14:M14"/>
    <mergeCell ref="D15:J15"/>
    <mergeCell ref="D16:M16"/>
    <mergeCell ref="D20:J20"/>
    <mergeCell ref="D21:M21"/>
    <mergeCell ref="D25:J25"/>
    <mergeCell ref="D26:M26"/>
    <mergeCell ref="D30:J30"/>
    <mergeCell ref="D31:M31"/>
    <mergeCell ref="D33:J33"/>
    <mergeCell ref="D34:J34"/>
    <mergeCell ref="D35:M35"/>
    <mergeCell ref="D36:J36"/>
    <mergeCell ref="D37:M37"/>
    <mergeCell ref="D38:J38"/>
    <mergeCell ref="D39:M39"/>
    <mergeCell ref="D61:J61"/>
    <mergeCell ref="D62:M62"/>
    <mergeCell ref="D65:J65"/>
    <mergeCell ref="D66:M66"/>
    <mergeCell ref="D67:J67"/>
    <mergeCell ref="D68:M68"/>
    <mergeCell ref="D72:J72"/>
    <mergeCell ref="D73:M73"/>
    <mergeCell ref="D82:J82"/>
    <mergeCell ref="D83:M83"/>
    <mergeCell ref="D88:J88"/>
    <mergeCell ref="D89:M89"/>
    <mergeCell ref="D94:J94"/>
    <mergeCell ref="D95:M95"/>
    <mergeCell ref="D98:J98"/>
    <mergeCell ref="D99:M99"/>
    <mergeCell ref="D102:J102"/>
    <mergeCell ref="D103:M103"/>
    <mergeCell ref="D107:J107"/>
    <mergeCell ref="D108:M108"/>
    <mergeCell ref="D111:J111"/>
    <mergeCell ref="D112:M112"/>
    <mergeCell ref="D115:J115"/>
    <mergeCell ref="D116:M116"/>
    <mergeCell ref="D119:J119"/>
    <mergeCell ref="D120:M120"/>
    <mergeCell ref="D124:J124"/>
    <mergeCell ref="D125:M125"/>
    <mergeCell ref="D133:J133"/>
    <mergeCell ref="D134:M134"/>
    <mergeCell ref="D138:J138"/>
    <mergeCell ref="D139:M139"/>
    <mergeCell ref="D147:J147"/>
    <mergeCell ref="D148:M148"/>
    <mergeCell ref="D192:J192"/>
    <mergeCell ref="D193:M193"/>
    <mergeCell ref="D194:J194"/>
    <mergeCell ref="D195:M195"/>
    <mergeCell ref="D196:J196"/>
    <mergeCell ref="D197:M197"/>
    <mergeCell ref="D198:J198"/>
    <mergeCell ref="D199:M199"/>
    <mergeCell ref="D200:J200"/>
    <mergeCell ref="D201:M201"/>
    <mergeCell ref="D202:J202"/>
    <mergeCell ref="D203:M203"/>
    <mergeCell ref="D204:J204"/>
    <mergeCell ref="D205:M205"/>
    <mergeCell ref="D206:J206"/>
    <mergeCell ref="D207:M207"/>
    <mergeCell ref="D208:J208"/>
    <mergeCell ref="D209:M209"/>
    <mergeCell ref="D211:J211"/>
    <mergeCell ref="D212:J212"/>
    <mergeCell ref="D213:M213"/>
    <mergeCell ref="D214:J214"/>
    <mergeCell ref="D215:M215"/>
    <mergeCell ref="D259:J259"/>
    <mergeCell ref="D260:M260"/>
    <mergeCell ref="D263:J263"/>
    <mergeCell ref="D264:M264"/>
    <mergeCell ref="D278:J278"/>
    <mergeCell ref="D279:M279"/>
    <mergeCell ref="D284:J284"/>
    <mergeCell ref="D285:M285"/>
    <mergeCell ref="D288:J288"/>
    <mergeCell ref="D289:M289"/>
    <mergeCell ref="D292:J292"/>
    <mergeCell ref="D293:M293"/>
    <mergeCell ref="D302:J302"/>
    <mergeCell ref="D303:J303"/>
    <mergeCell ref="D304:M304"/>
    <mergeCell ref="D305:J305"/>
    <mergeCell ref="D306:M306"/>
    <mergeCell ref="D309:J309"/>
    <mergeCell ref="D310:M310"/>
    <mergeCell ref="D314:J314"/>
    <mergeCell ref="D315:M315"/>
    <mergeCell ref="D319:J319"/>
    <mergeCell ref="D320:M320"/>
    <mergeCell ref="D324:J324"/>
    <mergeCell ref="D325:M325"/>
    <mergeCell ref="D331:J331"/>
    <mergeCell ref="D332:J332"/>
    <mergeCell ref="D333:J333"/>
    <mergeCell ref="D334:M334"/>
    <mergeCell ref="D337:J337"/>
    <mergeCell ref="D338:M338"/>
    <mergeCell ref="D339:J339"/>
    <mergeCell ref="D340:M340"/>
    <mergeCell ref="D344:J344"/>
    <mergeCell ref="D345:M345"/>
    <mergeCell ref="D346:J346"/>
    <mergeCell ref="D347:M347"/>
    <mergeCell ref="D350:J350"/>
    <mergeCell ref="D351:M351"/>
    <mergeCell ref="D352:J352"/>
    <mergeCell ref="D353:M353"/>
    <mergeCell ref="D355:J355"/>
    <mergeCell ref="D356:J356"/>
    <mergeCell ref="D357:J357"/>
    <mergeCell ref="D358:M358"/>
    <mergeCell ref="D366:J366"/>
    <mergeCell ref="D367:M367"/>
    <mergeCell ref="D380:J380"/>
    <mergeCell ref="D381:M381"/>
    <mergeCell ref="D395:J395"/>
    <mergeCell ref="D396:M396"/>
    <mergeCell ref="D401:J401"/>
    <mergeCell ref="D402:M402"/>
    <mergeCell ref="D417:J417"/>
    <mergeCell ref="D418:J418"/>
    <mergeCell ref="D419:M419"/>
    <mergeCell ref="D433:J433"/>
    <mergeCell ref="D434:M434"/>
    <mergeCell ref="D441:J441"/>
    <mergeCell ref="D442:M442"/>
    <mergeCell ref="D452:J452"/>
    <mergeCell ref="D453:J453"/>
    <mergeCell ref="D454:M454"/>
    <mergeCell ref="D455:J455"/>
    <mergeCell ref="D456:M456"/>
    <mergeCell ref="D459:J459"/>
    <mergeCell ref="D460:M460"/>
    <mergeCell ref="D461:J461"/>
    <mergeCell ref="D462:M462"/>
    <mergeCell ref="D465:J465"/>
    <mergeCell ref="D466:J466"/>
    <mergeCell ref="D467:J467"/>
    <mergeCell ref="D468:M468"/>
    <mergeCell ref="D471:J471"/>
    <mergeCell ref="D472:M472"/>
    <mergeCell ref="D477:J477"/>
    <mergeCell ref="D478:M478"/>
    <mergeCell ref="D481:J481"/>
    <mergeCell ref="D482:M482"/>
    <mergeCell ref="D485:J485"/>
    <mergeCell ref="D486:M486"/>
    <mergeCell ref="D489:J489"/>
    <mergeCell ref="D490:M490"/>
    <mergeCell ref="D494:J494"/>
    <mergeCell ref="D495:M495"/>
    <mergeCell ref="D505:J505"/>
    <mergeCell ref="D506:M506"/>
    <mergeCell ref="D521:J521"/>
    <mergeCell ref="D522:M522"/>
    <mergeCell ref="D527:J527"/>
    <mergeCell ref="D528:J528"/>
    <mergeCell ref="D529:M529"/>
    <mergeCell ref="D544:J544"/>
    <mergeCell ref="D545:M545"/>
    <mergeCell ref="D546:J546"/>
    <mergeCell ref="D547:M547"/>
    <mergeCell ref="D559:J559"/>
    <mergeCell ref="D560:M560"/>
    <mergeCell ref="D564:J564"/>
    <mergeCell ref="D565:J565"/>
    <mergeCell ref="D566:M566"/>
    <mergeCell ref="D570:J570"/>
    <mergeCell ref="D571:M571"/>
    <mergeCell ref="D572:J572"/>
    <mergeCell ref="D573:M573"/>
    <mergeCell ref="D574:J574"/>
    <mergeCell ref="D575:M575"/>
    <mergeCell ref="D576:J576"/>
    <mergeCell ref="D577:M577"/>
    <mergeCell ref="D578:J578"/>
    <mergeCell ref="D579:M579"/>
    <mergeCell ref="D582:J582"/>
    <mergeCell ref="D583:M583"/>
    <mergeCell ref="D591:J591"/>
    <mergeCell ref="D592:J592"/>
    <mergeCell ref="D593:M593"/>
    <mergeCell ref="D600:J600"/>
    <mergeCell ref="D601:M601"/>
    <mergeCell ref="D610:J610"/>
    <mergeCell ref="D611:M611"/>
    <mergeCell ref="D614:J614"/>
    <mergeCell ref="D615:M615"/>
    <mergeCell ref="D618:J618"/>
    <mergeCell ref="D619:M619"/>
    <mergeCell ref="D622:J622"/>
    <mergeCell ref="D623:M623"/>
    <mergeCell ref="D630:J630"/>
    <mergeCell ref="D631:M631"/>
    <mergeCell ref="D637:J637"/>
    <mergeCell ref="D638:M638"/>
    <mergeCell ref="D639:J639"/>
    <mergeCell ref="D640:M640"/>
    <mergeCell ref="D656:J656"/>
    <mergeCell ref="D657:M657"/>
    <mergeCell ref="D658:J658"/>
    <mergeCell ref="D659:M659"/>
    <mergeCell ref="D663:J663"/>
    <mergeCell ref="D664:M664"/>
    <mergeCell ref="D670:J670"/>
    <mergeCell ref="D671:J671"/>
    <mergeCell ref="D672:M672"/>
    <mergeCell ref="D675:J675"/>
    <mergeCell ref="D676:M676"/>
    <mergeCell ref="D679:J679"/>
    <mergeCell ref="D680:M680"/>
    <mergeCell ref="D681:J681"/>
    <mergeCell ref="D682:M682"/>
    <mergeCell ref="D683:J683"/>
    <mergeCell ref="D684:M684"/>
    <mergeCell ref="D685:J685"/>
    <mergeCell ref="D686:M686"/>
    <mergeCell ref="D687:J687"/>
    <mergeCell ref="D688:M688"/>
    <mergeCell ref="D692:J692"/>
    <mergeCell ref="D693:J693"/>
    <mergeCell ref="D694:M694"/>
    <mergeCell ref="D695:J695"/>
    <mergeCell ref="D696:M696"/>
    <mergeCell ref="D697:J697"/>
    <mergeCell ref="D698:M698"/>
    <mergeCell ref="D699:J699"/>
    <mergeCell ref="D700:M700"/>
    <mergeCell ref="D702:J702"/>
    <mergeCell ref="D703:J703"/>
    <mergeCell ref="D704:M704"/>
    <mergeCell ref="D706:J706"/>
    <mergeCell ref="D707:J707"/>
    <mergeCell ref="D708:M708"/>
    <mergeCell ref="D713:J713"/>
    <mergeCell ref="D714:M714"/>
    <mergeCell ref="D719:J719"/>
    <mergeCell ref="D720:M720"/>
    <mergeCell ref="D721:J721"/>
    <mergeCell ref="D722:M722"/>
    <mergeCell ref="D724:J724"/>
    <mergeCell ref="D725:J725"/>
    <mergeCell ref="D726:J726"/>
    <mergeCell ref="D727:M727"/>
    <mergeCell ref="D728:J728"/>
    <mergeCell ref="D729:M729"/>
    <mergeCell ref="D730:J730"/>
    <mergeCell ref="D731:M731"/>
    <mergeCell ref="D733:J733"/>
    <mergeCell ref="D734:J734"/>
    <mergeCell ref="D735:M735"/>
    <mergeCell ref="D736:J736"/>
    <mergeCell ref="D737:M737"/>
    <mergeCell ref="D739:J739"/>
    <mergeCell ref="D740:J740"/>
    <mergeCell ref="D741:M741"/>
    <mergeCell ref="D742:J742"/>
    <mergeCell ref="D743:M743"/>
    <mergeCell ref="D744:J744"/>
    <mergeCell ref="D745:M745"/>
    <mergeCell ref="D746:J746"/>
    <mergeCell ref="D747:M747"/>
    <mergeCell ref="D748:J748"/>
    <mergeCell ref="D749:M749"/>
    <mergeCell ref="D750:J750"/>
    <mergeCell ref="D751:M751"/>
    <mergeCell ref="D752:J752"/>
    <mergeCell ref="D753:M753"/>
    <mergeCell ref="D754:J754"/>
    <mergeCell ref="D755:M755"/>
    <mergeCell ref="D756:J756"/>
    <mergeCell ref="D757:M757"/>
    <mergeCell ref="D758:J758"/>
    <mergeCell ref="D759:M759"/>
    <mergeCell ref="D760:J760"/>
    <mergeCell ref="D761:M761"/>
    <mergeCell ref="D762:J762"/>
    <mergeCell ref="D763:M763"/>
    <mergeCell ref="D764:J764"/>
    <mergeCell ref="D765:M765"/>
    <mergeCell ref="D766:J766"/>
    <mergeCell ref="D767:M767"/>
    <mergeCell ref="D768:J768"/>
    <mergeCell ref="D769:M769"/>
  </mergeCells>
  <pageMargins left="0.620079" right="0.472441" top="0.472441" bottom="0.472441" header="0.0" footer="0.0"/>
  <pageSetup paperSize="9" orientation="landscape"/>
  <rowBreaks count="2" manualBreakCount="2">
    <brk id="0" max="16383" man="1"/>
    <brk id="0" max="16383" man="1"/>
  </rowBreaks>
</worksheet>
</file>