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pivotTables/pivotTable1.xml" ContentType="application/vnd.openxmlformats-officedocument.spreadsheetml.pivot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AquestLlibreDeTreball" hidePivotFieldList="1" defaultThemeVersion="124226"/>
  <bookViews>
    <workbookView xWindow="240" yWindow="15" windowWidth="14880" windowHeight="7515" tabRatio="903"/>
  </bookViews>
  <sheets>
    <sheet name="ANNEX 4" sheetId="84" r:id="rId1"/>
    <sheet name="Subrog anterior plec" sheetId="44" state="hidden" r:id="rId2"/>
    <sheet name="PiG2011" sheetId="55" state="hidden" r:id="rId3"/>
    <sheet name="PiG 2012" sheetId="29" state="hidden" r:id="rId4"/>
    <sheet name="PiG2013" sheetId="56" state="hidden" r:id="rId5"/>
  </sheets>
  <definedNames>
    <definedName name="CostAuxiliarHora">#REF!</definedName>
    <definedName name="CostDireccióHora">#REF!</definedName>
    <definedName name="CostMenú">#REF!</definedName>
    <definedName name="HoresSessió">#REF!</definedName>
    <definedName name="SessionsAnuals">#REF!</definedName>
  </definedNames>
  <calcPr calcId="145621"/>
  <pivotCaches>
    <pivotCache cacheId="0" r:id="rId6"/>
  </pivotCaches>
</workbook>
</file>

<file path=xl/calcChain.xml><?xml version="1.0" encoding="utf-8"?>
<calcChain xmlns="http://schemas.openxmlformats.org/spreadsheetml/2006/main">
  <c r="G11" i="84" l="1"/>
  <c r="G6" i="84" l="1"/>
  <c r="G7" i="84" s="1"/>
  <c r="G10" i="84" l="1"/>
  <c r="E10" i="84" l="1"/>
  <c r="G13" i="84" l="1"/>
  <c r="E11" i="84"/>
  <c r="E13" i="84" l="1"/>
  <c r="G12" i="84"/>
  <c r="G14" i="84" s="1"/>
  <c r="G21" i="84" s="1"/>
  <c r="E12" i="84"/>
  <c r="E14" i="84" l="1"/>
  <c r="E19" i="84"/>
  <c r="B147" i="44" l="1"/>
  <c r="E119" i="44" l="1"/>
  <c r="C131" i="44" l="1"/>
  <c r="C127" i="44"/>
  <c r="C135" i="44"/>
  <c r="C123" i="44"/>
  <c r="C122" i="44"/>
  <c r="C134" i="44"/>
  <c r="C116" i="44"/>
  <c r="C124" i="44"/>
  <c r="E117" i="44"/>
  <c r="E118" i="44"/>
  <c r="E123" i="44"/>
  <c r="E133" i="44"/>
  <c r="E131" i="44"/>
  <c r="E134" i="44"/>
  <c r="E124" i="44"/>
  <c r="C137" i="44" l="1"/>
  <c r="C147" i="44"/>
  <c r="D147" i="44" s="1"/>
  <c r="E116" i="44"/>
  <c r="C139" i="44" l="1"/>
  <c r="B65" i="56" l="1"/>
  <c r="B57" i="56"/>
  <c r="B53" i="56"/>
  <c r="B52" i="56"/>
  <c r="B51" i="56"/>
  <c r="B50" i="56"/>
  <c r="B49" i="56"/>
  <c r="B48" i="56"/>
  <c r="B47" i="56"/>
  <c r="B46" i="56"/>
  <c r="B44" i="56"/>
  <c r="B40" i="56"/>
  <c r="B36" i="56" s="1"/>
  <c r="B25" i="56"/>
  <c r="B23" i="56"/>
  <c r="B18" i="56"/>
  <c r="B17" i="56"/>
  <c r="B16" i="56"/>
  <c r="B10" i="56"/>
  <c r="B6" i="56"/>
  <c r="B5" i="56" l="1"/>
  <c r="D52" i="56" s="1"/>
  <c r="B22" i="56"/>
  <c r="B42" i="56"/>
  <c r="C51" i="56" s="1"/>
  <c r="C41" i="56"/>
  <c r="C39" i="56"/>
  <c r="C37" i="56"/>
  <c r="C40" i="56"/>
  <c r="C38" i="56"/>
  <c r="B15" i="56"/>
  <c r="D47" i="56" l="1"/>
  <c r="D48" i="56"/>
  <c r="D18" i="56"/>
  <c r="D25" i="56"/>
  <c r="D43" i="56"/>
  <c r="D45" i="56"/>
  <c r="D51" i="56"/>
  <c r="D46" i="56"/>
  <c r="D61" i="56"/>
  <c r="D17" i="56"/>
  <c r="D24" i="56"/>
  <c r="D55" i="56"/>
  <c r="D50" i="56"/>
  <c r="D37" i="56"/>
  <c r="D32" i="56"/>
  <c r="D16" i="56"/>
  <c r="D29" i="56"/>
  <c r="D63" i="56"/>
  <c r="D22" i="56"/>
  <c r="D40" i="56"/>
  <c r="D30" i="56"/>
  <c r="D69" i="56"/>
  <c r="D23" i="56"/>
  <c r="D39" i="56"/>
  <c r="D36" i="56"/>
  <c r="D34" i="56"/>
  <c r="D19" i="56"/>
  <c r="D31" i="56"/>
  <c r="D53" i="56"/>
  <c r="D65" i="56"/>
  <c r="D41" i="56"/>
  <c r="D26" i="56"/>
  <c r="D33" i="56"/>
  <c r="D49" i="56"/>
  <c r="D57" i="56"/>
  <c r="D44" i="56"/>
  <c r="D38" i="56"/>
  <c r="D35" i="56"/>
  <c r="C47" i="56"/>
  <c r="C53" i="56"/>
  <c r="C43" i="56"/>
  <c r="C48" i="56"/>
  <c r="C45" i="56"/>
  <c r="B28" i="56"/>
  <c r="D28" i="56" s="1"/>
  <c r="C46" i="56"/>
  <c r="C52" i="56"/>
  <c r="C49" i="56"/>
  <c r="C50" i="56"/>
  <c r="D42" i="56"/>
  <c r="C44" i="56"/>
  <c r="C24" i="56"/>
  <c r="B21" i="56"/>
  <c r="D15" i="56"/>
  <c r="B14" i="56" l="1"/>
  <c r="C15" i="56" s="1"/>
  <c r="B140" i="44"/>
  <c r="C23" i="56"/>
  <c r="D21" i="56"/>
  <c r="C140" i="44"/>
  <c r="C19" i="56" l="1"/>
  <c r="C30" i="56"/>
  <c r="C57" i="56"/>
  <c r="C32" i="56"/>
  <c r="C29" i="56"/>
  <c r="C34" i="56"/>
  <c r="C42" i="56"/>
  <c r="C31" i="56"/>
  <c r="C55" i="56"/>
  <c r="C36" i="56"/>
  <c r="C26" i="56"/>
  <c r="C21" i="56"/>
  <c r="C25" i="56"/>
  <c r="C33" i="56"/>
  <c r="C28" i="56"/>
  <c r="B59" i="56"/>
  <c r="D59" i="56" s="1"/>
  <c r="C35" i="56"/>
  <c r="C17" i="56"/>
  <c r="C18" i="56"/>
  <c r="C22" i="56"/>
  <c r="C16" i="56"/>
  <c r="D14" i="56"/>
  <c r="B141" i="44"/>
  <c r="C141" i="44" s="1"/>
  <c r="B67" i="56" l="1"/>
  <c r="D67" i="56" s="1"/>
  <c r="B71" i="56" l="1"/>
  <c r="D71" i="56" s="1"/>
  <c r="C71" i="56" l="1"/>
  <c r="B48" i="29"/>
  <c r="B40" i="29"/>
  <c r="B38" i="29"/>
  <c r="B36" i="29"/>
  <c r="B35" i="29"/>
  <c r="B34" i="29"/>
  <c r="B30" i="29"/>
  <c r="B28" i="29"/>
  <c r="B27" i="29"/>
  <c r="B23" i="29"/>
  <c r="B22" i="29"/>
  <c r="B18" i="29"/>
  <c r="B17" i="29"/>
  <c r="B16" i="29"/>
  <c r="B10" i="29"/>
  <c r="B6" i="29"/>
  <c r="B15" i="29" l="1"/>
  <c r="B5" i="29"/>
  <c r="B26" i="29"/>
  <c r="B21" i="29"/>
  <c r="D15" i="29" l="1"/>
  <c r="D46" i="29"/>
  <c r="D44" i="29"/>
  <c r="D48" i="29"/>
  <c r="D24" i="29"/>
  <c r="D38" i="29"/>
  <c r="D52" i="29"/>
  <c r="D17" i="29"/>
  <c r="D32" i="29"/>
  <c r="D30" i="29"/>
  <c r="D35" i="29"/>
  <c r="D31" i="29"/>
  <c r="D16" i="29"/>
  <c r="D29" i="29"/>
  <c r="D27" i="29"/>
  <c r="D33" i="29"/>
  <c r="D19" i="29"/>
  <c r="D34" i="29"/>
  <c r="D22" i="29"/>
  <c r="D40" i="29"/>
  <c r="D28" i="29"/>
  <c r="D18" i="29"/>
  <c r="D36" i="29"/>
  <c r="D23" i="29"/>
  <c r="D26" i="29"/>
  <c r="B14" i="29"/>
  <c r="D21" i="29"/>
  <c r="C33" i="29" l="1"/>
  <c r="C31" i="29"/>
  <c r="C24" i="29"/>
  <c r="D14" i="29"/>
  <c r="C34" i="29"/>
  <c r="C29" i="29"/>
  <c r="C32" i="29"/>
  <c r="C16" i="29"/>
  <c r="C36" i="29"/>
  <c r="C28" i="29"/>
  <c r="C19" i="29"/>
  <c r="C38" i="29"/>
  <c r="C23" i="29"/>
  <c r="C35" i="29"/>
  <c r="C40" i="29"/>
  <c r="B42" i="29"/>
  <c r="C27" i="29"/>
  <c r="C17" i="29"/>
  <c r="C15" i="29"/>
  <c r="C30" i="29"/>
  <c r="C22" i="29"/>
  <c r="C18" i="29"/>
  <c r="C21" i="29"/>
  <c r="C26" i="29"/>
  <c r="B50" i="29" l="1"/>
  <c r="D42" i="29"/>
  <c r="D50" i="29" l="1"/>
  <c r="B54" i="29"/>
  <c r="D54" i="29" l="1"/>
  <c r="C54" i="29"/>
  <c r="B48" i="55" l="1"/>
  <c r="B40" i="55"/>
  <c r="B38" i="55"/>
  <c r="B36" i="55"/>
  <c r="B35" i="55"/>
  <c r="B34" i="55"/>
  <c r="B31" i="55"/>
  <c r="B28" i="55"/>
  <c r="B27" i="55"/>
  <c r="B23" i="55"/>
  <c r="B22" i="55"/>
  <c r="B18" i="55"/>
  <c r="B17" i="55"/>
  <c r="B16" i="55"/>
  <c r="B10" i="55"/>
  <c r="B6" i="55"/>
  <c r="B15" i="55" l="1"/>
  <c r="B5" i="55"/>
  <c r="D30" i="55" s="1"/>
  <c r="B26" i="55"/>
  <c r="B21" i="55"/>
  <c r="D23" i="55" l="1"/>
  <c r="D38" i="55"/>
  <c r="D34" i="55"/>
  <c r="D35" i="55"/>
  <c r="D52" i="55"/>
  <c r="B14" i="55"/>
  <c r="C40" i="55" s="1"/>
  <c r="D36" i="55"/>
  <c r="D32" i="55"/>
  <c r="D40" i="55"/>
  <c r="D29" i="55"/>
  <c r="D46" i="55"/>
  <c r="D48" i="55"/>
  <c r="D22" i="55"/>
  <c r="D31" i="55"/>
  <c r="D16" i="55"/>
  <c r="D44" i="55"/>
  <c r="D27" i="55"/>
  <c r="D15" i="55"/>
  <c r="D33" i="55"/>
  <c r="D19" i="55"/>
  <c r="D24" i="55"/>
  <c r="D18" i="55"/>
  <c r="D28" i="55"/>
  <c r="D17" i="55"/>
  <c r="D21" i="55"/>
  <c r="D26" i="55"/>
  <c r="C5" i="44"/>
  <c r="C6" i="44"/>
  <c r="C7" i="44"/>
  <c r="C8" i="44"/>
  <c r="C9" i="44"/>
  <c r="C10" i="44"/>
  <c r="C11" i="44"/>
  <c r="C12" i="44"/>
  <c r="C13" i="44"/>
  <c r="C14" i="44"/>
  <c r="C15" i="44"/>
  <c r="C16" i="44"/>
  <c r="C17" i="44"/>
  <c r="C18" i="44"/>
  <c r="C19" i="44"/>
  <c r="C20" i="44"/>
  <c r="C21" i="44"/>
  <c r="C22" i="44"/>
  <c r="C23" i="44"/>
  <c r="C24" i="44"/>
  <c r="C25" i="44"/>
  <c r="C26" i="44"/>
  <c r="C27" i="44"/>
  <c r="C28" i="44"/>
  <c r="C29" i="44"/>
  <c r="C30" i="44"/>
  <c r="C31" i="44"/>
  <c r="C32" i="44"/>
  <c r="C33" i="44"/>
  <c r="C34" i="44"/>
  <c r="C35" i="44"/>
  <c r="C36" i="44"/>
  <c r="C37" i="44"/>
  <c r="C38" i="44"/>
  <c r="C39" i="44"/>
  <c r="C40" i="44"/>
  <c r="C41" i="44"/>
  <c r="C42" i="44"/>
  <c r="C43" i="44"/>
  <c r="C44" i="44"/>
  <c r="C45" i="44"/>
  <c r="C46" i="44"/>
  <c r="C47" i="44"/>
  <c r="C48" i="44"/>
  <c r="C49" i="44"/>
  <c r="C50" i="44"/>
  <c r="C51" i="44"/>
  <c r="C52" i="44"/>
  <c r="C53" i="44"/>
  <c r="C54" i="44"/>
  <c r="C55" i="44"/>
  <c r="C56" i="44"/>
  <c r="C57" i="44"/>
  <c r="C58" i="44"/>
  <c r="C59" i="44"/>
  <c r="C60" i="44"/>
  <c r="C61" i="44"/>
  <c r="C62" i="44"/>
  <c r="C63" i="44"/>
  <c r="C64" i="44"/>
  <c r="C65" i="44"/>
  <c r="C66" i="44"/>
  <c r="C67" i="44"/>
  <c r="C68" i="44"/>
  <c r="C69" i="44"/>
  <c r="C70" i="44"/>
  <c r="C71" i="44"/>
  <c r="C72" i="44"/>
  <c r="C73" i="44"/>
  <c r="C74" i="44"/>
  <c r="C75" i="44"/>
  <c r="C76" i="44"/>
  <c r="C77" i="44"/>
  <c r="C78" i="44"/>
  <c r="C79" i="44"/>
  <c r="C80" i="44"/>
  <c r="C81" i="44"/>
  <c r="C82" i="44"/>
  <c r="C83" i="44"/>
  <c r="C84" i="44"/>
  <c r="C85" i="44"/>
  <c r="C86" i="44"/>
  <c r="C87" i="44"/>
  <c r="C88" i="44"/>
  <c r="C89" i="44"/>
  <c r="C90" i="44"/>
  <c r="C91" i="44"/>
  <c r="C92" i="44"/>
  <c r="C93" i="44"/>
  <c r="C94" i="44"/>
  <c r="C95" i="44"/>
  <c r="C96" i="44"/>
  <c r="C97" i="44"/>
  <c r="C98" i="44"/>
  <c r="C99" i="44"/>
  <c r="C100" i="44"/>
  <c r="C101" i="44"/>
  <c r="C102" i="44"/>
  <c r="C103" i="44"/>
  <c r="C104" i="44"/>
  <c r="C105" i="44"/>
  <c r="C106" i="44"/>
  <c r="C107" i="44"/>
  <c r="C108" i="44"/>
  <c r="C109" i="44"/>
  <c r="C110" i="44"/>
  <c r="C111" i="44"/>
  <c r="C112" i="44"/>
  <c r="C4" i="44"/>
  <c r="H113" i="44"/>
  <c r="B138" i="44" s="1"/>
  <c r="E135" i="44"/>
  <c r="E120" i="44"/>
  <c r="E132" i="44"/>
  <c r="E122" i="44"/>
  <c r="E130" i="44"/>
  <c r="E127" i="44"/>
  <c r="E128" i="44"/>
  <c r="E121" i="44"/>
  <c r="E129" i="44"/>
  <c r="E126" i="44"/>
  <c r="E125" i="44"/>
  <c r="C138" i="44"/>
  <c r="C21" i="55" l="1"/>
  <c r="C23" i="55"/>
  <c r="C16" i="55"/>
  <c r="C26" i="55"/>
  <c r="C19" i="55"/>
  <c r="C17" i="55"/>
  <c r="C15" i="55"/>
  <c r="C32" i="55"/>
  <c r="C31" i="55"/>
  <c r="C35" i="55"/>
  <c r="C29" i="55"/>
  <c r="C18" i="55"/>
  <c r="C22" i="55"/>
  <c r="C34" i="55"/>
  <c r="B42" i="55"/>
  <c r="B50" i="55" s="1"/>
  <c r="C28" i="55"/>
  <c r="D14" i="55"/>
  <c r="C38" i="55"/>
  <c r="C30" i="55"/>
  <c r="C24" i="55"/>
  <c r="C27" i="55"/>
  <c r="C36" i="55"/>
  <c r="C33" i="55"/>
  <c r="C113" i="44"/>
  <c r="E137" i="44"/>
  <c r="D42" i="55" l="1"/>
  <c r="D50" i="55"/>
  <c r="B54" i="55"/>
  <c r="D54" i="55" l="1"/>
  <c r="C54" i="55"/>
  <c r="B145" i="44"/>
  <c r="B146" i="44"/>
  <c r="B144" i="44"/>
  <c r="C146" i="44" l="1"/>
  <c r="D146" i="44" s="1"/>
  <c r="C145" i="44"/>
  <c r="D145" i="44" s="1"/>
  <c r="C144" i="44"/>
  <c r="D144" i="44" s="1"/>
  <c r="E7" i="84" l="1"/>
  <c r="E21" i="84" s="1"/>
  <c r="E24" i="84" l="1"/>
</calcChain>
</file>

<file path=xl/comments1.xml><?xml version="1.0" encoding="utf-8"?>
<comments xmlns="http://schemas.openxmlformats.org/spreadsheetml/2006/main">
  <authors>
    <author>Ajuntament de Barcelona</author>
  </authors>
  <commentList>
    <comment ref="C116" authorId="0">
      <text>
        <r>
          <rPr>
            <b/>
            <sz val="8"/>
            <color indexed="81"/>
            <rFont val="Tahoma"/>
            <family val="2"/>
          </rPr>
          <t>Inclou hores de resp higienico sanitari</t>
        </r>
      </text>
    </comment>
  </commentList>
</comments>
</file>

<file path=xl/sharedStrings.xml><?xml version="1.0" encoding="utf-8"?>
<sst xmlns="http://schemas.openxmlformats.org/spreadsheetml/2006/main" count="351" uniqueCount="150">
  <si>
    <t>PREU UNITARI</t>
  </si>
  <si>
    <t>COMPTE DE PÈRDUES I GUANYS</t>
  </si>
  <si>
    <t>INGRESSOS</t>
  </si>
  <si>
    <t>1. IMPORT NET NEGOCIS</t>
  </si>
  <si>
    <t>a) Vendes</t>
  </si>
  <si>
    <t>b) Prestació de serveis</t>
  </si>
  <si>
    <t>5. ALTRES INGRESSOS D'EXPLOTACIÓ</t>
  </si>
  <si>
    <t>a) Ingressos accessoris</t>
  </si>
  <si>
    <t>b) Subvencions d'explotació</t>
  </si>
  <si>
    <t>DESPESES</t>
  </si>
  <si>
    <t>4. APROVISIONAMENTS</t>
  </si>
  <si>
    <t>a) Consum de mercaderies</t>
  </si>
  <si>
    <t>b) Consum de matèries primeres</t>
  </si>
  <si>
    <t>c) Treballs realitzats per altres empreses</t>
  </si>
  <si>
    <t>d) Deteriorament de mercaderies</t>
  </si>
  <si>
    <t>6. DESPESES DE PERSONAL</t>
  </si>
  <si>
    <t xml:space="preserve">a) Sous </t>
  </si>
  <si>
    <t>b) S.S.</t>
  </si>
  <si>
    <t>c) Provisions</t>
  </si>
  <si>
    <t>7. ALTRES DESPESES D'EXPLOTACIÓ</t>
  </si>
  <si>
    <t>a) Lloguer</t>
  </si>
  <si>
    <t>b) Reparacions</t>
  </si>
  <si>
    <t>c) Serveis professionals independents</t>
  </si>
  <si>
    <t>d) Transports</t>
  </si>
  <si>
    <t>e) Assegurances</t>
  </si>
  <si>
    <t>f) Serveis bancaris</t>
  </si>
  <si>
    <t>g) Publicitat i relacions públiques</t>
  </si>
  <si>
    <t>h) Subministraments</t>
  </si>
  <si>
    <t>i) Altres despeses</t>
  </si>
  <si>
    <t>8. AMORTITZACIÓ</t>
  </si>
  <si>
    <t>ALTRES RESULTATS</t>
  </si>
  <si>
    <t>RESULTAT D'EXPLOTACIÓ</t>
  </si>
  <si>
    <t>12. INGRESSOS FINANCERS</t>
  </si>
  <si>
    <t>13. DESPESES FINANCERES</t>
  </si>
  <si>
    <t>RESULTAT FINANCER</t>
  </si>
  <si>
    <t>RESULTAT ABANS D'IMPOSTOS</t>
  </si>
  <si>
    <t>17. IMPOST SOBRE BENEFICIS</t>
  </si>
  <si>
    <t>RESULTAT EXERCICI</t>
  </si>
  <si>
    <t>CUINER</t>
  </si>
  <si>
    <t>CATEGORIA</t>
  </si>
  <si>
    <t>TIPUS DE CONTRACTE</t>
  </si>
  <si>
    <t>ANTIGUITAT</t>
  </si>
  <si>
    <t>SALARI BRUT ANUAL</t>
  </si>
  <si>
    <t>COST TOTAL ANUAL DE L'EMPRESA</t>
  </si>
  <si>
    <t>METGE</t>
  </si>
  <si>
    <t>PSICÒLEG</t>
  </si>
  <si>
    <t>A.T.S./D.U.E.</t>
  </si>
  <si>
    <t>TERAPEUTA OCUPACIONAL</t>
  </si>
  <si>
    <t>FISIOTERAPEUTA</t>
  </si>
  <si>
    <t>GEROCULTOR</t>
  </si>
  <si>
    <t>Etiquetes de fila</t>
  </si>
  <si>
    <t>Total general</t>
  </si>
  <si>
    <t>(en blanc)</t>
  </si>
  <si>
    <t>TELEF. RECEPCIONISTA</t>
  </si>
  <si>
    <t>DIRECTOR/A</t>
  </si>
  <si>
    <t>CLECE</t>
  </si>
  <si>
    <t>*****Llum</t>
  </si>
  <si>
    <t>*****Gas</t>
  </si>
  <si>
    <t>*****Aigua</t>
  </si>
  <si>
    <t>*****Telèfon</t>
  </si>
  <si>
    <t>*****Despeses d'activitat</t>
  </si>
  <si>
    <t>*****Dietes i despeses de viatge</t>
  </si>
  <si>
    <t>*****Despeses diverses</t>
  </si>
  <si>
    <t>*****Material de neteja</t>
  </si>
  <si>
    <t>*****Vestuari</t>
  </si>
  <si>
    <t>*****Altres compres</t>
  </si>
  <si>
    <t>*****Material d'oficina</t>
  </si>
  <si>
    <t>*****Software / Informàtica</t>
  </si>
  <si>
    <t>*****Despeses d'estructura</t>
  </si>
  <si>
    <t>*****Impostos i taxes</t>
  </si>
  <si>
    <t>EDUCADOR SOCIAL</t>
  </si>
  <si>
    <t>OFIC.PRA.ADMINISTRATIU</t>
  </si>
  <si>
    <t>PSICOLEG</t>
  </si>
  <si>
    <t>Núm. de treballa-dors</t>
  </si>
  <si>
    <t>HORES SETMANALS (total contractades)</t>
  </si>
  <si>
    <t>AUXILIAR DE SERVEIS</t>
  </si>
  <si>
    <t>NETEJADOR/A-PLANXADORA</t>
  </si>
  <si>
    <t>TREBALLADOR  SOCIAL</t>
  </si>
  <si>
    <t>MARMITO</t>
  </si>
  <si>
    <t>AUXILIAR ADMINISTRATIU</t>
  </si>
  <si>
    <t>AJUDANT</t>
  </si>
  <si>
    <t>SUPERVISORA</t>
  </si>
  <si>
    <t>GOBERNANTA</t>
  </si>
  <si>
    <t>OFICIAL 1A MANTENIMENT</t>
  </si>
  <si>
    <t>HORES ANUALS</t>
  </si>
  <si>
    <t>S HORES ANUALS</t>
  </si>
  <si>
    <t>H LICIT ANTER</t>
  </si>
  <si>
    <t>DIF</t>
  </si>
  <si>
    <t>OK</t>
  </si>
  <si>
    <t>EQUIVAL A -0,14 TREB DE MENYS</t>
  </si>
  <si>
    <t>COMPENSAT AMB OFICIAL 1A ADM</t>
  </si>
  <si>
    <t>COMPENSAT AMB AUX ADM</t>
  </si>
  <si>
    <t>EQUIVAL A 0,25 TREB DE MÉS</t>
  </si>
  <si>
    <t>COMPENSAT AMB AUX DE SERVEIS</t>
  </si>
  <si>
    <t>COMPENSAT AMB AJUDANT</t>
  </si>
  <si>
    <t>COST SUBROGACIÓ</t>
  </si>
  <si>
    <t>COST LICITACIÓ ANTERIOR</t>
  </si>
  <si>
    <t>FORTPIENC</t>
  </si>
  <si>
    <t>j) Imputació de despeses indirectes d'estructura</t>
  </si>
  <si>
    <t>*****Sous adscrits</t>
  </si>
  <si>
    <t>*****Sous substituts</t>
  </si>
  <si>
    <t>*****Combustible</t>
  </si>
  <si>
    <t>*****Correu / Missatgeria</t>
  </si>
  <si>
    <t>EQUIVAL A 0,16 TREB DE MÉS</t>
  </si>
  <si>
    <t>EQUIVAL A -0,47 TREB DE MENYS</t>
  </si>
  <si>
    <t>EQUIVAL A -2,95 TREB DE MENYS</t>
  </si>
  <si>
    <t>COMPENSACIÓ H ENTRE CATEGORIES</t>
  </si>
  <si>
    <t>EQUIVAL A -1,45 TREB DE MENYS</t>
  </si>
  <si>
    <t>EQUIVAL A -0,25TREB DE MENYS</t>
  </si>
  <si>
    <t>COST AUDITORIA</t>
  </si>
  <si>
    <t>COMPENSAT AMB FISIO, PSICO I TERAPEUTA</t>
  </si>
  <si>
    <t>COST LICITACIÓ OBJECTIU</t>
  </si>
  <si>
    <t>ATS/DUE</t>
  </si>
  <si>
    <t>CASA BLOC</t>
  </si>
  <si>
    <t>Codi</t>
  </si>
  <si>
    <t>Descripció</t>
  </si>
  <si>
    <t>Quantitat estimada</t>
  </si>
  <si>
    <t>Preu u/t Sortida</t>
  </si>
  <si>
    <t>Import sortida</t>
  </si>
  <si>
    <t>Preu u/t  Proveïdor</t>
  </si>
  <si>
    <t>Import  Proveïdor</t>
  </si>
  <si>
    <t>Despeses per preu GLOBAL</t>
  </si>
  <si>
    <t>PREU GLOBAL</t>
  </si>
  <si>
    <t>Subtotal preu global</t>
  </si>
  <si>
    <t>Subtotal preu global proveidor</t>
  </si>
  <si>
    <t xml:space="preserve">Despeses per preu UNITARI </t>
  </si>
  <si>
    <t>Subtotal preus unitaris</t>
  </si>
  <si>
    <t>Subtotal preus unitaris proveidor</t>
  </si>
  <si>
    <t>Despeses per PROVISIONS</t>
  </si>
  <si>
    <t>IMPORT:</t>
  </si>
  <si>
    <t xml:space="preserve">IMPORT:                    </t>
  </si>
  <si>
    <t>IVA (%):</t>
  </si>
  <si>
    <t>TOTAL:</t>
  </si>
  <si>
    <t xml:space="preserve">TOTAL PROVEIDOR: </t>
  </si>
  <si>
    <t>Barcelona, en la data de signatura</t>
  </si>
  <si>
    <t>CENTRE DE DIA "CASA BLOC"</t>
  </si>
  <si>
    <t>24 MESOS</t>
  </si>
  <si>
    <t>Subtotal de provisions</t>
  </si>
  <si>
    <t>Subtotal provisions de proveidor</t>
  </si>
  <si>
    <t xml:space="preserve"> </t>
  </si>
  <si>
    <t>MANTENIMENT</t>
  </si>
  <si>
    <t>PROGRAMA ANUAL D'ACTIVITATS</t>
  </si>
  <si>
    <t>AUDITORIA TÈCNICA DE SERVEIS</t>
  </si>
  <si>
    <t>Pel període inicial del contracte: 1/6/2023 a 30/5/2025</t>
  </si>
  <si>
    <t>EXP   20230051                       ANNEX-4 BIS</t>
  </si>
  <si>
    <t>ÀPATS C.D</t>
  </si>
  <si>
    <t>PERRUQUERIA DONA</t>
  </si>
  <si>
    <t>PERRUQUERIA HOME</t>
  </si>
  <si>
    <t>PODOLOGIA</t>
  </si>
  <si>
    <r>
      <t xml:space="preserve">Les quantitats indicades en aquest annex com a preu global net així com cadascun dels preus unitaris nets determinats constitueixen la xifra màxima per sobre de la qual s'estimarà que les ofertes dels licitadors excedeixen el tipus de la licitació i, per tant, seran excloses. </t>
    </r>
    <r>
      <rPr>
        <b/>
        <sz val="10"/>
        <color theme="1"/>
        <rFont val="Verdana"/>
        <family val="2"/>
      </rPr>
      <t xml:space="preserve">Les despeses per provisions fixades en el present annex son quantitats fixes sobre les quals no es poden ofertar baixes licitatòries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</si>
</sst>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43" formatCode="_-* #,##0.00\ _€_-;\-* #,##0.00\ _€_-;_-* &quot;-&quot;??\ _€_-;_-@_-"/>
    <numFmt numFmtId="164" formatCode="#,##0.00\ &quot;€&quot;"/>
    <numFmt numFmtId="165" formatCode="_-* #,##0.00\ [$€-403]_-;\-* #,##0.00\ [$€-403]_-;_-* &quot;-&quot;??\ [$€-403]_-;_-@_-"/>
  </numFmts>
  <fonts count="27" x14ac:knownFonts="1">
    <font>
      <sz val="10"/>
      <color theme="1"/>
      <name val="Verdana"/>
      <family val="2"/>
    </font>
    <font>
      <sz val="11"/>
      <color theme="1"/>
      <name val="Calibri"/>
      <family val="2"/>
      <scheme val="minor"/>
    </font>
    <font>
      <sz val="10"/>
      <color theme="1"/>
      <name val="Verdana"/>
      <family val="2"/>
    </font>
    <font>
      <sz val="8"/>
      <name val="Verdana"/>
      <family val="2"/>
    </font>
    <font>
      <sz val="8"/>
      <name val="Arial"/>
      <family val="2"/>
    </font>
    <font>
      <b/>
      <sz val="8"/>
      <color theme="1"/>
      <name val="Verdana"/>
      <family val="2"/>
    </font>
    <font>
      <sz val="8"/>
      <color theme="1"/>
      <name val="Verdana"/>
      <family val="2"/>
    </font>
    <font>
      <sz val="8"/>
      <color rgb="FF00B050"/>
      <name val="Verdana"/>
      <family val="2"/>
    </font>
    <font>
      <sz val="10"/>
      <name val="Verdana"/>
      <family val="2"/>
    </font>
    <font>
      <b/>
      <sz val="10"/>
      <color theme="1"/>
      <name val="Verdana"/>
      <family val="2"/>
    </font>
    <font>
      <sz val="10"/>
      <color rgb="FF00B050"/>
      <name val="Verdana"/>
      <family val="2"/>
    </font>
    <font>
      <b/>
      <sz val="8"/>
      <color rgb="FF000000"/>
      <name val="Arial"/>
      <family val="2"/>
    </font>
    <font>
      <sz val="8"/>
      <color rgb="FF000000"/>
      <name val="Arial"/>
      <family val="2"/>
    </font>
    <font>
      <b/>
      <sz val="8"/>
      <name val="Arial"/>
      <family val="2"/>
    </font>
    <font>
      <sz val="8"/>
      <color theme="1"/>
      <name val="Calibri"/>
      <family val="2"/>
      <scheme val="minor"/>
    </font>
    <font>
      <b/>
      <sz val="8"/>
      <color indexed="81"/>
      <name val="Tahoma"/>
      <family val="2"/>
    </font>
    <font>
      <sz val="10"/>
      <color rgb="FF000000"/>
      <name val="Calibri"/>
      <family val="2"/>
      <scheme val="minor"/>
    </font>
    <font>
      <b/>
      <sz val="10"/>
      <color theme="1"/>
      <name val="Calibri"/>
      <family val="2"/>
      <scheme val="minor"/>
    </font>
    <font>
      <sz val="10"/>
      <name val="Arial"/>
      <family val="2"/>
    </font>
    <font>
      <b/>
      <sz val="14"/>
      <name val="Arial"/>
      <family val="2"/>
    </font>
    <font>
      <b/>
      <sz val="10"/>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8"/>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indexed="64"/>
      </patternFill>
    </fill>
    <fill>
      <patternFill patternType="solid">
        <fgColor theme="4" tint="0.79998168889431442"/>
        <bgColor theme="4" tint="0.79998168889431442"/>
      </patternFill>
    </fill>
    <fill>
      <patternFill patternType="solid">
        <fgColor theme="6" tint="0.39997558519241921"/>
        <bgColor indexed="64"/>
      </patternFill>
    </fill>
    <fill>
      <patternFill patternType="solid">
        <fgColor rgb="FF92D050"/>
        <bgColor indexed="64"/>
      </patternFill>
    </fill>
    <fill>
      <patternFill patternType="solid">
        <fgColor rgb="FF99FF33"/>
        <bgColor indexed="64"/>
      </patternFill>
    </fill>
    <fill>
      <patternFill patternType="solid">
        <fgColor indexed="5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s>
  <cellStyleXfs count="9">
    <xf numFmtId="0" fontId="0" fillId="0" borderId="0"/>
    <xf numFmtId="9" fontId="2" fillId="0" borderId="0" applyFont="0" applyFill="0" applyBorder="0" applyAlignment="0" applyProtection="0"/>
    <xf numFmtId="0" fontId="1" fillId="0" borderId="0"/>
    <xf numFmtId="44" fontId="2" fillId="0" borderId="0" applyFont="0" applyFill="0" applyBorder="0" applyAlignment="0" applyProtection="0"/>
    <xf numFmtId="43" fontId="2" fillId="0" borderId="0" applyFont="0" applyFill="0" applyBorder="0" applyAlignment="0" applyProtection="0"/>
    <xf numFmtId="0" fontId="16" fillId="0" borderId="0"/>
    <xf numFmtId="43" fontId="16" fillId="0" borderId="0" applyFont="0" applyFill="0" applyBorder="0" applyAlignment="0" applyProtection="0"/>
    <xf numFmtId="0" fontId="18" fillId="0" borderId="0"/>
    <xf numFmtId="0" fontId="18" fillId="0" borderId="0"/>
  </cellStyleXfs>
  <cellXfs count="136">
    <xf numFmtId="0" fontId="0" fillId="0" borderId="0" xfId="0"/>
    <xf numFmtId="0" fontId="5" fillId="0" borderId="0" xfId="0" applyFont="1"/>
    <xf numFmtId="0" fontId="7" fillId="0" borderId="0" xfId="0" applyFont="1"/>
    <xf numFmtId="0" fontId="8" fillId="0" borderId="0" xfId="0" applyFont="1"/>
    <xf numFmtId="0" fontId="6" fillId="0" borderId="0" xfId="0" applyFont="1"/>
    <xf numFmtId="0" fontId="9" fillId="0" borderId="0" xfId="0" applyFont="1"/>
    <xf numFmtId="0" fontId="9" fillId="0" borderId="0" xfId="0" applyNumberFormat="1" applyFont="1"/>
    <xf numFmtId="0" fontId="2" fillId="0" borderId="0" xfId="0" applyFont="1"/>
    <xf numFmtId="4" fontId="2" fillId="0" borderId="0" xfId="0" applyNumberFormat="1" applyFont="1"/>
    <xf numFmtId="0" fontId="10" fillId="0" borderId="0" xfId="0" applyFont="1"/>
    <xf numFmtId="0" fontId="2" fillId="3" borderId="0" xfId="0" applyFont="1" applyFill="1"/>
    <xf numFmtId="4" fontId="2" fillId="2" borderId="0" xfId="0" applyNumberFormat="1" applyFont="1" applyFill="1"/>
    <xf numFmtId="10" fontId="6" fillId="0" borderId="0" xfId="1" applyNumberFormat="1" applyFont="1"/>
    <xf numFmtId="4" fontId="2" fillId="3" borderId="0" xfId="0" applyNumberFormat="1" applyFont="1" applyFill="1"/>
    <xf numFmtId="0" fontId="2" fillId="4" borderId="0" xfId="0" applyFont="1" applyFill="1"/>
    <xf numFmtId="4" fontId="2" fillId="4" borderId="0" xfId="0" applyNumberFormat="1" applyFont="1" applyFill="1"/>
    <xf numFmtId="10" fontId="6" fillId="4" borderId="0" xfId="1" applyNumberFormat="1" applyFont="1" applyFill="1"/>
    <xf numFmtId="0" fontId="8" fillId="4" borderId="0" xfId="0" applyFont="1" applyFill="1"/>
    <xf numFmtId="4" fontId="8" fillId="4" borderId="0" xfId="0" applyNumberFormat="1" applyFont="1" applyFill="1"/>
    <xf numFmtId="10" fontId="3" fillId="4" borderId="0" xfId="1" applyNumberFormat="1" applyFont="1" applyFill="1"/>
    <xf numFmtId="4" fontId="8" fillId="0" borderId="0" xfId="0" applyNumberFormat="1" applyFont="1"/>
    <xf numFmtId="0" fontId="4" fillId="0" borderId="1" xfId="2" applyFont="1" applyFill="1" applyBorder="1"/>
    <xf numFmtId="2" fontId="4" fillId="0" borderId="1" xfId="2" applyNumberFormat="1" applyFont="1" applyFill="1" applyBorder="1"/>
    <xf numFmtId="14" fontId="4" fillId="0" borderId="1" xfId="2" applyNumberFormat="1" applyFont="1" applyFill="1" applyBorder="1"/>
    <xf numFmtId="164" fontId="4" fillId="0" borderId="1" xfId="2" applyNumberFormat="1" applyFont="1" applyFill="1" applyBorder="1"/>
    <xf numFmtId="2" fontId="4" fillId="0" borderId="1" xfId="2" applyNumberFormat="1" applyFont="1" applyBorder="1"/>
    <xf numFmtId="0" fontId="4" fillId="0" borderId="1" xfId="2" applyFont="1" applyBorder="1"/>
    <xf numFmtId="14" fontId="4" fillId="0" borderId="1" xfId="2" applyNumberFormat="1" applyFont="1" applyBorder="1"/>
    <xf numFmtId="164" fontId="4" fillId="0" borderId="1" xfId="2" applyNumberFormat="1" applyFont="1" applyBorder="1"/>
    <xf numFmtId="0" fontId="14" fillId="0" borderId="0" xfId="2" applyFont="1"/>
    <xf numFmtId="2" fontId="4" fillId="3" borderId="1" xfId="2" applyNumberFormat="1" applyFont="1" applyFill="1" applyBorder="1"/>
    <xf numFmtId="0" fontId="14" fillId="0" borderId="0" xfId="2" applyFont="1" applyFill="1"/>
    <xf numFmtId="2" fontId="14" fillId="0" borderId="0" xfId="2" applyNumberFormat="1" applyFont="1" applyFill="1"/>
    <xf numFmtId="10" fontId="14" fillId="0" borderId="0" xfId="2" applyNumberFormat="1" applyFont="1" applyFill="1"/>
    <xf numFmtId="2" fontId="14" fillId="0" borderId="0" xfId="2" applyNumberFormat="1" applyFont="1"/>
    <xf numFmtId="14" fontId="14" fillId="0" borderId="0" xfId="2" applyNumberFormat="1" applyFont="1"/>
    <xf numFmtId="164" fontId="14" fillId="0" borderId="0" xfId="2" applyNumberFormat="1" applyFont="1"/>
    <xf numFmtId="0" fontId="6" fillId="0" borderId="0" xfId="2" applyFont="1"/>
    <xf numFmtId="0" fontId="14" fillId="0" borderId="0" xfId="2" applyNumberFormat="1" applyFont="1"/>
    <xf numFmtId="4" fontId="6" fillId="0" borderId="1" xfId="0" applyNumberFormat="1" applyFont="1" applyBorder="1"/>
    <xf numFmtId="4" fontId="5" fillId="6" borderId="1" xfId="0" applyNumberFormat="1" applyFont="1" applyFill="1" applyBorder="1"/>
    <xf numFmtId="0" fontId="6" fillId="0" borderId="1" xfId="0" applyFont="1" applyBorder="1" applyAlignment="1">
      <alignment horizontal="left"/>
    </xf>
    <xf numFmtId="0" fontId="5" fillId="6" borderId="1" xfId="0" applyFont="1" applyFill="1" applyBorder="1" applyAlignment="1">
      <alignment horizontal="left"/>
    </xf>
    <xf numFmtId="164" fontId="5" fillId="6" borderId="1" xfId="0" applyNumberFormat="1" applyFont="1" applyFill="1" applyBorder="1" applyAlignment="1">
      <alignment horizontal="right"/>
    </xf>
    <xf numFmtId="0" fontId="6" fillId="0" borderId="1" xfId="0" pivotButton="1" applyFont="1" applyBorder="1" applyAlignment="1">
      <alignment wrapText="1"/>
    </xf>
    <xf numFmtId="4" fontId="6" fillId="0" borderId="1" xfId="2" applyNumberFormat="1" applyFont="1" applyBorder="1"/>
    <xf numFmtId="0" fontId="14" fillId="0" borderId="0" xfId="2" applyFont="1" applyAlignment="1">
      <alignment wrapText="1"/>
    </xf>
    <xf numFmtId="4" fontId="14" fillId="0" borderId="0" xfId="2" applyNumberFormat="1" applyFont="1"/>
    <xf numFmtId="164" fontId="5" fillId="6" borderId="0" xfId="0" applyNumberFormat="1" applyFont="1" applyFill="1" applyBorder="1" applyAlignment="1">
      <alignment horizontal="right"/>
    </xf>
    <xf numFmtId="4" fontId="6" fillId="0" borderId="1" xfId="0" applyNumberFormat="1" applyFont="1" applyBorder="1" applyAlignment="1">
      <alignment wrapText="1"/>
    </xf>
    <xf numFmtId="4" fontId="5" fillId="6" borderId="1" xfId="0" applyNumberFormat="1" applyFont="1" applyFill="1" applyBorder="1" applyAlignment="1">
      <alignment wrapText="1"/>
    </xf>
    <xf numFmtId="14" fontId="14" fillId="0" borderId="0" xfId="2" applyNumberFormat="1" applyFont="1" applyAlignment="1">
      <alignment wrapText="1"/>
    </xf>
    <xf numFmtId="164" fontId="14" fillId="0" borderId="0" xfId="2" applyNumberFormat="1" applyFont="1" applyAlignment="1">
      <alignment wrapText="1"/>
    </xf>
    <xf numFmtId="4" fontId="5" fillId="6" borderId="1" xfId="0" applyNumberFormat="1" applyFont="1" applyFill="1" applyBorder="1" applyAlignment="1">
      <alignment horizontal="center" wrapText="1"/>
    </xf>
    <xf numFmtId="4" fontId="6" fillId="3" borderId="1" xfId="0" applyNumberFormat="1" applyFont="1" applyFill="1" applyBorder="1"/>
    <xf numFmtId="4" fontId="6" fillId="3" borderId="1" xfId="2" applyNumberFormat="1" applyFont="1" applyFill="1" applyBorder="1"/>
    <xf numFmtId="0" fontId="5" fillId="6" borderId="0" xfId="0" applyFont="1" applyFill="1" applyBorder="1" applyAlignment="1">
      <alignment horizontal="left"/>
    </xf>
    <xf numFmtId="0" fontId="0" fillId="0" borderId="11" xfId="0" applyBorder="1" applyProtection="1">
      <protection hidden="1"/>
    </xf>
    <xf numFmtId="0" fontId="0" fillId="9" borderId="13" xfId="0" applyFill="1" applyBorder="1" applyProtection="1">
      <protection hidden="1"/>
    </xf>
    <xf numFmtId="0" fontId="0" fillId="9" borderId="0" xfId="0" applyFill="1" applyBorder="1" applyProtection="1">
      <protection hidden="1"/>
    </xf>
    <xf numFmtId="0" fontId="21" fillId="0" borderId="13" xfId="0" applyFont="1" applyFill="1" applyBorder="1" applyProtection="1">
      <protection hidden="1"/>
    </xf>
    <xf numFmtId="0" fontId="22" fillId="0" borderId="0" xfId="0" applyFont="1" applyBorder="1" applyProtection="1">
      <protection hidden="1"/>
    </xf>
    <xf numFmtId="2" fontId="22" fillId="0" borderId="0" xfId="0" applyNumberFormat="1" applyFont="1" applyBorder="1" applyProtection="1">
      <protection hidden="1"/>
    </xf>
    <xf numFmtId="0" fontId="22" fillId="0" borderId="13" xfId="0" applyFont="1" applyBorder="1" applyProtection="1">
      <protection hidden="1"/>
    </xf>
    <xf numFmtId="0" fontId="23" fillId="10" borderId="9" xfId="0" applyFont="1" applyFill="1" applyBorder="1" applyAlignment="1" applyProtection="1">
      <alignment wrapText="1"/>
      <protection hidden="1"/>
    </xf>
    <xf numFmtId="0" fontId="23" fillId="10" borderId="1" xfId="0" applyFont="1" applyFill="1" applyBorder="1" applyAlignment="1" applyProtection="1">
      <alignment vertical="center" wrapText="1"/>
      <protection hidden="1"/>
    </xf>
    <xf numFmtId="0" fontId="23" fillId="10" borderId="1" xfId="0" applyFont="1" applyFill="1" applyBorder="1" applyAlignment="1" applyProtection="1">
      <alignment horizontal="center" vertical="center" wrapText="1"/>
      <protection hidden="1"/>
    </xf>
    <xf numFmtId="2" fontId="23" fillId="10" borderId="1" xfId="0" applyNumberFormat="1" applyFont="1" applyFill="1" applyBorder="1" applyAlignment="1" applyProtection="1">
      <alignment horizontal="center" vertical="center" wrapText="1"/>
      <protection hidden="1"/>
    </xf>
    <xf numFmtId="0" fontId="23" fillId="0" borderId="9" xfId="0" quotePrefix="1" applyFont="1" applyFill="1" applyBorder="1" applyAlignment="1" applyProtection="1">
      <alignment horizontal="center" wrapText="1"/>
      <protection hidden="1"/>
    </xf>
    <xf numFmtId="0" fontId="24" fillId="5" borderId="1" xfId="0" quotePrefix="1" applyFont="1" applyFill="1" applyBorder="1" applyAlignment="1" applyProtection="1">
      <alignment wrapText="1"/>
      <protection hidden="1"/>
    </xf>
    <xf numFmtId="165" fontId="24" fillId="0" borderId="1" xfId="0" applyNumberFormat="1" applyFont="1" applyBorder="1" applyProtection="1">
      <protection hidden="1"/>
    </xf>
    <xf numFmtId="165" fontId="22" fillId="7" borderId="1" xfId="0" applyNumberFormat="1" applyFont="1" applyFill="1" applyBorder="1" applyProtection="1">
      <protection locked="0" hidden="1"/>
    </xf>
    <xf numFmtId="0" fontId="24" fillId="5" borderId="13" xfId="0" quotePrefix="1" applyFont="1" applyFill="1" applyBorder="1" applyAlignment="1" applyProtection="1">
      <alignment wrapText="1"/>
      <protection hidden="1"/>
    </xf>
    <xf numFmtId="0" fontId="24" fillId="5" borderId="0" xfId="0" quotePrefix="1" applyFont="1" applyFill="1" applyBorder="1" applyAlignment="1" applyProtection="1">
      <alignment wrapText="1"/>
      <protection hidden="1"/>
    </xf>
    <xf numFmtId="165" fontId="23" fillId="2" borderId="1" xfId="0" applyNumberFormat="1" applyFont="1" applyFill="1" applyBorder="1" applyProtection="1">
      <protection hidden="1"/>
    </xf>
    <xf numFmtId="165" fontId="23" fillId="0" borderId="0" xfId="0" applyNumberFormat="1" applyFont="1" applyBorder="1" applyAlignment="1" applyProtection="1">
      <alignment horizontal="right"/>
      <protection hidden="1"/>
    </xf>
    <xf numFmtId="165" fontId="23" fillId="0" borderId="8" xfId="0" applyNumberFormat="1" applyFont="1" applyBorder="1" applyAlignment="1" applyProtection="1">
      <alignment horizontal="right"/>
      <protection hidden="1"/>
    </xf>
    <xf numFmtId="165" fontId="23" fillId="0" borderId="0" xfId="0" applyNumberFormat="1" applyFont="1" applyBorder="1" applyProtection="1">
      <protection hidden="1"/>
    </xf>
    <xf numFmtId="165" fontId="25" fillId="0" borderId="0" xfId="0" applyNumberFormat="1" applyFont="1" applyBorder="1" applyAlignment="1" applyProtection="1">
      <alignment horizontal="right"/>
      <protection hidden="1"/>
    </xf>
    <xf numFmtId="0" fontId="23" fillId="5" borderId="13" xfId="0" quotePrefix="1" applyFont="1" applyFill="1" applyBorder="1" applyAlignment="1" applyProtection="1">
      <alignment horizontal="center" wrapText="1"/>
      <protection hidden="1"/>
    </xf>
    <xf numFmtId="165" fontId="23" fillId="0" borderId="0" xfId="0" applyNumberFormat="1" applyFont="1" applyBorder="1" applyAlignment="1" applyProtection="1">
      <alignment horizontal="center"/>
      <protection hidden="1"/>
    </xf>
    <xf numFmtId="165" fontId="23" fillId="0" borderId="8" xfId="0" applyNumberFormat="1" applyFont="1" applyBorder="1" applyAlignment="1" applyProtection="1">
      <alignment horizontal="center"/>
      <protection hidden="1"/>
    </xf>
    <xf numFmtId="165" fontId="24" fillId="0" borderId="2" xfId="0" applyNumberFormat="1" applyFont="1" applyBorder="1" applyProtection="1">
      <protection hidden="1"/>
    </xf>
    <xf numFmtId="165" fontId="0" fillId="0" borderId="0" xfId="0" applyNumberFormat="1" applyBorder="1" applyProtection="1">
      <protection hidden="1"/>
    </xf>
    <xf numFmtId="165" fontId="24" fillId="0" borderId="0" xfId="0" applyNumberFormat="1" applyFont="1" applyBorder="1" applyProtection="1">
      <protection hidden="1"/>
    </xf>
    <xf numFmtId="3" fontId="24" fillId="5" borderId="1" xfId="0" quotePrefix="1" applyNumberFormat="1" applyFont="1" applyFill="1" applyBorder="1" applyAlignment="1" applyProtection="1">
      <alignment wrapText="1"/>
      <protection hidden="1"/>
    </xf>
    <xf numFmtId="0" fontId="0" fillId="0" borderId="13" xfId="0" applyBorder="1" applyProtection="1">
      <protection hidden="1"/>
    </xf>
    <xf numFmtId="165" fontId="23" fillId="2" borderId="4" xfId="0" applyNumberFormat="1" applyFont="1" applyFill="1" applyBorder="1" applyAlignment="1" applyProtection="1">
      <protection hidden="1"/>
    </xf>
    <xf numFmtId="165" fontId="25" fillId="0" borderId="0" xfId="3" applyNumberFormat="1" applyFont="1" applyBorder="1" applyProtection="1">
      <protection hidden="1"/>
    </xf>
    <xf numFmtId="165" fontId="22" fillId="0" borderId="0" xfId="0" applyNumberFormat="1" applyFont="1" applyBorder="1" applyProtection="1">
      <protection hidden="1"/>
    </xf>
    <xf numFmtId="0" fontId="24" fillId="0" borderId="3" xfId="0" applyFont="1" applyBorder="1" applyProtection="1">
      <protection hidden="1"/>
    </xf>
    <xf numFmtId="0" fontId="22" fillId="0" borderId="4" xfId="0" applyFont="1" applyBorder="1" applyProtection="1">
      <protection hidden="1"/>
    </xf>
    <xf numFmtId="165" fontId="24" fillId="0" borderId="1" xfId="4" applyNumberFormat="1" applyFont="1" applyBorder="1" applyProtection="1">
      <protection hidden="1"/>
    </xf>
    <xf numFmtId="9" fontId="24" fillId="0" borderId="1" xfId="1" applyFont="1" applyBorder="1" applyProtection="1">
      <protection hidden="1"/>
    </xf>
    <xf numFmtId="0" fontId="22" fillId="7" borderId="1" xfId="0" applyNumberFormat="1" applyFont="1" applyFill="1" applyBorder="1" applyAlignment="1" applyProtection="1">
      <alignment horizontal="right"/>
      <protection locked="0" hidden="1"/>
    </xf>
    <xf numFmtId="165" fontId="25" fillId="0" borderId="1" xfId="0" applyNumberFormat="1" applyFont="1" applyBorder="1" applyAlignment="1" applyProtection="1">
      <alignment horizontal="left"/>
      <protection hidden="1"/>
    </xf>
    <xf numFmtId="0" fontId="23" fillId="0" borderId="0" xfId="0" applyFont="1" applyBorder="1" applyProtection="1">
      <protection hidden="1"/>
    </xf>
    <xf numFmtId="0" fontId="25" fillId="0" borderId="0" xfId="0" applyFont="1" applyBorder="1" applyProtection="1">
      <protection hidden="1"/>
    </xf>
    <xf numFmtId="165" fontId="23" fillId="0" borderId="0" xfId="4"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165" fontId="24" fillId="5" borderId="1" xfId="0" quotePrefix="1" applyNumberFormat="1" applyFont="1" applyFill="1" applyBorder="1" applyAlignment="1" applyProtection="1">
      <alignment wrapText="1"/>
      <protection hidden="1"/>
    </xf>
    <xf numFmtId="9" fontId="24" fillId="0" borderId="4" xfId="1" applyFont="1" applyBorder="1" applyProtection="1">
      <protection hidden="1"/>
    </xf>
    <xf numFmtId="165" fontId="23" fillId="2" borderId="1" xfId="4" applyNumberFormat="1" applyFont="1" applyFill="1" applyBorder="1" applyProtection="1">
      <protection hidden="1"/>
    </xf>
    <xf numFmtId="0" fontId="20" fillId="0" borderId="3" xfId="0" applyFont="1" applyBorder="1" applyProtection="1">
      <protection hidden="1"/>
    </xf>
    <xf numFmtId="0" fontId="17" fillId="0" borderId="4" xfId="0" applyFont="1" applyBorder="1" applyProtection="1">
      <protection hidden="1"/>
    </xf>
    <xf numFmtId="165" fontId="20" fillId="0" borderId="1" xfId="0" applyNumberFormat="1" applyFont="1" applyBorder="1" applyProtection="1">
      <protection hidden="1"/>
    </xf>
    <xf numFmtId="165" fontId="25" fillId="2" borderId="4" xfId="0" applyNumberFormat="1" applyFont="1" applyFill="1" applyBorder="1" applyAlignment="1" applyProtection="1">
      <alignment horizontal="right"/>
      <protection hidden="1"/>
    </xf>
    <xf numFmtId="0" fontId="24" fillId="5" borderId="7" xfId="0" quotePrefix="1" applyFont="1" applyFill="1" applyBorder="1" applyAlignment="1" applyProtection="1">
      <alignment wrapText="1"/>
      <protection hidden="1"/>
    </xf>
    <xf numFmtId="165" fontId="24" fillId="0" borderId="7" xfId="0" applyNumberFormat="1" applyFont="1" applyBorder="1" applyProtection="1">
      <protection hidden="1"/>
    </xf>
    <xf numFmtId="165" fontId="23" fillId="2" borderId="12" xfId="0" applyNumberFormat="1" applyFont="1" applyFill="1" applyBorder="1" applyProtection="1">
      <protection hidden="1"/>
    </xf>
    <xf numFmtId="3" fontId="24" fillId="5" borderId="7" xfId="0" quotePrefix="1" applyNumberFormat="1" applyFont="1" applyFill="1" applyBorder="1" applyAlignment="1" applyProtection="1">
      <alignment wrapText="1"/>
      <protection hidden="1"/>
    </xf>
    <xf numFmtId="165" fontId="24" fillId="5" borderId="7" xfId="0" quotePrefix="1" applyNumberFormat="1" applyFont="1" applyFill="1" applyBorder="1" applyAlignment="1" applyProtection="1">
      <alignment wrapText="1"/>
      <protection hidden="1"/>
    </xf>
    <xf numFmtId="165" fontId="25" fillId="2" borderId="14" xfId="3" applyNumberFormat="1" applyFont="1" applyFill="1" applyBorder="1" applyProtection="1">
      <protection hidden="1"/>
    </xf>
    <xf numFmtId="165" fontId="20" fillId="2" borderId="1" xfId="4" applyNumberFormat="1" applyFont="1" applyFill="1" applyBorder="1" applyProtection="1">
      <protection hidden="1"/>
    </xf>
    <xf numFmtId="0" fontId="0" fillId="8" borderId="0" xfId="0" applyFill="1"/>
    <xf numFmtId="0" fontId="22" fillId="0" borderId="0" xfId="0" applyFont="1" applyBorder="1" applyAlignment="1" applyProtection="1">
      <protection hidden="1"/>
    </xf>
    <xf numFmtId="0" fontId="26" fillId="0" borderId="0" xfId="0" applyFont="1" applyBorder="1" applyAlignment="1" applyProtection="1">
      <alignment horizontal="center"/>
      <protection hidden="1"/>
    </xf>
    <xf numFmtId="165" fontId="23" fillId="0" borderId="10" xfId="0" applyNumberFormat="1" applyFont="1" applyBorder="1" applyAlignment="1" applyProtection="1">
      <alignment horizontal="right"/>
      <protection hidden="1"/>
    </xf>
    <xf numFmtId="165" fontId="23" fillId="0" borderId="15" xfId="0" applyNumberFormat="1" applyFont="1" applyBorder="1" applyAlignment="1" applyProtection="1">
      <alignment horizontal="right"/>
      <protection hidden="1"/>
    </xf>
    <xf numFmtId="0" fontId="0" fillId="0" borderId="0" xfId="0" applyFont="1" applyBorder="1" applyAlignment="1" applyProtection="1">
      <alignment horizontal="left" vertical="center" wrapText="1"/>
      <protection hidden="1"/>
    </xf>
    <xf numFmtId="0" fontId="25" fillId="0" borderId="1" xfId="0" applyFont="1" applyBorder="1" applyAlignment="1" applyProtection="1">
      <alignment horizontal="left"/>
      <protection hidden="1"/>
    </xf>
    <xf numFmtId="164" fontId="13" fillId="2" borderId="7" xfId="2" applyNumberFormat="1" applyFont="1" applyFill="1" applyBorder="1" applyAlignment="1">
      <alignment horizontal="center" vertical="center" wrapText="1"/>
    </xf>
    <xf numFmtId="164" fontId="13" fillId="2" borderId="6" xfId="2" applyNumberFormat="1" applyFont="1" applyFill="1" applyBorder="1" applyAlignment="1">
      <alignment horizontal="center" vertical="center" wrapText="1"/>
    </xf>
    <xf numFmtId="164" fontId="13" fillId="2" borderId="5" xfId="2" applyNumberFormat="1" applyFont="1" applyFill="1" applyBorder="1" applyAlignment="1">
      <alignment horizontal="center" vertical="center" wrapText="1"/>
    </xf>
    <xf numFmtId="164" fontId="13" fillId="2" borderId="1" xfId="2" applyNumberFormat="1" applyFont="1" applyFill="1" applyBorder="1" applyAlignment="1">
      <alignment horizontal="center" vertical="center" wrapText="1"/>
    </xf>
    <xf numFmtId="2" fontId="13" fillId="3" borderId="1" xfId="2" applyNumberFormat="1" applyFont="1" applyFill="1" applyBorder="1" applyAlignment="1">
      <alignment horizontal="center" vertical="center" wrapText="1"/>
    </xf>
    <xf numFmtId="0" fontId="13" fillId="2" borderId="1" xfId="2" applyFont="1" applyFill="1" applyBorder="1" applyAlignment="1">
      <alignment horizontal="center" vertical="center" wrapText="1"/>
    </xf>
    <xf numFmtId="2" fontId="13" fillId="2" borderId="1" xfId="2" applyNumberFormat="1" applyFont="1" applyFill="1" applyBorder="1" applyAlignment="1">
      <alignment horizontal="center" vertical="center" wrapText="1"/>
    </xf>
    <xf numFmtId="14" fontId="13" fillId="2" borderId="1" xfId="2" applyNumberFormat="1" applyFont="1" applyFill="1" applyBorder="1" applyAlignment="1">
      <alignment horizontal="center" vertical="center" wrapText="1"/>
    </xf>
    <xf numFmtId="0" fontId="19" fillId="0" borderId="16" xfId="0" applyFont="1" applyBorder="1" applyAlignment="1" applyProtection="1">
      <protection hidden="1"/>
    </xf>
    <xf numFmtId="0" fontId="0" fillId="0" borderId="0" xfId="0" applyProtection="1">
      <protection hidden="1"/>
    </xf>
    <xf numFmtId="0" fontId="11" fillId="0" borderId="1" xfId="0" applyFont="1" applyBorder="1" applyAlignment="1" applyProtection="1">
      <alignment horizontal="left" vertical="center" wrapText="1"/>
      <protection hidden="1"/>
    </xf>
    <xf numFmtId="0" fontId="12" fillId="0" borderId="0" xfId="0" applyFont="1" applyFill="1" applyBorder="1" applyAlignment="1" applyProtection="1">
      <alignment horizontal="center" vertical="center" wrapText="1"/>
      <protection hidden="1"/>
    </xf>
    <xf numFmtId="165" fontId="23" fillId="2" borderId="4" xfId="0" applyNumberFormat="1" applyFont="1" applyFill="1" applyBorder="1" applyAlignment="1" applyProtection="1">
      <alignment horizontal="right"/>
      <protection locked="0" hidden="1"/>
    </xf>
    <xf numFmtId="165" fontId="17" fillId="0" borderId="1" xfId="0" applyNumberFormat="1" applyFont="1" applyBorder="1" applyAlignment="1" applyProtection="1">
      <alignment horizontal="left"/>
      <protection locked="0" hidden="1"/>
    </xf>
  </cellXfs>
  <cellStyles count="9">
    <cellStyle name="Coma" xfId="4" builtinId="3"/>
    <cellStyle name="Millares 2" xfId="6"/>
    <cellStyle name="Moneda" xfId="3" builtinId="4"/>
    <cellStyle name="Normal" xfId="0" builtinId="0"/>
    <cellStyle name="Normal 2" xfId="2"/>
    <cellStyle name="Normal 2 2" xfId="7"/>
    <cellStyle name="Normal 3" xfId="5"/>
    <cellStyle name="Normal 4" xfId="8"/>
    <cellStyle name="Percentatge" xfId="1" builtinId="5"/>
  </cellStyles>
  <dxfs count="7">
    <dxf>
      <alignment wrapText="1" readingOrder="0"/>
    </dxf>
    <dxf>
      <alignment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dxf>
    <dxf>
      <numFmt numFmtId="4" formatCode="#,##0.00"/>
    </dxf>
    <dxf>
      <font>
        <sz val="8"/>
      </font>
    </dxf>
    <dxf>
      <font>
        <color rgb="FF9C0006"/>
      </font>
    </dxf>
  </dxfs>
  <tableStyles count="0" defaultTableStyle="TableStyleMedium9" defaultPivotStyle="PivotStyleLight16"/>
  <colors>
    <mruColors>
      <color rgb="FFFFFF99"/>
      <color rgb="FFFF3399"/>
      <color rgb="FFFFFFCC"/>
      <color rgb="FFFF9999"/>
      <color rgb="FFCCCCFF"/>
      <color rgb="FFCCFF99"/>
      <color rgb="FFCCECFF"/>
      <color rgb="FFFFCCCC"/>
      <color rgb="FFFF99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juntament de Barcelona" refreshedDate="41785.565131249998" createdVersion="4" refreshedVersion="4" minRefreshableVersion="3" recordCount="111">
  <cacheSource type="worksheet">
    <worksheetSource ref="A1:H112" sheet="Subrog anterior plec"/>
  </cacheSource>
  <cacheFields count="8">
    <cacheField name="Núm. de treballa-dors" numFmtId="0">
      <sharedItems containsString="0" containsBlank="1" containsNumber="1" containsInteger="1" minValue="1" maxValue="109"/>
    </cacheField>
    <cacheField name="HORES SETMANALS (total contractades)" numFmtId="2">
      <sharedItems containsString="0" containsBlank="1" containsNumber="1" minValue="7" maxValue="40"/>
    </cacheField>
    <cacheField name="HORES ANUALS" numFmtId="2">
      <sharedItems containsString="0" containsBlank="1" containsNumber="1" minValue="313.60000000000002" maxValue="1792"/>
    </cacheField>
    <cacheField name="CATEGORIA" numFmtId="0">
      <sharedItems containsBlank="1" count="22">
        <m/>
        <s v="A.T.S./D.U.E."/>
        <s v="AJUDANT"/>
        <s v="AUXILIAR ADMINISTRATIU"/>
        <s v="AUXILIAR DE SERVEIS"/>
        <s v="CUINER"/>
        <s v="DIRECTOR/A"/>
        <s v="EDUCADOR SOCIAL"/>
        <s v="FISIOTERAPEUTA"/>
        <s v="GEROCULTOR"/>
        <s v="GOBERNANTA"/>
        <s v="MARMITO"/>
        <s v="METGE"/>
        <s v="NETEJADOR/A-PLANXADORA"/>
        <s v="OFIC.PRA.ADMINISTRATIU"/>
        <s v="OFICIAL 1A MANTENIMENT"/>
        <s v="PSICOLEG"/>
        <s v="SUPERVISORA"/>
        <s v="TELEF. RECEPCIONISTA"/>
        <s v="TERAPEUTA OCUPACIONAL"/>
        <s v="TREBALLADOR  SOCIAL"/>
        <s v="TREBALLADOR SOCIAL" u="1"/>
      </sharedItems>
    </cacheField>
    <cacheField name="ANTIGUITAT" numFmtId="14">
      <sharedItems containsNonDate="0" containsDate="1" containsString="0" containsBlank="1" minDate="2003-04-15T00:00:00" maxDate="2014-05-20T00:00:00"/>
    </cacheField>
    <cacheField name="TIPUS DE CONTRACTE" numFmtId="0">
      <sharedItems containsString="0" containsBlank="1" containsNumber="1" containsInteger="1" minValue="100" maxValue="541"/>
    </cacheField>
    <cacheField name="SALARI BRUT ANUAL" numFmtId="164">
      <sharedItems containsString="0" containsBlank="1" containsNumber="1" minValue="3626.2200000000003" maxValue="34134.94"/>
    </cacheField>
    <cacheField name="COST TOTAL ANUAL DE L'EMPRESA" numFmtId="164">
      <sharedItems containsString="0" containsBlank="1" containsNumber="1" minValue="4764.8530800000008" maxValue="44853.31116000000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11">
  <r>
    <m/>
    <m/>
    <m/>
    <x v="0"/>
    <m/>
    <m/>
    <m/>
    <m/>
  </r>
  <r>
    <m/>
    <m/>
    <m/>
    <x v="0"/>
    <m/>
    <m/>
    <m/>
    <m/>
  </r>
  <r>
    <n v="35"/>
    <n v="40"/>
    <n v="1792"/>
    <x v="1"/>
    <d v="2007-01-01T00:00:00"/>
    <n v="100"/>
    <n v="28883.800000000003"/>
    <n v="37953.313200000004"/>
  </r>
  <r>
    <n v="36"/>
    <n v="40"/>
    <n v="1792"/>
    <x v="1"/>
    <d v="2007-01-13T00:00:00"/>
    <n v="100"/>
    <n v="19274.900000000005"/>
    <n v="25327.218600000007"/>
  </r>
  <r>
    <n v="55"/>
    <n v="40"/>
    <n v="1792"/>
    <x v="1"/>
    <d v="2012-07-17T00:00:00"/>
    <n v="189"/>
    <n v="23544.020000000008"/>
    <n v="30936.842280000012"/>
  </r>
  <r>
    <n v="67"/>
    <n v="40"/>
    <n v="1792"/>
    <x v="1"/>
    <d v="2013-06-01T00:00:00"/>
    <n v="189"/>
    <n v="19741.460000000006"/>
    <n v="25940.278440000009"/>
  </r>
  <r>
    <n v="68"/>
    <n v="40"/>
    <n v="1792"/>
    <x v="1"/>
    <d v="2012-07-02T00:00:00"/>
    <n v="100"/>
    <n v="19741.460000000006"/>
    <n v="25940.278440000009"/>
  </r>
  <r>
    <n v="77"/>
    <n v="40"/>
    <n v="1792"/>
    <x v="1"/>
    <d v="2014-05-15T00:00:00"/>
    <n v="402"/>
    <n v="23925.860000000004"/>
    <n v="31438.580040000008"/>
  </r>
  <r>
    <n v="79"/>
    <n v="40"/>
    <n v="1792"/>
    <x v="1"/>
    <d v="2004-09-02T00:00:00"/>
    <n v="100"/>
    <n v="26101.280000000002"/>
    <n v="34297.081920000004"/>
  </r>
  <r>
    <n v="84"/>
    <n v="26.560000000000002"/>
    <n v="1189.8880000000001"/>
    <x v="1"/>
    <d v="2003-06-02T00:00:00"/>
    <n v="200"/>
    <n v="13487.32"/>
    <n v="17722.338480000002"/>
  </r>
  <r>
    <n v="100"/>
    <n v="40"/>
    <n v="1792"/>
    <x v="1"/>
    <d v="2008-02-20T00:00:00"/>
    <n v="100"/>
    <n v="19946.300000000007"/>
    <n v="26209.438200000011"/>
  </r>
  <r>
    <n v="31"/>
    <n v="20"/>
    <n v="896"/>
    <x v="2"/>
    <d v="2013-12-03T00:00:00"/>
    <n v="289"/>
    <n v="6243.12"/>
    <n v="8203.4596799999999"/>
  </r>
  <r>
    <n v="21"/>
    <n v="20"/>
    <n v="896"/>
    <x v="3"/>
    <d v="2007-01-08T00:00:00"/>
    <n v="200"/>
    <n v="7319.0599999999995"/>
    <n v="9617.2448399999994"/>
  </r>
  <r>
    <n v="2"/>
    <n v="40"/>
    <n v="1792"/>
    <x v="4"/>
    <d v="2010-03-29T00:00:00"/>
    <n v="189"/>
    <n v="19704.980000000007"/>
    <n v="25892.343720000012"/>
  </r>
  <r>
    <n v="64"/>
    <n v="40"/>
    <n v="1792"/>
    <x v="4"/>
    <d v="2006-03-15T00:00:00"/>
    <n v="100"/>
    <n v="19424.100000000002"/>
    <n v="25523.267400000004"/>
  </r>
  <r>
    <n v="23"/>
    <n v="40"/>
    <n v="1792"/>
    <x v="5"/>
    <d v="2007-10-02T00:00:00"/>
    <n v="100"/>
    <n v="22638.94"/>
    <n v="29747.567159999999"/>
  </r>
  <r>
    <n v="93"/>
    <n v="40"/>
    <n v="1792"/>
    <x v="5"/>
    <d v="2009-06-01T00:00:00"/>
    <n v="100"/>
    <n v="22632.100000000002"/>
    <n v="29738.579400000002"/>
  </r>
  <r>
    <n v="28"/>
    <n v="40"/>
    <n v="1792"/>
    <x v="6"/>
    <d v="2007-09-03T00:00:00"/>
    <n v="189"/>
    <n v="34134.94"/>
    <n v="44853.311160000005"/>
  </r>
  <r>
    <n v="9"/>
    <n v="40"/>
    <n v="1792"/>
    <x v="7"/>
    <d v="2009-02-09T00:00:00"/>
    <n v="100"/>
    <n v="17836.580000000002"/>
    <n v="23437.266120000004"/>
  </r>
  <r>
    <n v="27"/>
    <n v="40"/>
    <n v="1792"/>
    <x v="7"/>
    <d v="2007-09-21T00:00:00"/>
    <n v="189"/>
    <n v="18509"/>
    <n v="24320.826000000001"/>
  </r>
  <r>
    <n v="54"/>
    <n v="30"/>
    <n v="1344"/>
    <x v="8"/>
    <d v="2012-06-25T00:00:00"/>
    <n v="200"/>
    <n v="12963.18"/>
    <n v="17033.61852"/>
  </r>
  <r>
    <n v="73"/>
    <n v="40"/>
    <n v="1792"/>
    <x v="8"/>
    <d v="2006-02-06T00:00:00"/>
    <n v="189"/>
    <n v="18509"/>
    <n v="24320.826000000001"/>
  </r>
  <r>
    <n v="104"/>
    <n v="37.5"/>
    <n v="1680"/>
    <x v="8"/>
    <d v="2003-06-02T00:00:00"/>
    <n v="200"/>
    <n v="16913.88"/>
    <n v="22224.838320000003"/>
  </r>
  <r>
    <n v="1"/>
    <n v="40"/>
    <n v="1792"/>
    <x v="9"/>
    <d v="2007-02-28T00:00:00"/>
    <n v="100"/>
    <n v="16235.779999999999"/>
    <n v="21333.814920000001"/>
  </r>
  <r>
    <n v="3"/>
    <n v="30"/>
    <n v="1344"/>
    <x v="9"/>
    <d v="2014-01-04T00:00:00"/>
    <n v="502"/>
    <n v="11987.179999999998"/>
    <n v="15751.154519999998"/>
  </r>
  <r>
    <n v="5"/>
    <n v="40"/>
    <n v="1792"/>
    <x v="9"/>
    <d v="2003-09-04T00:00:00"/>
    <n v="100"/>
    <n v="16488.2"/>
    <n v="21665.4948"/>
  </r>
  <r>
    <n v="6"/>
    <n v="40"/>
    <n v="1792"/>
    <x v="9"/>
    <d v="2007-06-02T00:00:00"/>
    <n v="100"/>
    <n v="16235.779999999997"/>
    <n v="21333.814919999997"/>
  </r>
  <r>
    <n v="7"/>
    <n v="40"/>
    <n v="1792"/>
    <x v="9"/>
    <d v="2006-12-01T00:00:00"/>
    <n v="100"/>
    <n v="16235.779999999997"/>
    <n v="21333.814919999997"/>
  </r>
  <r>
    <n v="11"/>
    <n v="40"/>
    <n v="1792"/>
    <x v="9"/>
    <d v="2003-04-16T00:00:00"/>
    <n v="100"/>
    <n v="18807.480000000007"/>
    <n v="24713.028720000009"/>
  </r>
  <r>
    <n v="13"/>
    <n v="30"/>
    <n v="1344"/>
    <x v="9"/>
    <d v="2006-04-01T00:00:00"/>
    <n v="200"/>
    <n v="14244.64"/>
    <n v="18717.45696"/>
  </r>
  <r>
    <n v="14"/>
    <n v="40"/>
    <n v="1792"/>
    <x v="9"/>
    <d v="2007-11-30T00:00:00"/>
    <n v="100"/>
    <n v="14902.98"/>
    <n v="19582.515719999999"/>
  </r>
  <r>
    <n v="16"/>
    <n v="40"/>
    <n v="1792"/>
    <x v="9"/>
    <d v="2008-01-19T00:00:00"/>
    <n v="100"/>
    <n v="14902.98"/>
    <n v="19582.515719999999"/>
  </r>
  <r>
    <n v="18"/>
    <n v="30"/>
    <n v="1344"/>
    <x v="9"/>
    <d v="2013-12-21T00:00:00"/>
    <n v="502"/>
    <n v="11159.22"/>
    <n v="14663.21508"/>
  </r>
  <r>
    <n v="19"/>
    <n v="40"/>
    <n v="1792"/>
    <x v="9"/>
    <d v="2014-05-19T00:00:00"/>
    <n v="402"/>
    <n v="14602.98"/>
    <n v="19188.315719999999"/>
  </r>
  <r>
    <n v="20"/>
    <n v="30"/>
    <n v="1344"/>
    <x v="9"/>
    <d v="2003-06-11T00:00:00"/>
    <n v="200"/>
    <n v="14417.119999999999"/>
    <n v="18944.095679999999"/>
  </r>
  <r>
    <n v="22"/>
    <n v="40"/>
    <n v="1792"/>
    <x v="9"/>
    <d v="2007-01-10T00:00:00"/>
    <n v="100"/>
    <n v="15407.819999999998"/>
    <n v="20245.875479999999"/>
  </r>
  <r>
    <n v="24"/>
    <n v="30"/>
    <n v="1344"/>
    <x v="9"/>
    <d v="2009-03-19T00:00:00"/>
    <n v="200"/>
    <n v="11348.5"/>
    <n v="14911.929"/>
  </r>
  <r>
    <n v="25"/>
    <n v="7"/>
    <n v="313.60000000000002"/>
    <x v="9"/>
    <d v="2014-05-17T00:00:00"/>
    <n v="502"/>
    <n v="4490.7000000000007"/>
    <n v="5900.7798000000012"/>
  </r>
  <r>
    <n v="26"/>
    <n v="40"/>
    <n v="1792"/>
    <x v="9"/>
    <d v="2012-12-10T00:00:00"/>
    <n v="410"/>
    <n v="18238.260000000002"/>
    <n v="23965.073640000002"/>
  </r>
  <r>
    <n v="32"/>
    <n v="40"/>
    <n v="1792"/>
    <x v="9"/>
    <d v="2013-12-05T00:00:00"/>
    <n v="410"/>
    <n v="14602.98"/>
    <n v="19188.315719999999"/>
  </r>
  <r>
    <n v="33"/>
    <n v="40"/>
    <n v="1792"/>
    <x v="9"/>
    <d v="2004-05-22T00:00:00"/>
    <n v="100"/>
    <n v="15660.240000000002"/>
    <n v="20577.555360000002"/>
  </r>
  <r>
    <n v="34"/>
    <n v="40"/>
    <n v="1792"/>
    <x v="9"/>
    <d v="2005-01-04T00:00:00"/>
    <n v="100"/>
    <n v="14902.98"/>
    <n v="19582.515719999999"/>
  </r>
  <r>
    <n v="37"/>
    <n v="30"/>
    <n v="1344"/>
    <x v="9"/>
    <d v="2007-05-18T00:00:00"/>
    <n v="200"/>
    <n v="14244.64"/>
    <n v="18717.45696"/>
  </r>
  <r>
    <n v="38"/>
    <n v="40"/>
    <n v="1792"/>
    <x v="9"/>
    <d v="2009-08-29T00:00:00"/>
    <n v="100"/>
    <n v="15155.4"/>
    <n v="19914.195599999999"/>
  </r>
  <r>
    <n v="40"/>
    <n v="40"/>
    <n v="1792"/>
    <x v="9"/>
    <d v="2010-06-29T00:00:00"/>
    <n v="189"/>
    <n v="15155.4"/>
    <n v="19914.195599999999"/>
  </r>
  <r>
    <n v="45"/>
    <n v="40"/>
    <n v="1792"/>
    <x v="9"/>
    <d v="2007-10-30T00:00:00"/>
    <n v="100"/>
    <n v="15407.819999999998"/>
    <n v="20245.875479999999"/>
  </r>
  <r>
    <n v="46"/>
    <n v="40"/>
    <n v="1792"/>
    <x v="9"/>
    <d v="2008-02-27T00:00:00"/>
    <n v="100"/>
    <n v="15407.819999999998"/>
    <n v="20245.875479999999"/>
  </r>
  <r>
    <n v="47"/>
    <n v="40"/>
    <n v="1792"/>
    <x v="9"/>
    <d v="2011-07-22T00:00:00"/>
    <n v="100"/>
    <n v="14902.98"/>
    <n v="19582.515719999999"/>
  </r>
  <r>
    <n v="48"/>
    <n v="40"/>
    <n v="1792"/>
    <x v="9"/>
    <d v="2010-08-08T00:00:00"/>
    <n v="100"/>
    <n v="15155.4"/>
    <n v="19914.195599999999"/>
  </r>
  <r>
    <n v="50"/>
    <n v="30"/>
    <n v="1344"/>
    <x v="9"/>
    <d v="2012-06-15T00:00:00"/>
    <n v="510"/>
    <n v="11159.22"/>
    <n v="14663.21508"/>
  </r>
  <r>
    <n v="52"/>
    <n v="40"/>
    <n v="1792"/>
    <x v="9"/>
    <d v="2003-04-15T00:00:00"/>
    <n v="100"/>
    <n v="15660.240000000002"/>
    <n v="20577.555360000002"/>
  </r>
  <r>
    <n v="53"/>
    <n v="40"/>
    <n v="1792"/>
    <x v="9"/>
    <d v="2011-07-22T00:00:00"/>
    <n v="100"/>
    <n v="14902.98"/>
    <n v="19582.515719999999"/>
  </r>
  <r>
    <n v="56"/>
    <n v="40"/>
    <n v="1792"/>
    <x v="9"/>
    <d v="2006-06-08T00:00:00"/>
    <n v="100"/>
    <n v="15407.819999999998"/>
    <n v="20245.875479999999"/>
  </r>
  <r>
    <n v="57"/>
    <n v="40"/>
    <n v="1792"/>
    <x v="9"/>
    <d v="2007-12-21T00:00:00"/>
    <n v="100"/>
    <n v="15407.819999999998"/>
    <n v="20245.875479999999"/>
  </r>
  <r>
    <n v="58"/>
    <n v="30"/>
    <n v="1344"/>
    <x v="9"/>
    <d v="2011-07-22T00:00:00"/>
    <n v="200"/>
    <n v="11459.22"/>
    <n v="15057.415080000001"/>
  </r>
  <r>
    <n v="59"/>
    <n v="30"/>
    <n v="1344"/>
    <x v="9"/>
    <d v="2014-01-04T00:00:00"/>
    <n v="502"/>
    <n v="11159.22"/>
    <n v="14663.21508"/>
  </r>
  <r>
    <n v="60"/>
    <n v="40"/>
    <n v="1792"/>
    <x v="9"/>
    <d v="2003-04-16T00:00:00"/>
    <n v="100"/>
    <n v="18807.480000000007"/>
    <n v="24713.028720000009"/>
  </r>
  <r>
    <n v="61"/>
    <n v="40"/>
    <n v="1792"/>
    <x v="9"/>
    <d v="2003-04-28T00:00:00"/>
    <n v="100"/>
    <n v="18841.080000000005"/>
    <n v="24757.179120000008"/>
  </r>
  <r>
    <n v="63"/>
    <n v="30"/>
    <n v="1344"/>
    <x v="9"/>
    <d v="2005-11-04T00:00:00"/>
    <n v="200"/>
    <n v="14227.84"/>
    <n v="18695.38176"/>
  </r>
  <r>
    <n v="66"/>
    <n v="30"/>
    <n v="1344"/>
    <x v="9"/>
    <d v="2010-10-11T00:00:00"/>
    <n v="289"/>
    <n v="11648.5"/>
    <n v="15306.129000000001"/>
  </r>
  <r>
    <n v="69"/>
    <n v="30"/>
    <n v="1344"/>
    <x v="9"/>
    <d v="2013-11-30T00:00:00"/>
    <n v="502"/>
    <n v="11159.22"/>
    <n v="14663.21508"/>
  </r>
  <r>
    <n v="71"/>
    <n v="40"/>
    <n v="1792"/>
    <x v="9"/>
    <d v="2005-05-13T00:00:00"/>
    <n v="100"/>
    <n v="15660.240000000002"/>
    <n v="20577.555360000002"/>
  </r>
  <r>
    <n v="72"/>
    <n v="40"/>
    <n v="1792"/>
    <x v="9"/>
    <d v="2004-10-02T00:00:00"/>
    <n v="100"/>
    <n v="15660.240000000002"/>
    <n v="20577.555360000002"/>
  </r>
  <r>
    <n v="74"/>
    <n v="30"/>
    <n v="1344"/>
    <x v="9"/>
    <d v="2009-01-29T00:00:00"/>
    <n v="200"/>
    <n v="11648.5"/>
    <n v="15306.129000000001"/>
  </r>
  <r>
    <n v="75"/>
    <n v="30"/>
    <n v="1344"/>
    <x v="9"/>
    <d v="2009-06-26T00:00:00"/>
    <n v="200"/>
    <n v="14223.46"/>
    <n v="18689.62644"/>
  </r>
  <r>
    <n v="78"/>
    <n v="30"/>
    <n v="1344"/>
    <x v="9"/>
    <d v="2014-01-17T00:00:00"/>
    <n v="502"/>
    <n v="11159.22"/>
    <n v="14663.21508"/>
  </r>
  <r>
    <n v="81"/>
    <n v="40"/>
    <n v="1792"/>
    <x v="9"/>
    <d v="2006-06-01T00:00:00"/>
    <n v="100"/>
    <n v="15407.819999999998"/>
    <n v="20245.875479999999"/>
  </r>
  <r>
    <n v="82"/>
    <n v="40"/>
    <n v="1792"/>
    <x v="9"/>
    <d v="2014-05-10T00:00:00"/>
    <n v="402"/>
    <n v="14602.98"/>
    <n v="19188.315719999999"/>
  </r>
  <r>
    <n v="83"/>
    <n v="40"/>
    <n v="1792"/>
    <x v="9"/>
    <d v="2003-06-19T00:00:00"/>
    <n v="100"/>
    <n v="15660.240000000002"/>
    <n v="20577.555360000002"/>
  </r>
  <r>
    <n v="88"/>
    <n v="40"/>
    <n v="1792"/>
    <x v="9"/>
    <d v="2004-04-02T00:00:00"/>
    <n v="100"/>
    <n v="15660.240000000002"/>
    <n v="20577.555360000002"/>
  </r>
  <r>
    <n v="91"/>
    <n v="30"/>
    <n v="1344"/>
    <x v="9"/>
    <d v="2014-05-18T00:00:00"/>
    <n v="502"/>
    <n v="11159.22"/>
    <n v="14663.21508"/>
  </r>
  <r>
    <n v="95"/>
    <n v="40"/>
    <n v="1792"/>
    <x v="9"/>
    <d v="2003-05-31T00:00:00"/>
    <n v="100"/>
    <n v="15660.240000000002"/>
    <n v="20577.555360000002"/>
  </r>
  <r>
    <n v="96"/>
    <n v="40"/>
    <n v="1792"/>
    <x v="9"/>
    <d v="2003-09-18T00:00:00"/>
    <n v="100"/>
    <n v="15660.240000000002"/>
    <n v="20577.555360000002"/>
  </r>
  <r>
    <n v="98"/>
    <n v="40"/>
    <n v="1792"/>
    <x v="9"/>
    <d v="2004-10-01T00:00:00"/>
    <n v="100"/>
    <n v="18841.080000000005"/>
    <n v="24757.179120000008"/>
  </r>
  <r>
    <n v="99"/>
    <n v="40"/>
    <n v="1792"/>
    <x v="9"/>
    <d v="2011-05-02T00:00:00"/>
    <n v="189"/>
    <n v="15155.4"/>
    <n v="19914.195599999999"/>
  </r>
  <r>
    <n v="102"/>
    <n v="30"/>
    <n v="1344"/>
    <x v="9"/>
    <d v="2013-11-08T00:00:00"/>
    <n v="502"/>
    <n v="11159.22"/>
    <n v="14663.21508"/>
  </r>
  <r>
    <n v="105"/>
    <n v="40"/>
    <n v="1792"/>
    <x v="9"/>
    <d v="2003-06-21T00:00:00"/>
    <n v="100"/>
    <n v="19946.300000000007"/>
    <n v="26209.438200000011"/>
  </r>
  <r>
    <n v="106"/>
    <n v="40"/>
    <n v="1792"/>
    <x v="9"/>
    <d v="2006-04-01T00:00:00"/>
    <n v="100"/>
    <n v="19946.300000000007"/>
    <n v="26209.438200000011"/>
  </r>
  <r>
    <n v="107"/>
    <n v="30"/>
    <n v="1344"/>
    <x v="9"/>
    <d v="2007-06-29T00:00:00"/>
    <n v="200"/>
    <n v="19946.300000000007"/>
    <n v="26209.438200000011"/>
  </r>
  <r>
    <n v="109"/>
    <n v="40"/>
    <n v="1792"/>
    <x v="9"/>
    <d v="2014-02-28T00:00:00"/>
    <n v="402"/>
    <n v="15789"/>
    <n v="20746.745999999999"/>
  </r>
  <r>
    <n v="80"/>
    <n v="40"/>
    <n v="1792"/>
    <x v="10"/>
    <d v="2007-05-11T00:00:00"/>
    <n v="100"/>
    <n v="15911.82"/>
    <n v="20908.13148"/>
  </r>
  <r>
    <n v="17"/>
    <n v="40"/>
    <n v="1792"/>
    <x v="11"/>
    <d v="2013-12-27T00:00:00"/>
    <n v="402"/>
    <n v="13314.199999999999"/>
    <n v="17494.858799999998"/>
  </r>
  <r>
    <n v="30"/>
    <n v="40"/>
    <n v="1792"/>
    <x v="11"/>
    <d v="2012-12-29T00:00:00"/>
    <n v="100"/>
    <n v="13614.199999999999"/>
    <n v="17889.058799999999"/>
  </r>
  <r>
    <n v="51"/>
    <n v="30"/>
    <n v="1344"/>
    <x v="12"/>
    <d v="2013-01-02T00:00:00"/>
    <n v="200"/>
    <n v="22434.699999999997"/>
    <n v="29479.195799999998"/>
  </r>
  <r>
    <n v="4"/>
    <n v="40"/>
    <n v="1792"/>
    <x v="13"/>
    <d v="2003-05-31T00:00:00"/>
    <n v="100"/>
    <n v="15199.419999999998"/>
    <n v="19972.03788"/>
  </r>
  <r>
    <n v="29"/>
    <n v="40"/>
    <n v="1792"/>
    <x v="13"/>
    <d v="2009-10-30T00:00:00"/>
    <n v="410"/>
    <n v="13566.619999999999"/>
    <n v="17826.538679999998"/>
  </r>
  <r>
    <n v="39"/>
    <n v="40"/>
    <n v="1792"/>
    <x v="13"/>
    <d v="2007-10-24T00:00:00"/>
    <n v="100"/>
    <n v="14119.039999999997"/>
    <n v="18552.418559999998"/>
  </r>
  <r>
    <n v="43"/>
    <n v="40"/>
    <n v="1792"/>
    <x v="13"/>
    <d v="2003-06-05T00:00:00"/>
    <n v="100"/>
    <n v="14371.46"/>
    <n v="18884.098439999998"/>
  </r>
  <r>
    <n v="44"/>
    <n v="40"/>
    <n v="1792"/>
    <x v="13"/>
    <d v="2006-05-03T00:00:00"/>
    <n v="100"/>
    <n v="14119.039999999997"/>
    <n v="18552.418559999998"/>
  </r>
  <r>
    <n v="49"/>
    <n v="40"/>
    <n v="1792"/>
    <x v="13"/>
    <d v="2009-06-09T00:00:00"/>
    <n v="100"/>
    <n v="13866.619999999999"/>
    <n v="18220.738679999999"/>
  </r>
  <r>
    <n v="70"/>
    <n v="40"/>
    <n v="1792"/>
    <x v="13"/>
    <d v="2003-07-25T00:00:00"/>
    <n v="100"/>
    <n v="14371.46"/>
    <n v="18884.098439999998"/>
  </r>
  <r>
    <n v="76"/>
    <n v="40"/>
    <n v="1792"/>
    <x v="13"/>
    <d v="2013-08-08T00:00:00"/>
    <n v="402"/>
    <n v="13314.199999999999"/>
    <n v="17494.858799999998"/>
  </r>
  <r>
    <n v="85"/>
    <n v="40"/>
    <n v="1792"/>
    <x v="13"/>
    <d v="2003-06-19T00:00:00"/>
    <n v="100"/>
    <n v="17417.780000000002"/>
    <n v="22886.962920000005"/>
  </r>
  <r>
    <n v="86"/>
    <n v="40"/>
    <n v="1792"/>
    <x v="13"/>
    <d v="2007-03-22T00:00:00"/>
    <n v="189"/>
    <n v="14119.039999999997"/>
    <n v="18552.418559999998"/>
  </r>
  <r>
    <n v="89"/>
    <n v="30"/>
    <n v="1344"/>
    <x v="13"/>
    <d v="2007-10-18T00:00:00"/>
    <n v="200"/>
    <n v="10871.339999999998"/>
    <n v="14284.940759999998"/>
  </r>
  <r>
    <n v="90"/>
    <n v="40"/>
    <n v="1792"/>
    <x v="13"/>
    <d v="2009-12-24T00:00:00"/>
    <n v="100"/>
    <n v="13866.619999999999"/>
    <n v="18220.738679999999"/>
  </r>
  <r>
    <n v="103"/>
    <n v="40"/>
    <n v="1792"/>
    <x v="13"/>
    <d v="2003-05-21T00:00:00"/>
    <n v="100"/>
    <n v="19946.300000000007"/>
    <n v="26209.438200000011"/>
  </r>
  <r>
    <n v="108"/>
    <n v="22.5"/>
    <n v="1008"/>
    <x v="13"/>
    <d v="2013-06-05T00:00:00"/>
    <n v="502"/>
    <n v="7851.4"/>
    <n v="10316.739600000001"/>
  </r>
  <r>
    <n v="8"/>
    <n v="10"/>
    <n v="448"/>
    <x v="14"/>
    <d v="2008-02-23T00:00:00"/>
    <n v="540"/>
    <n v="3626.2200000000003"/>
    <n v="4764.8530800000008"/>
  </r>
  <r>
    <n v="65"/>
    <n v="33.799999999999997"/>
    <n v="1514.2399999999998"/>
    <x v="14"/>
    <d v="2007-01-03T00:00:00"/>
    <n v="200"/>
    <n v="13627.199999999999"/>
    <n v="17906.140800000001"/>
  </r>
  <r>
    <n v="97"/>
    <n v="40"/>
    <n v="1792"/>
    <x v="14"/>
    <d v="2003-05-14T00:00:00"/>
    <n v="100"/>
    <n v="14757.16"/>
    <n v="19390.908240000001"/>
  </r>
  <r>
    <n v="101"/>
    <n v="35"/>
    <n v="1568"/>
    <x v="14"/>
    <d v="2009-07-13T00:00:00"/>
    <n v="200"/>
    <n v="12470.84"/>
    <n v="16386.68376"/>
  </r>
  <r>
    <n v="92"/>
    <n v="40"/>
    <n v="1792"/>
    <x v="15"/>
    <d v="2004-12-23T00:00:00"/>
    <n v="100"/>
    <n v="14757.16"/>
    <n v="19390.908240000001"/>
  </r>
  <r>
    <n v="12"/>
    <n v="40"/>
    <n v="1792"/>
    <x v="16"/>
    <d v="2004-12-28T00:00:00"/>
    <n v="100"/>
    <n v="22030.14"/>
    <n v="28947.60396"/>
  </r>
  <r>
    <n v="62"/>
    <n v="40"/>
    <n v="1792"/>
    <x v="17"/>
    <d v="2003-05-31T00:00:00"/>
    <n v="100"/>
    <n v="23323.4"/>
    <n v="30646.947600000003"/>
  </r>
  <r>
    <n v="15"/>
    <n v="40"/>
    <n v="1792"/>
    <x v="18"/>
    <d v="2004-05-31T00:00:00"/>
    <n v="100"/>
    <n v="16583.84"/>
    <n v="21791.16576"/>
  </r>
  <r>
    <n v="42"/>
    <n v="32.42"/>
    <n v="1452.4159999999999"/>
    <x v="18"/>
    <d v="2014-04-03T00:00:00"/>
    <n v="541"/>
    <n v="12096.779999999999"/>
    <n v="15895.168919999998"/>
  </r>
  <r>
    <n v="87"/>
    <n v="22"/>
    <n v="985.6"/>
    <x v="18"/>
    <d v="2007-01-06T00:00:00"/>
    <n v="200"/>
    <n v="8848.94"/>
    <n v="11627.507160000001"/>
  </r>
  <r>
    <n v="41"/>
    <n v="40"/>
    <n v="1792"/>
    <x v="19"/>
    <d v="2010-10-01T00:00:00"/>
    <n v="189"/>
    <n v="17536.580000000002"/>
    <n v="23043.066120000003"/>
  </r>
  <r>
    <n v="10"/>
    <n v="40"/>
    <n v="1792"/>
    <x v="20"/>
    <d v="2014-01-08T00:00:00"/>
    <n v="402"/>
    <n v="17284.160000000003"/>
    <n v="22711.386240000007"/>
  </r>
  <r>
    <n v="94"/>
    <n v="40"/>
    <n v="1792"/>
    <x v="20"/>
    <d v="2009-02-16T00:00:00"/>
    <n v="100"/>
    <n v="17536.580000000002"/>
    <n v="23043.06612000000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ula dinàmica2" cacheId="0" applyNumberFormats="0" applyBorderFormats="0" applyFontFormats="0" applyPatternFormats="0" applyAlignmentFormats="0" applyWidthHeightFormats="1" dataCaption="Valors" updatedVersion="4" minRefreshableVersion="3" useAutoFormatting="1" itemPrintTitles="1" createdVersion="4" indent="0" outline="1" outlineData="1" multipleFieldFilters="0">
  <location ref="A115:B137" firstHeaderRow="1" firstDataRow="1" firstDataCol="1"/>
  <pivotFields count="8">
    <pivotField showAll="0"/>
    <pivotField showAll="0"/>
    <pivotField dataField="1" showAll="0"/>
    <pivotField axis="axisRow" showAll="0">
      <items count="23">
        <item x="1"/>
        <item x="2"/>
        <item x="3"/>
        <item x="4"/>
        <item x="5"/>
        <item x="6"/>
        <item x="7"/>
        <item x="8"/>
        <item x="9"/>
        <item x="10"/>
        <item x="11"/>
        <item x="12"/>
        <item x="13"/>
        <item x="14"/>
        <item x="15"/>
        <item x="16"/>
        <item x="17"/>
        <item x="18"/>
        <item x="19"/>
        <item x="20"/>
        <item m="1" x="21"/>
        <item x="0"/>
        <item t="default"/>
      </items>
    </pivotField>
    <pivotField showAll="0"/>
    <pivotField showAll="0"/>
    <pivotField showAll="0"/>
    <pivotField showAll="0"/>
  </pivotFields>
  <rowFields count="1">
    <field x="3"/>
  </rowFields>
  <rowItems count="22">
    <i>
      <x/>
    </i>
    <i>
      <x v="1"/>
    </i>
    <i>
      <x v="2"/>
    </i>
    <i>
      <x v="3"/>
    </i>
    <i>
      <x v="4"/>
    </i>
    <i>
      <x v="5"/>
    </i>
    <i>
      <x v="6"/>
    </i>
    <i>
      <x v="7"/>
    </i>
    <i>
      <x v="8"/>
    </i>
    <i>
      <x v="9"/>
    </i>
    <i>
      <x v="10"/>
    </i>
    <i>
      <x v="11"/>
    </i>
    <i>
      <x v="12"/>
    </i>
    <i>
      <x v="13"/>
    </i>
    <i>
      <x v="14"/>
    </i>
    <i>
      <x v="15"/>
    </i>
    <i>
      <x v="16"/>
    </i>
    <i>
      <x v="17"/>
    </i>
    <i>
      <x v="18"/>
    </i>
    <i>
      <x v="19"/>
    </i>
    <i>
      <x v="21"/>
    </i>
    <i t="grand">
      <x/>
    </i>
  </rowItems>
  <colItems count="1">
    <i/>
  </colItems>
  <dataFields count="1">
    <dataField name="S HORES ANUALS" fld="2" baseField="3" baseItem="0" numFmtId="4"/>
  </dataFields>
  <formats count="6">
    <format dxfId="5">
      <pivotArea type="all" dataOnly="0" outline="0" fieldPosition="0"/>
    </format>
    <format dxfId="4">
      <pivotArea outline="0" collapsedLevelsAreSubtotals="1" fieldPosition="0"/>
    </format>
    <format dxfId="3">
      <pivotArea dataOnly="0" labelOnly="1" outline="0" axis="axisValues" fieldPosition="0"/>
    </format>
    <format dxfId="2">
      <pivotArea type="all" dataOnly="0" outline="0" fieldPosition="0"/>
    </format>
    <format dxfId="1">
      <pivotArea field="3" type="button" dataOnly="0" labelOnly="1" outline="0" axis="axisRow" fieldPosition="0"/>
    </format>
    <format dxfId="0">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pageSetUpPr fitToPage="1"/>
  </sheetPr>
  <dimension ref="A1:K38"/>
  <sheetViews>
    <sheetView tabSelected="1" zoomScaleNormal="100" workbookViewId="0">
      <selection activeCell="G26" sqref="G26"/>
    </sheetView>
  </sheetViews>
  <sheetFormatPr defaultRowHeight="12.75" x14ac:dyDescent="0.2"/>
  <cols>
    <col min="1" max="1" width="25.5" customWidth="1"/>
    <col min="2" max="2" width="10.875" customWidth="1"/>
    <col min="3" max="7" width="25.5" customWidth="1"/>
  </cols>
  <sheetData>
    <row r="1" spans="1:10" ht="18" x14ac:dyDescent="0.25">
      <c r="A1" s="130" t="s">
        <v>135</v>
      </c>
      <c r="B1" s="57"/>
      <c r="C1" s="57" t="s">
        <v>143</v>
      </c>
      <c r="D1" s="57"/>
      <c r="E1" s="57" t="s">
        <v>136</v>
      </c>
      <c r="F1" s="57"/>
      <c r="G1" s="57"/>
      <c r="H1" s="131"/>
      <c r="I1" s="131"/>
      <c r="J1" s="115"/>
    </row>
    <row r="2" spans="1:10" x14ac:dyDescent="0.2">
      <c r="A2" s="58"/>
      <c r="B2" s="59"/>
      <c r="C2" s="59"/>
      <c r="D2" s="59"/>
      <c r="E2" s="59"/>
      <c r="F2" s="59"/>
      <c r="G2" s="59"/>
      <c r="H2" s="131"/>
      <c r="I2" s="131"/>
      <c r="J2" s="115"/>
    </row>
    <row r="3" spans="1:10" ht="26.25" x14ac:dyDescent="0.4">
      <c r="A3" s="60" t="s">
        <v>144</v>
      </c>
      <c r="B3" s="61"/>
      <c r="C3" s="116"/>
      <c r="D3" s="117" t="s">
        <v>113</v>
      </c>
      <c r="E3" s="62"/>
      <c r="F3" s="61"/>
      <c r="G3" s="61"/>
      <c r="H3" s="131"/>
      <c r="I3" s="131"/>
      <c r="J3" s="115"/>
    </row>
    <row r="4" spans="1:10" x14ac:dyDescent="0.2">
      <c r="A4" s="63"/>
      <c r="B4" s="61"/>
      <c r="C4" s="61"/>
      <c r="D4" s="61"/>
      <c r="E4" s="62"/>
      <c r="F4" s="61"/>
      <c r="G4" s="61"/>
      <c r="H4" s="131"/>
      <c r="I4" s="131"/>
      <c r="J4" s="115"/>
    </row>
    <row r="5" spans="1:10" x14ac:dyDescent="0.2">
      <c r="A5" s="64" t="s">
        <v>114</v>
      </c>
      <c r="B5" s="65" t="s">
        <v>115</v>
      </c>
      <c r="C5" s="66" t="s">
        <v>116</v>
      </c>
      <c r="D5" s="66" t="s">
        <v>117</v>
      </c>
      <c r="E5" s="67" t="s">
        <v>118</v>
      </c>
      <c r="F5" s="66" t="s">
        <v>119</v>
      </c>
      <c r="G5" s="66" t="s">
        <v>120</v>
      </c>
      <c r="H5" s="131"/>
      <c r="I5" s="131"/>
      <c r="J5" s="115"/>
    </row>
    <row r="6" spans="1:10" ht="13.5" thickBot="1" x14ac:dyDescent="0.25">
      <c r="A6" s="68" t="s">
        <v>121</v>
      </c>
      <c r="B6" s="69" t="s">
        <v>122</v>
      </c>
      <c r="C6" s="108">
        <v>1</v>
      </c>
      <c r="D6" s="109"/>
      <c r="E6" s="109">
        <v>817926</v>
      </c>
      <c r="F6" s="71"/>
      <c r="G6" s="70">
        <f>F6</f>
        <v>0</v>
      </c>
      <c r="H6" s="131"/>
      <c r="I6" s="131"/>
      <c r="J6" s="115"/>
    </row>
    <row r="7" spans="1:10" ht="13.5" thickBot="1" x14ac:dyDescent="0.25">
      <c r="A7" s="72"/>
      <c r="B7" s="73"/>
      <c r="C7" s="118" t="s">
        <v>123</v>
      </c>
      <c r="D7" s="119"/>
      <c r="E7" s="110">
        <f>E6</f>
        <v>817926</v>
      </c>
      <c r="F7" s="107" t="s">
        <v>124</v>
      </c>
      <c r="G7" s="74">
        <f>G6</f>
        <v>0</v>
      </c>
      <c r="H7" s="131"/>
      <c r="I7" s="131"/>
      <c r="J7" s="115"/>
    </row>
    <row r="8" spans="1:10" x14ac:dyDescent="0.2">
      <c r="A8" s="72"/>
      <c r="B8" s="73"/>
      <c r="C8" s="75"/>
      <c r="D8" s="76"/>
      <c r="E8" s="77"/>
      <c r="F8" s="78"/>
      <c r="G8" s="77"/>
      <c r="H8" s="131"/>
      <c r="I8" s="131"/>
      <c r="J8" s="115"/>
    </row>
    <row r="9" spans="1:10" x14ac:dyDescent="0.2">
      <c r="A9" s="79" t="s">
        <v>125</v>
      </c>
      <c r="B9" s="73"/>
      <c r="C9" s="80"/>
      <c r="D9" s="81"/>
      <c r="E9" s="82"/>
      <c r="F9" s="83"/>
      <c r="G9" s="84"/>
      <c r="H9" s="131"/>
      <c r="I9" s="131"/>
      <c r="J9" s="115"/>
    </row>
    <row r="10" spans="1:10" x14ac:dyDescent="0.2">
      <c r="A10" s="132" t="s">
        <v>145</v>
      </c>
      <c r="B10" s="69" t="s">
        <v>0</v>
      </c>
      <c r="C10" s="85">
        <v>18772</v>
      </c>
      <c r="D10" s="101">
        <v>6.05</v>
      </c>
      <c r="E10" s="70">
        <f>C10*D10</f>
        <v>113570.59999999999</v>
      </c>
      <c r="F10" s="71"/>
      <c r="G10" s="70">
        <f>F10*C10</f>
        <v>0</v>
      </c>
      <c r="H10" s="131"/>
      <c r="I10" s="131"/>
      <c r="J10" s="115"/>
    </row>
    <row r="11" spans="1:10" x14ac:dyDescent="0.2">
      <c r="A11" s="132" t="s">
        <v>146</v>
      </c>
      <c r="B11" s="69" t="s">
        <v>0</v>
      </c>
      <c r="C11" s="85">
        <v>720</v>
      </c>
      <c r="D11" s="101">
        <v>37.119999999999997</v>
      </c>
      <c r="E11" s="70">
        <f>C11*D11</f>
        <v>26726.399999999998</v>
      </c>
      <c r="F11" s="71"/>
      <c r="G11" s="70">
        <f t="shared" ref="G11:G13" si="0">F11*C11</f>
        <v>0</v>
      </c>
      <c r="H11" s="131"/>
      <c r="I11" s="131"/>
      <c r="J11" s="115"/>
    </row>
    <row r="12" spans="1:10" x14ac:dyDescent="0.2">
      <c r="A12" s="132" t="s">
        <v>147</v>
      </c>
      <c r="B12" s="69" t="s">
        <v>0</v>
      </c>
      <c r="C12" s="85">
        <v>192</v>
      </c>
      <c r="D12" s="101">
        <v>13.18</v>
      </c>
      <c r="E12" s="70">
        <f>C12*D12</f>
        <v>2530.56</v>
      </c>
      <c r="F12" s="71"/>
      <c r="G12" s="70">
        <f t="shared" si="0"/>
        <v>0</v>
      </c>
      <c r="H12" s="131"/>
      <c r="I12" s="131"/>
      <c r="J12" s="115"/>
    </row>
    <row r="13" spans="1:10" ht="13.5" thickBot="1" x14ac:dyDescent="0.25">
      <c r="A13" s="132" t="s">
        <v>148</v>
      </c>
      <c r="B13" s="69" t="s">
        <v>0</v>
      </c>
      <c r="C13" s="111">
        <v>912</v>
      </c>
      <c r="D13" s="112">
        <v>24.42</v>
      </c>
      <c r="E13" s="109">
        <f>C13*D13</f>
        <v>22271.040000000001</v>
      </c>
      <c r="F13" s="71"/>
      <c r="G13" s="70">
        <f t="shared" si="0"/>
        <v>0</v>
      </c>
      <c r="H13" s="131"/>
      <c r="I13" s="131"/>
      <c r="J13" s="115"/>
    </row>
    <row r="14" spans="1:10" ht="13.5" thickBot="1" x14ac:dyDescent="0.25">
      <c r="A14" s="86"/>
      <c r="B14" s="61"/>
      <c r="C14" s="118" t="s">
        <v>126</v>
      </c>
      <c r="D14" s="119"/>
      <c r="E14" s="113">
        <f>SUM(E10:E13)</f>
        <v>165098.6</v>
      </c>
      <c r="F14" s="134" t="s">
        <v>127</v>
      </c>
      <c r="G14" s="87">
        <f>SUM(G10:G13)</f>
        <v>0</v>
      </c>
      <c r="H14" s="131"/>
      <c r="I14" s="131"/>
      <c r="J14" s="115"/>
    </row>
    <row r="15" spans="1:10" x14ac:dyDescent="0.2">
      <c r="A15" s="79" t="s">
        <v>128</v>
      </c>
      <c r="B15" s="61"/>
      <c r="C15" s="75"/>
      <c r="D15" s="75"/>
      <c r="E15" s="88"/>
      <c r="F15" s="88"/>
      <c r="G15" s="88"/>
      <c r="H15" s="131"/>
      <c r="I15" s="131"/>
      <c r="J15" s="115"/>
    </row>
    <row r="16" spans="1:10" x14ac:dyDescent="0.2">
      <c r="A16" s="121" t="s">
        <v>140</v>
      </c>
      <c r="B16" s="121"/>
      <c r="C16" s="121"/>
      <c r="D16" s="121"/>
      <c r="E16" s="70">
        <v>32707.4</v>
      </c>
      <c r="F16" s="61"/>
      <c r="G16" s="89"/>
      <c r="H16" s="131"/>
      <c r="I16" s="131"/>
      <c r="J16" s="115"/>
    </row>
    <row r="17" spans="1:11" x14ac:dyDescent="0.2">
      <c r="A17" s="121" t="s">
        <v>141</v>
      </c>
      <c r="B17" s="121"/>
      <c r="C17" s="121"/>
      <c r="D17" s="121"/>
      <c r="E17" s="70">
        <v>44122.94</v>
      </c>
      <c r="F17" s="61"/>
      <c r="G17" s="89"/>
      <c r="H17" s="131"/>
      <c r="I17" s="131"/>
      <c r="J17" s="115"/>
    </row>
    <row r="18" spans="1:11" ht="13.5" thickBot="1" x14ac:dyDescent="0.25">
      <c r="A18" s="121" t="s">
        <v>142</v>
      </c>
      <c r="B18" s="121"/>
      <c r="C18" s="121"/>
      <c r="D18" s="121"/>
      <c r="E18" s="70">
        <v>26640</v>
      </c>
      <c r="F18" s="61"/>
      <c r="G18" s="89"/>
      <c r="H18" s="131"/>
      <c r="I18" s="131"/>
      <c r="J18" s="115"/>
    </row>
    <row r="19" spans="1:11" ht="13.5" thickBot="1" x14ac:dyDescent="0.25">
      <c r="A19" s="133"/>
      <c r="B19" s="61"/>
      <c r="C19" s="118" t="s">
        <v>137</v>
      </c>
      <c r="D19" s="119"/>
      <c r="E19" s="113">
        <f>SUM(E16:E18)</f>
        <v>103470.34</v>
      </c>
      <c r="F19" s="107" t="s">
        <v>138</v>
      </c>
      <c r="G19" s="87">
        <v>103470.34</v>
      </c>
      <c r="H19" s="131"/>
      <c r="I19" s="131"/>
      <c r="J19" s="115"/>
    </row>
    <row r="20" spans="1:11" x14ac:dyDescent="0.2">
      <c r="A20" s="133"/>
      <c r="B20" s="61"/>
      <c r="C20" s="80"/>
      <c r="D20" s="80"/>
      <c r="E20" s="62"/>
      <c r="F20" s="61"/>
      <c r="G20" s="89"/>
      <c r="H20" s="131"/>
      <c r="I20" s="131"/>
      <c r="J20" s="115"/>
    </row>
    <row r="21" spans="1:11" x14ac:dyDescent="0.2">
      <c r="A21" s="86"/>
      <c r="B21" s="61"/>
      <c r="C21" s="90" t="s">
        <v>129</v>
      </c>
      <c r="D21" s="91"/>
      <c r="E21" s="103">
        <f>E7+E14+E19</f>
        <v>1086494.94</v>
      </c>
      <c r="F21" s="95" t="s">
        <v>130</v>
      </c>
      <c r="G21" s="87" t="str">
        <f>IF(G7=0,"",G7+G14+G19)</f>
        <v/>
      </c>
      <c r="H21" s="131"/>
      <c r="I21" s="131"/>
      <c r="J21" s="115"/>
    </row>
    <row r="22" spans="1:11" x14ac:dyDescent="0.2">
      <c r="A22" s="86"/>
      <c r="B22" s="61"/>
      <c r="C22" s="90" t="s">
        <v>131</v>
      </c>
      <c r="D22" s="93">
        <v>0</v>
      </c>
      <c r="E22" s="92"/>
      <c r="F22" s="94"/>
      <c r="G22" s="92"/>
      <c r="H22" s="131"/>
      <c r="I22" s="131"/>
      <c r="J22" s="115"/>
    </row>
    <row r="23" spans="1:11" x14ac:dyDescent="0.2">
      <c r="A23" s="86"/>
      <c r="B23" s="61"/>
      <c r="C23" s="90" t="s">
        <v>131</v>
      </c>
      <c r="D23" s="102">
        <v>0.04</v>
      </c>
      <c r="E23" s="92">
        <v>42568.959999999999</v>
      </c>
      <c r="F23" s="94"/>
      <c r="G23" s="92"/>
      <c r="H23" s="131"/>
      <c r="I23" s="131"/>
      <c r="J23" s="115"/>
    </row>
    <row r="24" spans="1:11" x14ac:dyDescent="0.2">
      <c r="A24" s="86"/>
      <c r="B24" s="61"/>
      <c r="C24" s="104" t="s">
        <v>132</v>
      </c>
      <c r="D24" s="105"/>
      <c r="E24" s="114">
        <f>SUM(E21:E23)</f>
        <v>1129063.8999999999</v>
      </c>
      <c r="F24" s="135" t="s">
        <v>133</v>
      </c>
      <c r="G24" s="106"/>
      <c r="H24" s="131"/>
      <c r="I24" s="131"/>
      <c r="J24" s="115"/>
    </row>
    <row r="25" spans="1:11" x14ac:dyDescent="0.2">
      <c r="A25" s="86"/>
      <c r="B25" s="61"/>
      <c r="C25" s="96"/>
      <c r="D25" s="97"/>
      <c r="E25" s="98"/>
      <c r="F25" s="78"/>
      <c r="G25" s="77"/>
      <c r="H25" s="131"/>
      <c r="I25" s="131"/>
      <c r="J25" s="115"/>
    </row>
    <row r="26" spans="1:11" x14ac:dyDescent="0.2">
      <c r="A26" s="86"/>
      <c r="B26" s="99" t="s">
        <v>134</v>
      </c>
      <c r="C26" s="99"/>
      <c r="D26" s="99"/>
      <c r="E26" s="100"/>
      <c r="F26" s="99"/>
      <c r="G26" s="99"/>
      <c r="H26" s="131"/>
      <c r="I26" s="131"/>
      <c r="J26" s="115"/>
    </row>
    <row r="27" spans="1:11" x14ac:dyDescent="0.2">
      <c r="A27" s="86"/>
      <c r="B27" s="99"/>
      <c r="C27" s="99"/>
      <c r="D27" s="99"/>
      <c r="E27" s="99"/>
      <c r="F27" s="99"/>
      <c r="G27" s="99"/>
      <c r="H27" s="131"/>
      <c r="I27" s="131"/>
      <c r="J27" s="115"/>
    </row>
    <row r="28" spans="1:11" x14ac:dyDescent="0.2">
      <c r="A28" s="86"/>
      <c r="B28" s="120" t="s">
        <v>149</v>
      </c>
      <c r="C28" s="120"/>
      <c r="D28" s="120"/>
      <c r="E28" s="99"/>
      <c r="F28" s="99"/>
      <c r="G28" s="99"/>
      <c r="H28" s="131"/>
      <c r="I28" s="131"/>
      <c r="J28" s="115"/>
      <c r="K28" t="s">
        <v>139</v>
      </c>
    </row>
    <row r="29" spans="1:11" x14ac:dyDescent="0.2">
      <c r="A29" s="86"/>
      <c r="B29" s="120"/>
      <c r="C29" s="120"/>
      <c r="D29" s="120"/>
      <c r="E29" s="99"/>
      <c r="F29" s="99"/>
      <c r="G29" s="99"/>
      <c r="H29" s="131"/>
      <c r="I29" s="131"/>
      <c r="J29" s="115"/>
    </row>
    <row r="30" spans="1:11" x14ac:dyDescent="0.2">
      <c r="A30" s="86"/>
      <c r="B30" s="120"/>
      <c r="C30" s="120"/>
      <c r="D30" s="120"/>
      <c r="E30" s="99"/>
      <c r="F30" s="99"/>
      <c r="G30" s="99"/>
      <c r="H30" s="131"/>
      <c r="I30" s="131"/>
      <c r="J30" s="115"/>
    </row>
    <row r="31" spans="1:11" x14ac:dyDescent="0.2">
      <c r="A31" s="86"/>
      <c r="B31" s="120"/>
      <c r="C31" s="120"/>
      <c r="D31" s="120"/>
      <c r="E31" s="99"/>
      <c r="F31" s="99"/>
      <c r="G31" s="99"/>
      <c r="H31" s="131"/>
      <c r="I31" s="131"/>
      <c r="J31" s="115"/>
    </row>
    <row r="32" spans="1:11" x14ac:dyDescent="0.2">
      <c r="A32" s="86"/>
      <c r="B32" s="120"/>
      <c r="C32" s="120"/>
      <c r="D32" s="120"/>
      <c r="E32" s="99"/>
      <c r="F32" s="99"/>
      <c r="G32" s="99"/>
      <c r="H32" s="131"/>
      <c r="I32" s="131"/>
      <c r="J32" s="115"/>
    </row>
    <row r="33" spans="1:10" x14ac:dyDescent="0.2">
      <c r="A33" s="86"/>
      <c r="B33" s="120"/>
      <c r="C33" s="120"/>
      <c r="D33" s="120"/>
      <c r="E33" s="99"/>
      <c r="F33" s="99"/>
      <c r="G33" s="99"/>
      <c r="H33" s="131"/>
      <c r="I33" s="131"/>
      <c r="J33" s="115"/>
    </row>
    <row r="34" spans="1:10" x14ac:dyDescent="0.2">
      <c r="A34" s="86"/>
      <c r="B34" s="120"/>
      <c r="C34" s="120"/>
      <c r="D34" s="120"/>
      <c r="E34" s="99"/>
      <c r="F34" s="99"/>
      <c r="G34" s="99"/>
      <c r="H34" s="131"/>
      <c r="I34" s="131"/>
      <c r="J34" s="115"/>
    </row>
    <row r="35" spans="1:10" x14ac:dyDescent="0.2">
      <c r="A35" s="86"/>
      <c r="B35" s="120"/>
      <c r="C35" s="120"/>
      <c r="D35" s="120"/>
      <c r="E35" s="99"/>
      <c r="F35" s="99"/>
      <c r="G35" s="99"/>
      <c r="H35" s="131"/>
      <c r="I35" s="131"/>
      <c r="J35" s="115"/>
    </row>
    <row r="36" spans="1:10" x14ac:dyDescent="0.2">
      <c r="A36" s="86"/>
      <c r="B36" s="120"/>
      <c r="C36" s="120"/>
      <c r="D36" s="120"/>
      <c r="E36" s="99"/>
      <c r="F36" s="99"/>
      <c r="G36" s="99"/>
      <c r="H36" s="131"/>
      <c r="I36" s="131"/>
      <c r="J36" s="115"/>
    </row>
    <row r="37" spans="1:10" x14ac:dyDescent="0.2">
      <c r="A37" s="131"/>
      <c r="B37" s="131"/>
      <c r="C37" s="131"/>
      <c r="D37" s="131"/>
      <c r="E37" s="131"/>
      <c r="F37" s="131"/>
      <c r="G37" s="131"/>
      <c r="H37" s="131"/>
      <c r="I37" s="131"/>
      <c r="J37" s="115"/>
    </row>
    <row r="38" spans="1:10" x14ac:dyDescent="0.2">
      <c r="A38" s="115"/>
      <c r="B38" s="115"/>
      <c r="C38" s="115"/>
      <c r="D38" s="115"/>
      <c r="E38" s="115"/>
      <c r="F38" s="115"/>
      <c r="G38" s="115"/>
      <c r="H38" s="115"/>
      <c r="I38" s="115"/>
      <c r="J38" s="115"/>
    </row>
  </sheetData>
  <sheetProtection password="CED6" sheet="1" objects="1" scenarios="1"/>
  <mergeCells count="7">
    <mergeCell ref="C7:D7"/>
    <mergeCell ref="C14:D14"/>
    <mergeCell ref="C19:D19"/>
    <mergeCell ref="B28:D36"/>
    <mergeCell ref="A16:D16"/>
    <mergeCell ref="A17:D17"/>
    <mergeCell ref="A18:D18"/>
  </mergeCells>
  <pageMargins left="0.7" right="0.7" top="0.75" bottom="0.75" header="0.3" footer="0.3"/>
  <pageSetup scale="54"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L173"/>
  <sheetViews>
    <sheetView topLeftCell="A114" workbookViewId="0">
      <selection activeCell="B116" activeCellId="3" sqref="B131 B134 B123 B116"/>
    </sheetView>
  </sheetViews>
  <sheetFormatPr defaultColWidth="10" defaultRowHeight="11.25" x14ac:dyDescent="0.2"/>
  <cols>
    <col min="1" max="1" width="21.875" style="29" customWidth="1"/>
    <col min="2" max="2" width="14.625" style="34" customWidth="1"/>
    <col min="3" max="3" width="12.75" style="34" customWidth="1"/>
    <col min="4" max="4" width="19.5" style="29" bestFit="1" customWidth="1"/>
    <col min="5" max="5" width="10.5" style="35" customWidth="1"/>
    <col min="6" max="6" width="9.125" style="29" bestFit="1" customWidth="1"/>
    <col min="7" max="7" width="9.75" style="36" bestFit="1" customWidth="1"/>
    <col min="8" max="8" width="14.75" style="36" bestFit="1" customWidth="1"/>
    <col min="9" max="16384" width="10" style="29"/>
  </cols>
  <sheetData>
    <row r="1" spans="1:9" ht="29.25" customHeight="1" x14ac:dyDescent="0.2">
      <c r="A1" s="127" t="s">
        <v>73</v>
      </c>
      <c r="B1" s="128" t="s">
        <v>74</v>
      </c>
      <c r="C1" s="126" t="s">
        <v>84</v>
      </c>
      <c r="D1" s="127" t="s">
        <v>39</v>
      </c>
      <c r="E1" s="129" t="s">
        <v>41</v>
      </c>
      <c r="F1" s="127" t="s">
        <v>40</v>
      </c>
      <c r="G1" s="122" t="s">
        <v>42</v>
      </c>
      <c r="H1" s="125" t="s">
        <v>43</v>
      </c>
    </row>
    <row r="2" spans="1:9" ht="12.75" customHeight="1" x14ac:dyDescent="0.2">
      <c r="A2" s="127"/>
      <c r="B2" s="128"/>
      <c r="C2" s="126"/>
      <c r="D2" s="127"/>
      <c r="E2" s="129"/>
      <c r="F2" s="127"/>
      <c r="G2" s="123"/>
      <c r="H2" s="125"/>
    </row>
    <row r="3" spans="1:9" ht="21" customHeight="1" x14ac:dyDescent="0.2">
      <c r="A3" s="127"/>
      <c r="B3" s="128"/>
      <c r="C3" s="126"/>
      <c r="D3" s="127"/>
      <c r="E3" s="129"/>
      <c r="F3" s="127"/>
      <c r="G3" s="124"/>
      <c r="H3" s="125"/>
    </row>
    <row r="4" spans="1:9" s="31" customFormat="1" ht="12" customHeight="1" x14ac:dyDescent="0.2">
      <c r="A4" s="21">
        <v>35</v>
      </c>
      <c r="B4" s="22">
        <v>40</v>
      </c>
      <c r="C4" s="30">
        <f>B4*(365-31-96-14)/5</f>
        <v>1792</v>
      </c>
      <c r="D4" s="21" t="s">
        <v>46</v>
      </c>
      <c r="E4" s="23">
        <v>39083</v>
      </c>
      <c r="F4" s="21">
        <v>100</v>
      </c>
      <c r="G4" s="24">
        <v>28883.800000000003</v>
      </c>
      <c r="H4" s="24">
        <v>37953.313200000004</v>
      </c>
    </row>
    <row r="5" spans="1:9" s="31" customFormat="1" ht="12" customHeight="1" x14ac:dyDescent="0.2">
      <c r="A5" s="21">
        <v>36</v>
      </c>
      <c r="B5" s="22">
        <v>40</v>
      </c>
      <c r="C5" s="30">
        <f t="shared" ref="C5:C68" si="0">B5*(365-31-96-14)/5</f>
        <v>1792</v>
      </c>
      <c r="D5" s="21" t="s">
        <v>46</v>
      </c>
      <c r="E5" s="23">
        <v>39095</v>
      </c>
      <c r="F5" s="21">
        <v>100</v>
      </c>
      <c r="G5" s="24">
        <v>19274.900000000005</v>
      </c>
      <c r="H5" s="24">
        <v>25327.218600000007</v>
      </c>
    </row>
    <row r="6" spans="1:9" ht="12" customHeight="1" x14ac:dyDescent="0.2">
      <c r="A6" s="21">
        <v>55</v>
      </c>
      <c r="B6" s="25">
        <v>40</v>
      </c>
      <c r="C6" s="30">
        <f t="shared" si="0"/>
        <v>1792</v>
      </c>
      <c r="D6" s="26" t="s">
        <v>46</v>
      </c>
      <c r="E6" s="27">
        <v>41107</v>
      </c>
      <c r="F6" s="26">
        <v>189</v>
      </c>
      <c r="G6" s="24">
        <v>23544.020000000008</v>
      </c>
      <c r="H6" s="24">
        <v>30936.842280000012</v>
      </c>
      <c r="I6" s="31"/>
    </row>
    <row r="7" spans="1:9" ht="12" customHeight="1" x14ac:dyDescent="0.2">
      <c r="A7" s="21">
        <v>67</v>
      </c>
      <c r="B7" s="25">
        <v>40</v>
      </c>
      <c r="C7" s="30">
        <f t="shared" si="0"/>
        <v>1792</v>
      </c>
      <c r="D7" s="26" t="s">
        <v>46</v>
      </c>
      <c r="E7" s="27">
        <v>41426</v>
      </c>
      <c r="F7" s="26">
        <v>189</v>
      </c>
      <c r="G7" s="24">
        <v>19741.460000000006</v>
      </c>
      <c r="H7" s="24">
        <v>25940.278440000009</v>
      </c>
      <c r="I7" s="31"/>
    </row>
    <row r="8" spans="1:9" ht="12" customHeight="1" x14ac:dyDescent="0.2">
      <c r="A8" s="21">
        <v>68</v>
      </c>
      <c r="B8" s="25">
        <v>40</v>
      </c>
      <c r="C8" s="30">
        <f t="shared" si="0"/>
        <v>1792</v>
      </c>
      <c r="D8" s="26" t="s">
        <v>46</v>
      </c>
      <c r="E8" s="27">
        <v>41092</v>
      </c>
      <c r="F8" s="26">
        <v>100</v>
      </c>
      <c r="G8" s="24">
        <v>19741.460000000006</v>
      </c>
      <c r="H8" s="24">
        <v>25940.278440000009</v>
      </c>
      <c r="I8" s="31"/>
    </row>
    <row r="9" spans="1:9" ht="12" customHeight="1" x14ac:dyDescent="0.2">
      <c r="A9" s="21">
        <v>77</v>
      </c>
      <c r="B9" s="25">
        <v>40</v>
      </c>
      <c r="C9" s="30">
        <f t="shared" si="0"/>
        <v>1792</v>
      </c>
      <c r="D9" s="26" t="s">
        <v>46</v>
      </c>
      <c r="E9" s="27">
        <v>41774</v>
      </c>
      <c r="F9" s="26">
        <v>402</v>
      </c>
      <c r="G9" s="28">
        <v>23925.860000000004</v>
      </c>
      <c r="H9" s="28">
        <v>31438.580040000008</v>
      </c>
      <c r="I9" s="31"/>
    </row>
    <row r="10" spans="1:9" ht="12" customHeight="1" x14ac:dyDescent="0.2">
      <c r="A10" s="21">
        <v>79</v>
      </c>
      <c r="B10" s="25">
        <v>40</v>
      </c>
      <c r="C10" s="30">
        <f t="shared" si="0"/>
        <v>1792</v>
      </c>
      <c r="D10" s="26" t="s">
        <v>46</v>
      </c>
      <c r="E10" s="27">
        <v>38232</v>
      </c>
      <c r="F10" s="26">
        <v>100</v>
      </c>
      <c r="G10" s="24">
        <v>26101.280000000002</v>
      </c>
      <c r="H10" s="24">
        <v>34297.081920000004</v>
      </c>
      <c r="I10" s="31"/>
    </row>
    <row r="11" spans="1:9" ht="12" customHeight="1" x14ac:dyDescent="0.2">
      <c r="A11" s="21">
        <v>84</v>
      </c>
      <c r="B11" s="25">
        <v>26.560000000000002</v>
      </c>
      <c r="C11" s="30">
        <f t="shared" si="0"/>
        <v>1189.8880000000001</v>
      </c>
      <c r="D11" s="26" t="s">
        <v>46</v>
      </c>
      <c r="E11" s="27">
        <v>37774</v>
      </c>
      <c r="F11" s="26">
        <v>200</v>
      </c>
      <c r="G11" s="24">
        <v>13487.32</v>
      </c>
      <c r="H11" s="24">
        <v>17722.338480000002</v>
      </c>
      <c r="I11" s="31"/>
    </row>
    <row r="12" spans="1:9" ht="12" customHeight="1" x14ac:dyDescent="0.2">
      <c r="A12" s="21">
        <v>100</v>
      </c>
      <c r="B12" s="25">
        <v>40</v>
      </c>
      <c r="C12" s="30">
        <f t="shared" si="0"/>
        <v>1792</v>
      </c>
      <c r="D12" s="26" t="s">
        <v>46</v>
      </c>
      <c r="E12" s="27">
        <v>39498</v>
      </c>
      <c r="F12" s="26">
        <v>100</v>
      </c>
      <c r="G12" s="24">
        <v>19946.300000000007</v>
      </c>
      <c r="H12" s="24">
        <v>26209.438200000011</v>
      </c>
      <c r="I12" s="31"/>
    </row>
    <row r="13" spans="1:9" s="31" customFormat="1" ht="12" customHeight="1" x14ac:dyDescent="0.2">
      <c r="A13" s="21">
        <v>31</v>
      </c>
      <c r="B13" s="22">
        <v>20</v>
      </c>
      <c r="C13" s="30">
        <f t="shared" si="0"/>
        <v>896</v>
      </c>
      <c r="D13" s="21" t="s">
        <v>80</v>
      </c>
      <c r="E13" s="23">
        <v>41611</v>
      </c>
      <c r="F13" s="21">
        <v>289</v>
      </c>
      <c r="G13" s="24">
        <v>6243.12</v>
      </c>
      <c r="H13" s="24">
        <v>8203.4596799999999</v>
      </c>
    </row>
    <row r="14" spans="1:9" s="31" customFormat="1" ht="12" customHeight="1" x14ac:dyDescent="0.2">
      <c r="A14" s="21">
        <v>21</v>
      </c>
      <c r="B14" s="22">
        <v>20</v>
      </c>
      <c r="C14" s="30">
        <f t="shared" si="0"/>
        <v>896</v>
      </c>
      <c r="D14" s="21" t="s">
        <v>79</v>
      </c>
      <c r="E14" s="23">
        <v>39090</v>
      </c>
      <c r="F14" s="21">
        <v>200</v>
      </c>
      <c r="G14" s="24">
        <v>7319.0599999999995</v>
      </c>
      <c r="H14" s="24">
        <v>9617.2448399999994</v>
      </c>
    </row>
    <row r="15" spans="1:9" s="31" customFormat="1" x14ac:dyDescent="0.2">
      <c r="A15" s="21">
        <v>2</v>
      </c>
      <c r="B15" s="22">
        <v>40</v>
      </c>
      <c r="C15" s="30">
        <f t="shared" si="0"/>
        <v>1792</v>
      </c>
      <c r="D15" s="21" t="s">
        <v>75</v>
      </c>
      <c r="E15" s="23">
        <v>40266</v>
      </c>
      <c r="F15" s="21">
        <v>189</v>
      </c>
      <c r="G15" s="24">
        <v>19704.980000000007</v>
      </c>
      <c r="H15" s="24">
        <v>25892.343720000012</v>
      </c>
    </row>
    <row r="16" spans="1:9" ht="12" customHeight="1" x14ac:dyDescent="0.2">
      <c r="A16" s="21">
        <v>64</v>
      </c>
      <c r="B16" s="25">
        <v>40</v>
      </c>
      <c r="C16" s="30">
        <f t="shared" si="0"/>
        <v>1792</v>
      </c>
      <c r="D16" s="26" t="s">
        <v>75</v>
      </c>
      <c r="E16" s="27">
        <v>38791</v>
      </c>
      <c r="F16" s="26">
        <v>100</v>
      </c>
      <c r="G16" s="24">
        <v>19424.100000000002</v>
      </c>
      <c r="H16" s="24">
        <v>25523.267400000004</v>
      </c>
      <c r="I16" s="31"/>
    </row>
    <row r="17" spans="1:12" s="31" customFormat="1" ht="12" customHeight="1" x14ac:dyDescent="0.2">
      <c r="A17" s="21">
        <v>23</v>
      </c>
      <c r="B17" s="22">
        <v>40</v>
      </c>
      <c r="C17" s="30">
        <f t="shared" si="0"/>
        <v>1792</v>
      </c>
      <c r="D17" s="21" t="s">
        <v>38</v>
      </c>
      <c r="E17" s="23">
        <v>39357</v>
      </c>
      <c r="F17" s="21">
        <v>100</v>
      </c>
      <c r="G17" s="24">
        <v>22638.94</v>
      </c>
      <c r="H17" s="24">
        <v>29747.567159999999</v>
      </c>
    </row>
    <row r="18" spans="1:12" ht="12" customHeight="1" x14ac:dyDescent="0.2">
      <c r="A18" s="21">
        <v>93</v>
      </c>
      <c r="B18" s="25">
        <v>40</v>
      </c>
      <c r="C18" s="30">
        <f t="shared" si="0"/>
        <v>1792</v>
      </c>
      <c r="D18" s="26" t="s">
        <v>38</v>
      </c>
      <c r="E18" s="27">
        <v>39965</v>
      </c>
      <c r="F18" s="26">
        <v>100</v>
      </c>
      <c r="G18" s="24">
        <v>22632.100000000002</v>
      </c>
      <c r="H18" s="24">
        <v>29738.579400000002</v>
      </c>
      <c r="I18" s="31"/>
    </row>
    <row r="19" spans="1:12" s="31" customFormat="1" ht="12" customHeight="1" x14ac:dyDescent="0.2">
      <c r="A19" s="21">
        <v>28</v>
      </c>
      <c r="B19" s="22">
        <v>40</v>
      </c>
      <c r="C19" s="30">
        <f t="shared" si="0"/>
        <v>1792</v>
      </c>
      <c r="D19" s="21" t="s">
        <v>54</v>
      </c>
      <c r="E19" s="23">
        <v>39328</v>
      </c>
      <c r="F19" s="21">
        <v>189</v>
      </c>
      <c r="G19" s="24">
        <v>34134.94</v>
      </c>
      <c r="H19" s="24">
        <v>44853.311160000005</v>
      </c>
    </row>
    <row r="20" spans="1:12" s="31" customFormat="1" ht="12.75" customHeight="1" x14ac:dyDescent="0.2">
      <c r="A20" s="21">
        <v>9</v>
      </c>
      <c r="B20" s="22">
        <v>40</v>
      </c>
      <c r="C20" s="30">
        <f t="shared" si="0"/>
        <v>1792</v>
      </c>
      <c r="D20" s="21" t="s">
        <v>70</v>
      </c>
      <c r="E20" s="23">
        <v>39853</v>
      </c>
      <c r="F20" s="21">
        <v>100</v>
      </c>
      <c r="G20" s="24">
        <v>17836.580000000002</v>
      </c>
      <c r="H20" s="24">
        <v>23437.266120000004</v>
      </c>
    </row>
    <row r="21" spans="1:12" s="31" customFormat="1" ht="12" customHeight="1" x14ac:dyDescent="0.2">
      <c r="A21" s="21">
        <v>27</v>
      </c>
      <c r="B21" s="22">
        <v>40</v>
      </c>
      <c r="C21" s="30">
        <f t="shared" si="0"/>
        <v>1792</v>
      </c>
      <c r="D21" s="21" t="s">
        <v>70</v>
      </c>
      <c r="E21" s="23">
        <v>39346</v>
      </c>
      <c r="F21" s="21">
        <v>189</v>
      </c>
      <c r="G21" s="24">
        <v>18509</v>
      </c>
      <c r="H21" s="24">
        <v>24320.826000000001</v>
      </c>
    </row>
    <row r="22" spans="1:12" ht="12" customHeight="1" x14ac:dyDescent="0.2">
      <c r="A22" s="21">
        <v>54</v>
      </c>
      <c r="B22" s="25">
        <v>30</v>
      </c>
      <c r="C22" s="30">
        <f t="shared" si="0"/>
        <v>1344</v>
      </c>
      <c r="D22" s="26" t="s">
        <v>48</v>
      </c>
      <c r="E22" s="27">
        <v>41085</v>
      </c>
      <c r="F22" s="26">
        <v>200</v>
      </c>
      <c r="G22" s="28">
        <v>12963.18</v>
      </c>
      <c r="H22" s="28">
        <v>17033.61852</v>
      </c>
      <c r="I22" s="31"/>
    </row>
    <row r="23" spans="1:12" ht="12" customHeight="1" x14ac:dyDescent="0.2">
      <c r="A23" s="21">
        <v>73</v>
      </c>
      <c r="B23" s="25">
        <v>40</v>
      </c>
      <c r="C23" s="30">
        <f t="shared" si="0"/>
        <v>1792</v>
      </c>
      <c r="D23" s="26" t="s">
        <v>48</v>
      </c>
      <c r="E23" s="27">
        <v>38754</v>
      </c>
      <c r="F23" s="26">
        <v>189</v>
      </c>
      <c r="G23" s="28">
        <v>18509</v>
      </c>
      <c r="H23" s="28">
        <v>24320.826000000001</v>
      </c>
      <c r="I23" s="31"/>
    </row>
    <row r="24" spans="1:12" ht="12" customHeight="1" x14ac:dyDescent="0.2">
      <c r="A24" s="21">
        <v>104</v>
      </c>
      <c r="B24" s="25">
        <v>37.5</v>
      </c>
      <c r="C24" s="30">
        <f t="shared" si="0"/>
        <v>1680</v>
      </c>
      <c r="D24" s="26" t="s">
        <v>48</v>
      </c>
      <c r="E24" s="27">
        <v>37774</v>
      </c>
      <c r="F24" s="26">
        <v>200</v>
      </c>
      <c r="G24" s="28">
        <v>16913.88</v>
      </c>
      <c r="H24" s="28">
        <v>22224.838320000003</v>
      </c>
      <c r="I24" s="31"/>
    </row>
    <row r="25" spans="1:12" s="31" customFormat="1" x14ac:dyDescent="0.2">
      <c r="A25" s="21">
        <v>1</v>
      </c>
      <c r="B25" s="22">
        <v>40</v>
      </c>
      <c r="C25" s="30">
        <f t="shared" si="0"/>
        <v>1792</v>
      </c>
      <c r="D25" s="21" t="s">
        <v>49</v>
      </c>
      <c r="E25" s="23">
        <v>39141</v>
      </c>
      <c r="F25" s="21">
        <v>100</v>
      </c>
      <c r="G25" s="24">
        <v>16235.779999999999</v>
      </c>
      <c r="H25" s="24">
        <v>21333.814920000001</v>
      </c>
      <c r="J25" s="32"/>
    </row>
    <row r="26" spans="1:12" s="31" customFormat="1" x14ac:dyDescent="0.2">
      <c r="A26" s="21">
        <v>3</v>
      </c>
      <c r="B26" s="22">
        <v>30</v>
      </c>
      <c r="C26" s="30">
        <f t="shared" si="0"/>
        <v>1344</v>
      </c>
      <c r="D26" s="21" t="s">
        <v>49</v>
      </c>
      <c r="E26" s="23">
        <v>41643</v>
      </c>
      <c r="F26" s="21">
        <v>502</v>
      </c>
      <c r="G26" s="24">
        <v>11987.179999999998</v>
      </c>
      <c r="H26" s="24">
        <v>15751.154519999998</v>
      </c>
    </row>
    <row r="27" spans="1:12" s="31" customFormat="1" x14ac:dyDescent="0.2">
      <c r="A27" s="21">
        <v>5</v>
      </c>
      <c r="B27" s="22">
        <v>40</v>
      </c>
      <c r="C27" s="30">
        <f t="shared" si="0"/>
        <v>1792</v>
      </c>
      <c r="D27" s="21" t="s">
        <v>49</v>
      </c>
      <c r="E27" s="23">
        <v>37868</v>
      </c>
      <c r="F27" s="21">
        <v>100</v>
      </c>
      <c r="G27" s="24">
        <v>16488.2</v>
      </c>
      <c r="H27" s="24">
        <v>21665.4948</v>
      </c>
    </row>
    <row r="28" spans="1:12" s="31" customFormat="1" x14ac:dyDescent="0.2">
      <c r="A28" s="21">
        <v>6</v>
      </c>
      <c r="B28" s="22">
        <v>40</v>
      </c>
      <c r="C28" s="30">
        <f t="shared" si="0"/>
        <v>1792</v>
      </c>
      <c r="D28" s="21" t="s">
        <v>49</v>
      </c>
      <c r="E28" s="23">
        <v>39235</v>
      </c>
      <c r="F28" s="21">
        <v>100</v>
      </c>
      <c r="G28" s="24">
        <v>16235.779999999997</v>
      </c>
      <c r="H28" s="24">
        <v>21333.814919999997</v>
      </c>
      <c r="L28" s="33"/>
    </row>
    <row r="29" spans="1:12" s="31" customFormat="1" x14ac:dyDescent="0.2">
      <c r="A29" s="21">
        <v>7</v>
      </c>
      <c r="B29" s="22">
        <v>40</v>
      </c>
      <c r="C29" s="30">
        <f t="shared" si="0"/>
        <v>1792</v>
      </c>
      <c r="D29" s="21" t="s">
        <v>49</v>
      </c>
      <c r="E29" s="23">
        <v>39052</v>
      </c>
      <c r="F29" s="21">
        <v>100</v>
      </c>
      <c r="G29" s="24">
        <v>16235.779999999997</v>
      </c>
      <c r="H29" s="24">
        <v>21333.814919999997</v>
      </c>
    </row>
    <row r="30" spans="1:12" s="31" customFormat="1" x14ac:dyDescent="0.2">
      <c r="A30" s="21">
        <v>11</v>
      </c>
      <c r="B30" s="22">
        <v>40</v>
      </c>
      <c r="C30" s="30">
        <f t="shared" si="0"/>
        <v>1792</v>
      </c>
      <c r="D30" s="21" t="s">
        <v>49</v>
      </c>
      <c r="E30" s="23">
        <v>37727</v>
      </c>
      <c r="F30" s="21">
        <v>100</v>
      </c>
      <c r="G30" s="24">
        <v>18807.480000000007</v>
      </c>
      <c r="H30" s="24">
        <v>24713.028720000009</v>
      </c>
    </row>
    <row r="31" spans="1:12" s="31" customFormat="1" x14ac:dyDescent="0.2">
      <c r="A31" s="21">
        <v>13</v>
      </c>
      <c r="B31" s="22">
        <v>30</v>
      </c>
      <c r="C31" s="30">
        <f t="shared" si="0"/>
        <v>1344</v>
      </c>
      <c r="D31" s="21" t="s">
        <v>49</v>
      </c>
      <c r="E31" s="23">
        <v>38808</v>
      </c>
      <c r="F31" s="21">
        <v>200</v>
      </c>
      <c r="G31" s="24">
        <v>14244.64</v>
      </c>
      <c r="H31" s="24">
        <v>18717.45696</v>
      </c>
    </row>
    <row r="32" spans="1:12" s="31" customFormat="1" ht="12" customHeight="1" x14ac:dyDescent="0.2">
      <c r="A32" s="21">
        <v>14</v>
      </c>
      <c r="B32" s="22">
        <v>40</v>
      </c>
      <c r="C32" s="30">
        <f t="shared" si="0"/>
        <v>1792</v>
      </c>
      <c r="D32" s="21" t="s">
        <v>49</v>
      </c>
      <c r="E32" s="23">
        <v>39416</v>
      </c>
      <c r="F32" s="21">
        <v>100</v>
      </c>
      <c r="G32" s="24">
        <v>14902.98</v>
      </c>
      <c r="H32" s="24">
        <v>19582.515719999999</v>
      </c>
    </row>
    <row r="33" spans="1:8" s="31" customFormat="1" ht="12" customHeight="1" x14ac:dyDescent="0.2">
      <c r="A33" s="21">
        <v>16</v>
      </c>
      <c r="B33" s="22">
        <v>40</v>
      </c>
      <c r="C33" s="30">
        <f t="shared" si="0"/>
        <v>1792</v>
      </c>
      <c r="D33" s="21" t="s">
        <v>49</v>
      </c>
      <c r="E33" s="23">
        <v>39466</v>
      </c>
      <c r="F33" s="21">
        <v>100</v>
      </c>
      <c r="G33" s="24">
        <v>14902.98</v>
      </c>
      <c r="H33" s="24">
        <v>19582.515719999999</v>
      </c>
    </row>
    <row r="34" spans="1:8" s="31" customFormat="1" ht="12" customHeight="1" x14ac:dyDescent="0.2">
      <c r="A34" s="21">
        <v>18</v>
      </c>
      <c r="B34" s="22">
        <v>30</v>
      </c>
      <c r="C34" s="30">
        <f t="shared" si="0"/>
        <v>1344</v>
      </c>
      <c r="D34" s="21" t="s">
        <v>49</v>
      </c>
      <c r="E34" s="23">
        <v>41629</v>
      </c>
      <c r="F34" s="21">
        <v>502</v>
      </c>
      <c r="G34" s="24">
        <v>11159.22</v>
      </c>
      <c r="H34" s="24">
        <v>14663.21508</v>
      </c>
    </row>
    <row r="35" spans="1:8" s="31" customFormat="1" ht="12" customHeight="1" x14ac:dyDescent="0.2">
      <c r="A35" s="21">
        <v>19</v>
      </c>
      <c r="B35" s="22">
        <v>40</v>
      </c>
      <c r="C35" s="30">
        <f t="shared" si="0"/>
        <v>1792</v>
      </c>
      <c r="D35" s="21" t="s">
        <v>49</v>
      </c>
      <c r="E35" s="23">
        <v>41778</v>
      </c>
      <c r="F35" s="21">
        <v>402</v>
      </c>
      <c r="G35" s="24">
        <v>14602.98</v>
      </c>
      <c r="H35" s="24">
        <v>19188.315719999999</v>
      </c>
    </row>
    <row r="36" spans="1:8" s="31" customFormat="1" ht="12" customHeight="1" x14ac:dyDescent="0.2">
      <c r="A36" s="21">
        <v>20</v>
      </c>
      <c r="B36" s="22">
        <v>30</v>
      </c>
      <c r="C36" s="30">
        <f t="shared" si="0"/>
        <v>1344</v>
      </c>
      <c r="D36" s="21" t="s">
        <v>49</v>
      </c>
      <c r="E36" s="23">
        <v>37783</v>
      </c>
      <c r="F36" s="21">
        <v>200</v>
      </c>
      <c r="G36" s="24">
        <v>14417.119999999999</v>
      </c>
      <c r="H36" s="24">
        <v>18944.095679999999</v>
      </c>
    </row>
    <row r="37" spans="1:8" s="31" customFormat="1" ht="12" customHeight="1" x14ac:dyDescent="0.2">
      <c r="A37" s="21">
        <v>22</v>
      </c>
      <c r="B37" s="22">
        <v>40</v>
      </c>
      <c r="C37" s="30">
        <f t="shared" si="0"/>
        <v>1792</v>
      </c>
      <c r="D37" s="21" t="s">
        <v>49</v>
      </c>
      <c r="E37" s="23">
        <v>39092</v>
      </c>
      <c r="F37" s="21">
        <v>100</v>
      </c>
      <c r="G37" s="24">
        <v>15407.819999999998</v>
      </c>
      <c r="H37" s="24">
        <v>20245.875479999999</v>
      </c>
    </row>
    <row r="38" spans="1:8" s="31" customFormat="1" ht="12" customHeight="1" x14ac:dyDescent="0.2">
      <c r="A38" s="21">
        <v>24</v>
      </c>
      <c r="B38" s="22">
        <v>30</v>
      </c>
      <c r="C38" s="30">
        <f t="shared" si="0"/>
        <v>1344</v>
      </c>
      <c r="D38" s="21" t="s">
        <v>49</v>
      </c>
      <c r="E38" s="23">
        <v>39891</v>
      </c>
      <c r="F38" s="21">
        <v>200</v>
      </c>
      <c r="G38" s="24">
        <v>11348.5</v>
      </c>
      <c r="H38" s="24">
        <v>14911.929</v>
      </c>
    </row>
    <row r="39" spans="1:8" s="31" customFormat="1" ht="12" customHeight="1" x14ac:dyDescent="0.2">
      <c r="A39" s="21">
        <v>25</v>
      </c>
      <c r="B39" s="22">
        <v>7</v>
      </c>
      <c r="C39" s="30">
        <f t="shared" si="0"/>
        <v>313.60000000000002</v>
      </c>
      <c r="D39" s="21" t="s">
        <v>49</v>
      </c>
      <c r="E39" s="23">
        <v>41776</v>
      </c>
      <c r="F39" s="21">
        <v>502</v>
      </c>
      <c r="G39" s="24">
        <v>4490.7000000000007</v>
      </c>
      <c r="H39" s="24">
        <v>5900.7798000000012</v>
      </c>
    </row>
    <row r="40" spans="1:8" s="31" customFormat="1" ht="12" customHeight="1" x14ac:dyDescent="0.2">
      <c r="A40" s="21">
        <v>26</v>
      </c>
      <c r="B40" s="22">
        <v>40</v>
      </c>
      <c r="C40" s="30">
        <f t="shared" si="0"/>
        <v>1792</v>
      </c>
      <c r="D40" s="21" t="s">
        <v>49</v>
      </c>
      <c r="E40" s="23">
        <v>41253</v>
      </c>
      <c r="F40" s="21">
        <v>410</v>
      </c>
      <c r="G40" s="24">
        <v>18238.260000000002</v>
      </c>
      <c r="H40" s="24">
        <v>23965.073640000002</v>
      </c>
    </row>
    <row r="41" spans="1:8" s="31" customFormat="1" ht="12" customHeight="1" x14ac:dyDescent="0.2">
      <c r="A41" s="21">
        <v>32</v>
      </c>
      <c r="B41" s="22">
        <v>40</v>
      </c>
      <c r="C41" s="30">
        <f t="shared" si="0"/>
        <v>1792</v>
      </c>
      <c r="D41" s="21" t="s">
        <v>49</v>
      </c>
      <c r="E41" s="23">
        <v>41613</v>
      </c>
      <c r="F41" s="21">
        <v>410</v>
      </c>
      <c r="G41" s="24">
        <v>14602.98</v>
      </c>
      <c r="H41" s="24">
        <v>19188.315719999999</v>
      </c>
    </row>
    <row r="42" spans="1:8" s="31" customFormat="1" ht="12" customHeight="1" x14ac:dyDescent="0.2">
      <c r="A42" s="21">
        <v>33</v>
      </c>
      <c r="B42" s="22">
        <v>40</v>
      </c>
      <c r="C42" s="30">
        <f t="shared" si="0"/>
        <v>1792</v>
      </c>
      <c r="D42" s="21" t="s">
        <v>49</v>
      </c>
      <c r="E42" s="23">
        <v>38129</v>
      </c>
      <c r="F42" s="21">
        <v>100</v>
      </c>
      <c r="G42" s="24">
        <v>15660.240000000002</v>
      </c>
      <c r="H42" s="24">
        <v>20577.555360000002</v>
      </c>
    </row>
    <row r="43" spans="1:8" s="31" customFormat="1" ht="12" customHeight="1" x14ac:dyDescent="0.2">
      <c r="A43" s="21">
        <v>34</v>
      </c>
      <c r="B43" s="22">
        <v>40</v>
      </c>
      <c r="C43" s="30">
        <f t="shared" si="0"/>
        <v>1792</v>
      </c>
      <c r="D43" s="21" t="s">
        <v>49</v>
      </c>
      <c r="E43" s="23">
        <v>38356</v>
      </c>
      <c r="F43" s="21">
        <v>100</v>
      </c>
      <c r="G43" s="24">
        <v>14902.98</v>
      </c>
      <c r="H43" s="24">
        <v>19582.515719999999</v>
      </c>
    </row>
    <row r="44" spans="1:8" s="31" customFormat="1" ht="12" customHeight="1" x14ac:dyDescent="0.2">
      <c r="A44" s="21">
        <v>37</v>
      </c>
      <c r="B44" s="22">
        <v>30</v>
      </c>
      <c r="C44" s="30">
        <f t="shared" si="0"/>
        <v>1344</v>
      </c>
      <c r="D44" s="21" t="s">
        <v>49</v>
      </c>
      <c r="E44" s="23">
        <v>39220</v>
      </c>
      <c r="F44" s="21">
        <v>200</v>
      </c>
      <c r="G44" s="24">
        <v>14244.64</v>
      </c>
      <c r="H44" s="24">
        <v>18717.45696</v>
      </c>
    </row>
    <row r="45" spans="1:8" s="31" customFormat="1" ht="12" customHeight="1" x14ac:dyDescent="0.2">
      <c r="A45" s="21">
        <v>38</v>
      </c>
      <c r="B45" s="22">
        <v>40</v>
      </c>
      <c r="C45" s="30">
        <f t="shared" si="0"/>
        <v>1792</v>
      </c>
      <c r="D45" s="21" t="s">
        <v>49</v>
      </c>
      <c r="E45" s="23">
        <v>40054</v>
      </c>
      <c r="F45" s="21">
        <v>100</v>
      </c>
      <c r="G45" s="24">
        <v>15155.4</v>
      </c>
      <c r="H45" s="24">
        <v>19914.195599999999</v>
      </c>
    </row>
    <row r="46" spans="1:8" s="31" customFormat="1" ht="12" customHeight="1" x14ac:dyDescent="0.2">
      <c r="A46" s="21">
        <v>40</v>
      </c>
      <c r="B46" s="22">
        <v>40</v>
      </c>
      <c r="C46" s="30">
        <f t="shared" si="0"/>
        <v>1792</v>
      </c>
      <c r="D46" s="21" t="s">
        <v>49</v>
      </c>
      <c r="E46" s="23">
        <v>40358</v>
      </c>
      <c r="F46" s="21">
        <v>189</v>
      </c>
      <c r="G46" s="24">
        <v>15155.4</v>
      </c>
      <c r="H46" s="24">
        <v>19914.195599999999</v>
      </c>
    </row>
    <row r="47" spans="1:8" s="31" customFormat="1" ht="12" customHeight="1" x14ac:dyDescent="0.2">
      <c r="A47" s="21">
        <v>45</v>
      </c>
      <c r="B47" s="22">
        <v>40</v>
      </c>
      <c r="C47" s="30">
        <f t="shared" si="0"/>
        <v>1792</v>
      </c>
      <c r="D47" s="21" t="s">
        <v>49</v>
      </c>
      <c r="E47" s="23">
        <v>39385</v>
      </c>
      <c r="F47" s="21">
        <v>100</v>
      </c>
      <c r="G47" s="24">
        <v>15407.819999999998</v>
      </c>
      <c r="H47" s="24">
        <v>20245.875479999999</v>
      </c>
    </row>
    <row r="48" spans="1:8" s="31" customFormat="1" ht="12" customHeight="1" x14ac:dyDescent="0.2">
      <c r="A48" s="21">
        <v>46</v>
      </c>
      <c r="B48" s="22">
        <v>40</v>
      </c>
      <c r="C48" s="30">
        <f t="shared" si="0"/>
        <v>1792</v>
      </c>
      <c r="D48" s="21" t="s">
        <v>49</v>
      </c>
      <c r="E48" s="23">
        <v>39505</v>
      </c>
      <c r="F48" s="21">
        <v>100</v>
      </c>
      <c r="G48" s="24">
        <v>15407.819999999998</v>
      </c>
      <c r="H48" s="24">
        <v>20245.875479999999</v>
      </c>
    </row>
    <row r="49" spans="1:9" s="31" customFormat="1" ht="12" customHeight="1" x14ac:dyDescent="0.2">
      <c r="A49" s="21">
        <v>47</v>
      </c>
      <c r="B49" s="22">
        <v>40</v>
      </c>
      <c r="C49" s="30">
        <f t="shared" si="0"/>
        <v>1792</v>
      </c>
      <c r="D49" s="21" t="s">
        <v>49</v>
      </c>
      <c r="E49" s="23">
        <v>40746</v>
      </c>
      <c r="F49" s="21">
        <v>100</v>
      </c>
      <c r="G49" s="24">
        <v>14902.98</v>
      </c>
      <c r="H49" s="24">
        <v>19582.515719999999</v>
      </c>
    </row>
    <row r="50" spans="1:9" s="31" customFormat="1" ht="12" customHeight="1" x14ac:dyDescent="0.2">
      <c r="A50" s="21">
        <v>48</v>
      </c>
      <c r="B50" s="22">
        <v>40</v>
      </c>
      <c r="C50" s="30">
        <f t="shared" si="0"/>
        <v>1792</v>
      </c>
      <c r="D50" s="21" t="s">
        <v>49</v>
      </c>
      <c r="E50" s="23">
        <v>40398</v>
      </c>
      <c r="F50" s="21">
        <v>100</v>
      </c>
      <c r="G50" s="24">
        <v>15155.4</v>
      </c>
      <c r="H50" s="24">
        <v>19914.195599999999</v>
      </c>
    </row>
    <row r="51" spans="1:9" ht="12" customHeight="1" x14ac:dyDescent="0.2">
      <c r="A51" s="21">
        <v>50</v>
      </c>
      <c r="B51" s="25">
        <v>30</v>
      </c>
      <c r="C51" s="30">
        <f t="shared" si="0"/>
        <v>1344</v>
      </c>
      <c r="D51" s="26" t="s">
        <v>49</v>
      </c>
      <c r="E51" s="27">
        <v>41075</v>
      </c>
      <c r="F51" s="26">
        <v>510</v>
      </c>
      <c r="G51" s="28">
        <v>11159.22</v>
      </c>
      <c r="H51" s="28">
        <v>14663.21508</v>
      </c>
      <c r="I51" s="31"/>
    </row>
    <row r="52" spans="1:9" ht="12" customHeight="1" x14ac:dyDescent="0.2">
      <c r="A52" s="21">
        <v>52</v>
      </c>
      <c r="B52" s="25">
        <v>40</v>
      </c>
      <c r="C52" s="30">
        <f t="shared" si="0"/>
        <v>1792</v>
      </c>
      <c r="D52" s="26" t="s">
        <v>49</v>
      </c>
      <c r="E52" s="27">
        <v>37726</v>
      </c>
      <c r="F52" s="26">
        <v>100</v>
      </c>
      <c r="G52" s="24">
        <v>15660.240000000002</v>
      </c>
      <c r="H52" s="24">
        <v>20577.555360000002</v>
      </c>
      <c r="I52" s="31"/>
    </row>
    <row r="53" spans="1:9" ht="12" customHeight="1" x14ac:dyDescent="0.2">
      <c r="A53" s="21">
        <v>53</v>
      </c>
      <c r="B53" s="25">
        <v>40</v>
      </c>
      <c r="C53" s="30">
        <f t="shared" si="0"/>
        <v>1792</v>
      </c>
      <c r="D53" s="26" t="s">
        <v>49</v>
      </c>
      <c r="E53" s="27">
        <v>40746</v>
      </c>
      <c r="F53" s="26">
        <v>100</v>
      </c>
      <c r="G53" s="24">
        <v>14902.98</v>
      </c>
      <c r="H53" s="24">
        <v>19582.515719999999</v>
      </c>
      <c r="I53" s="31"/>
    </row>
    <row r="54" spans="1:9" ht="12" customHeight="1" x14ac:dyDescent="0.2">
      <c r="A54" s="21">
        <v>56</v>
      </c>
      <c r="B54" s="25">
        <v>40</v>
      </c>
      <c r="C54" s="30">
        <f t="shared" si="0"/>
        <v>1792</v>
      </c>
      <c r="D54" s="26" t="s">
        <v>49</v>
      </c>
      <c r="E54" s="27">
        <v>38876</v>
      </c>
      <c r="F54" s="26">
        <v>100</v>
      </c>
      <c r="G54" s="24">
        <v>15407.819999999998</v>
      </c>
      <c r="H54" s="24">
        <v>20245.875479999999</v>
      </c>
      <c r="I54" s="31"/>
    </row>
    <row r="55" spans="1:9" ht="12" customHeight="1" x14ac:dyDescent="0.2">
      <c r="A55" s="21">
        <v>57</v>
      </c>
      <c r="B55" s="25">
        <v>40</v>
      </c>
      <c r="C55" s="30">
        <f t="shared" si="0"/>
        <v>1792</v>
      </c>
      <c r="D55" s="26" t="s">
        <v>49</v>
      </c>
      <c r="E55" s="27">
        <v>39437</v>
      </c>
      <c r="F55" s="26">
        <v>100</v>
      </c>
      <c r="G55" s="24">
        <v>15407.819999999998</v>
      </c>
      <c r="H55" s="24">
        <v>20245.875479999999</v>
      </c>
      <c r="I55" s="31"/>
    </row>
    <row r="56" spans="1:9" ht="12" customHeight="1" x14ac:dyDescent="0.2">
      <c r="A56" s="21">
        <v>58</v>
      </c>
      <c r="B56" s="25">
        <v>30</v>
      </c>
      <c r="C56" s="30">
        <f t="shared" si="0"/>
        <v>1344</v>
      </c>
      <c r="D56" s="26" t="s">
        <v>49</v>
      </c>
      <c r="E56" s="27">
        <v>40746</v>
      </c>
      <c r="F56" s="26">
        <v>200</v>
      </c>
      <c r="G56" s="24">
        <v>11459.22</v>
      </c>
      <c r="H56" s="24">
        <v>15057.415080000001</v>
      </c>
      <c r="I56" s="31"/>
    </row>
    <row r="57" spans="1:9" ht="12" customHeight="1" x14ac:dyDescent="0.2">
      <c r="A57" s="21">
        <v>59</v>
      </c>
      <c r="B57" s="25">
        <v>30</v>
      </c>
      <c r="C57" s="30">
        <f t="shared" si="0"/>
        <v>1344</v>
      </c>
      <c r="D57" s="26" t="s">
        <v>49</v>
      </c>
      <c r="E57" s="27">
        <v>41643</v>
      </c>
      <c r="F57" s="26">
        <v>502</v>
      </c>
      <c r="G57" s="28">
        <v>11159.22</v>
      </c>
      <c r="H57" s="28">
        <v>14663.21508</v>
      </c>
      <c r="I57" s="31"/>
    </row>
    <row r="58" spans="1:9" ht="12" customHeight="1" x14ac:dyDescent="0.2">
      <c r="A58" s="21">
        <v>60</v>
      </c>
      <c r="B58" s="25">
        <v>40</v>
      </c>
      <c r="C58" s="30">
        <f t="shared" si="0"/>
        <v>1792</v>
      </c>
      <c r="D58" s="26" t="s">
        <v>49</v>
      </c>
      <c r="E58" s="27">
        <v>37727</v>
      </c>
      <c r="F58" s="26">
        <v>100</v>
      </c>
      <c r="G58" s="24">
        <v>18807.480000000007</v>
      </c>
      <c r="H58" s="24">
        <v>24713.028720000009</v>
      </c>
      <c r="I58" s="31"/>
    </row>
    <row r="59" spans="1:9" ht="12" customHeight="1" x14ac:dyDescent="0.2">
      <c r="A59" s="21">
        <v>61</v>
      </c>
      <c r="B59" s="25">
        <v>40</v>
      </c>
      <c r="C59" s="30">
        <f t="shared" si="0"/>
        <v>1792</v>
      </c>
      <c r="D59" s="26" t="s">
        <v>49</v>
      </c>
      <c r="E59" s="27">
        <v>37739</v>
      </c>
      <c r="F59" s="26">
        <v>100</v>
      </c>
      <c r="G59" s="24">
        <v>18841.080000000005</v>
      </c>
      <c r="H59" s="24">
        <v>24757.179120000008</v>
      </c>
      <c r="I59" s="31"/>
    </row>
    <row r="60" spans="1:9" ht="12" customHeight="1" x14ac:dyDescent="0.2">
      <c r="A60" s="21">
        <v>63</v>
      </c>
      <c r="B60" s="25">
        <v>30</v>
      </c>
      <c r="C60" s="30">
        <f t="shared" si="0"/>
        <v>1344</v>
      </c>
      <c r="D60" s="26" t="s">
        <v>49</v>
      </c>
      <c r="E60" s="27">
        <v>38660</v>
      </c>
      <c r="F60" s="26">
        <v>200</v>
      </c>
      <c r="G60" s="24">
        <v>14227.84</v>
      </c>
      <c r="H60" s="24">
        <v>18695.38176</v>
      </c>
      <c r="I60" s="31"/>
    </row>
    <row r="61" spans="1:9" ht="12" customHeight="1" x14ac:dyDescent="0.2">
      <c r="A61" s="21">
        <v>66</v>
      </c>
      <c r="B61" s="25">
        <v>30</v>
      </c>
      <c r="C61" s="30">
        <f t="shared" si="0"/>
        <v>1344</v>
      </c>
      <c r="D61" s="26" t="s">
        <v>49</v>
      </c>
      <c r="E61" s="27">
        <v>40462</v>
      </c>
      <c r="F61" s="26">
        <v>289</v>
      </c>
      <c r="G61" s="24">
        <v>11648.5</v>
      </c>
      <c r="H61" s="24">
        <v>15306.129000000001</v>
      </c>
      <c r="I61" s="31"/>
    </row>
    <row r="62" spans="1:9" ht="12" customHeight="1" x14ac:dyDescent="0.2">
      <c r="A62" s="21">
        <v>69</v>
      </c>
      <c r="B62" s="25">
        <v>30</v>
      </c>
      <c r="C62" s="30">
        <f t="shared" si="0"/>
        <v>1344</v>
      </c>
      <c r="D62" s="26" t="s">
        <v>49</v>
      </c>
      <c r="E62" s="27">
        <v>41608</v>
      </c>
      <c r="F62" s="26">
        <v>502</v>
      </c>
      <c r="G62" s="28">
        <v>11159.22</v>
      </c>
      <c r="H62" s="28">
        <v>14663.21508</v>
      </c>
      <c r="I62" s="31"/>
    </row>
    <row r="63" spans="1:9" ht="12" customHeight="1" x14ac:dyDescent="0.2">
      <c r="A63" s="21">
        <v>71</v>
      </c>
      <c r="B63" s="25">
        <v>40</v>
      </c>
      <c r="C63" s="30">
        <f t="shared" si="0"/>
        <v>1792</v>
      </c>
      <c r="D63" s="26" t="s">
        <v>49</v>
      </c>
      <c r="E63" s="27">
        <v>38485</v>
      </c>
      <c r="F63" s="26">
        <v>100</v>
      </c>
      <c r="G63" s="24">
        <v>15660.240000000002</v>
      </c>
      <c r="H63" s="24">
        <v>20577.555360000002</v>
      </c>
      <c r="I63" s="31"/>
    </row>
    <row r="64" spans="1:9" ht="12" customHeight="1" x14ac:dyDescent="0.2">
      <c r="A64" s="21">
        <v>72</v>
      </c>
      <c r="B64" s="25">
        <v>40</v>
      </c>
      <c r="C64" s="30">
        <f t="shared" si="0"/>
        <v>1792</v>
      </c>
      <c r="D64" s="26" t="s">
        <v>49</v>
      </c>
      <c r="E64" s="27">
        <v>38262</v>
      </c>
      <c r="F64" s="26">
        <v>100</v>
      </c>
      <c r="G64" s="24">
        <v>15660.240000000002</v>
      </c>
      <c r="H64" s="24">
        <v>20577.555360000002</v>
      </c>
      <c r="I64" s="31"/>
    </row>
    <row r="65" spans="1:9" ht="12" customHeight="1" x14ac:dyDescent="0.2">
      <c r="A65" s="21">
        <v>74</v>
      </c>
      <c r="B65" s="25">
        <v>30</v>
      </c>
      <c r="C65" s="30">
        <f t="shared" si="0"/>
        <v>1344</v>
      </c>
      <c r="D65" s="26" t="s">
        <v>49</v>
      </c>
      <c r="E65" s="27">
        <v>39842</v>
      </c>
      <c r="F65" s="26">
        <v>200</v>
      </c>
      <c r="G65" s="24">
        <v>11648.5</v>
      </c>
      <c r="H65" s="24">
        <v>15306.129000000001</v>
      </c>
      <c r="I65" s="31"/>
    </row>
    <row r="66" spans="1:9" ht="12" customHeight="1" x14ac:dyDescent="0.2">
      <c r="A66" s="21">
        <v>75</v>
      </c>
      <c r="B66" s="25">
        <v>30</v>
      </c>
      <c r="C66" s="30">
        <f t="shared" si="0"/>
        <v>1344</v>
      </c>
      <c r="D66" s="26" t="s">
        <v>49</v>
      </c>
      <c r="E66" s="27">
        <v>39990</v>
      </c>
      <c r="F66" s="26">
        <v>200</v>
      </c>
      <c r="G66" s="24">
        <v>14223.46</v>
      </c>
      <c r="H66" s="24">
        <v>18689.62644</v>
      </c>
      <c r="I66" s="31"/>
    </row>
    <row r="67" spans="1:9" ht="12" customHeight="1" x14ac:dyDescent="0.2">
      <c r="A67" s="21">
        <v>78</v>
      </c>
      <c r="B67" s="25">
        <v>30</v>
      </c>
      <c r="C67" s="30">
        <f t="shared" si="0"/>
        <v>1344</v>
      </c>
      <c r="D67" s="26" t="s">
        <v>49</v>
      </c>
      <c r="E67" s="27">
        <v>41656</v>
      </c>
      <c r="F67" s="26">
        <v>502</v>
      </c>
      <c r="G67" s="28">
        <v>11159.22</v>
      </c>
      <c r="H67" s="28">
        <v>14663.21508</v>
      </c>
      <c r="I67" s="31"/>
    </row>
    <row r="68" spans="1:9" ht="12" customHeight="1" x14ac:dyDescent="0.2">
      <c r="A68" s="21">
        <v>81</v>
      </c>
      <c r="B68" s="25">
        <v>40</v>
      </c>
      <c r="C68" s="30">
        <f t="shared" si="0"/>
        <v>1792</v>
      </c>
      <c r="D68" s="26" t="s">
        <v>49</v>
      </c>
      <c r="E68" s="27">
        <v>38869</v>
      </c>
      <c r="F68" s="26">
        <v>100</v>
      </c>
      <c r="G68" s="24">
        <v>15407.819999999998</v>
      </c>
      <c r="H68" s="24">
        <v>20245.875479999999</v>
      </c>
      <c r="I68" s="31"/>
    </row>
    <row r="69" spans="1:9" ht="12" customHeight="1" x14ac:dyDescent="0.2">
      <c r="A69" s="21">
        <v>82</v>
      </c>
      <c r="B69" s="25">
        <v>40</v>
      </c>
      <c r="C69" s="30">
        <f t="shared" ref="C69:C112" si="1">B69*(365-31-96-14)/5</f>
        <v>1792</v>
      </c>
      <c r="D69" s="26" t="s">
        <v>49</v>
      </c>
      <c r="E69" s="27">
        <v>41769</v>
      </c>
      <c r="F69" s="26">
        <v>402</v>
      </c>
      <c r="G69" s="28">
        <v>14602.98</v>
      </c>
      <c r="H69" s="28">
        <v>19188.315719999999</v>
      </c>
      <c r="I69" s="31"/>
    </row>
    <row r="70" spans="1:9" ht="12" customHeight="1" x14ac:dyDescent="0.2">
      <c r="A70" s="21">
        <v>83</v>
      </c>
      <c r="B70" s="25">
        <v>40</v>
      </c>
      <c r="C70" s="30">
        <f t="shared" si="1"/>
        <v>1792</v>
      </c>
      <c r="D70" s="26" t="s">
        <v>49</v>
      </c>
      <c r="E70" s="27">
        <v>37791</v>
      </c>
      <c r="F70" s="26">
        <v>100</v>
      </c>
      <c r="G70" s="24">
        <v>15660.240000000002</v>
      </c>
      <c r="H70" s="24">
        <v>20577.555360000002</v>
      </c>
      <c r="I70" s="31"/>
    </row>
    <row r="71" spans="1:9" ht="12" customHeight="1" x14ac:dyDescent="0.2">
      <c r="A71" s="21">
        <v>88</v>
      </c>
      <c r="B71" s="25">
        <v>40</v>
      </c>
      <c r="C71" s="30">
        <f t="shared" si="1"/>
        <v>1792</v>
      </c>
      <c r="D71" s="26" t="s">
        <v>49</v>
      </c>
      <c r="E71" s="27">
        <v>38079</v>
      </c>
      <c r="F71" s="26">
        <v>100</v>
      </c>
      <c r="G71" s="24">
        <v>15660.240000000002</v>
      </c>
      <c r="H71" s="24">
        <v>20577.555360000002</v>
      </c>
      <c r="I71" s="31"/>
    </row>
    <row r="72" spans="1:9" ht="12" customHeight="1" x14ac:dyDescent="0.2">
      <c r="A72" s="21">
        <v>91</v>
      </c>
      <c r="B72" s="25">
        <v>30</v>
      </c>
      <c r="C72" s="30">
        <f t="shared" si="1"/>
        <v>1344</v>
      </c>
      <c r="D72" s="26" t="s">
        <v>49</v>
      </c>
      <c r="E72" s="27">
        <v>41777</v>
      </c>
      <c r="F72" s="26">
        <v>502</v>
      </c>
      <c r="G72" s="28">
        <v>11159.22</v>
      </c>
      <c r="H72" s="28">
        <v>14663.21508</v>
      </c>
      <c r="I72" s="31"/>
    </row>
    <row r="73" spans="1:9" ht="12" customHeight="1" x14ac:dyDescent="0.2">
      <c r="A73" s="21">
        <v>95</v>
      </c>
      <c r="B73" s="25">
        <v>40</v>
      </c>
      <c r="C73" s="30">
        <f t="shared" si="1"/>
        <v>1792</v>
      </c>
      <c r="D73" s="26" t="s">
        <v>49</v>
      </c>
      <c r="E73" s="27">
        <v>37772</v>
      </c>
      <c r="F73" s="26">
        <v>100</v>
      </c>
      <c r="G73" s="24">
        <v>15660.240000000002</v>
      </c>
      <c r="H73" s="24">
        <v>20577.555360000002</v>
      </c>
      <c r="I73" s="31"/>
    </row>
    <row r="74" spans="1:9" ht="12" customHeight="1" x14ac:dyDescent="0.2">
      <c r="A74" s="21">
        <v>96</v>
      </c>
      <c r="B74" s="25">
        <v>40</v>
      </c>
      <c r="C74" s="30">
        <f t="shared" si="1"/>
        <v>1792</v>
      </c>
      <c r="D74" s="26" t="s">
        <v>49</v>
      </c>
      <c r="E74" s="27">
        <v>37882</v>
      </c>
      <c r="F74" s="26">
        <v>100</v>
      </c>
      <c r="G74" s="24">
        <v>15660.240000000002</v>
      </c>
      <c r="H74" s="24">
        <v>20577.555360000002</v>
      </c>
      <c r="I74" s="31"/>
    </row>
    <row r="75" spans="1:9" ht="12" customHeight="1" x14ac:dyDescent="0.2">
      <c r="A75" s="21">
        <v>98</v>
      </c>
      <c r="B75" s="25">
        <v>40</v>
      </c>
      <c r="C75" s="30">
        <f t="shared" si="1"/>
        <v>1792</v>
      </c>
      <c r="D75" s="26" t="s">
        <v>49</v>
      </c>
      <c r="E75" s="27">
        <v>38261</v>
      </c>
      <c r="F75" s="26">
        <v>100</v>
      </c>
      <c r="G75" s="24">
        <v>18841.080000000005</v>
      </c>
      <c r="H75" s="24">
        <v>24757.179120000008</v>
      </c>
      <c r="I75" s="31"/>
    </row>
    <row r="76" spans="1:9" ht="12" customHeight="1" x14ac:dyDescent="0.2">
      <c r="A76" s="21">
        <v>99</v>
      </c>
      <c r="B76" s="25">
        <v>40</v>
      </c>
      <c r="C76" s="30">
        <f t="shared" si="1"/>
        <v>1792</v>
      </c>
      <c r="D76" s="26" t="s">
        <v>49</v>
      </c>
      <c r="E76" s="27">
        <v>40665</v>
      </c>
      <c r="F76" s="26">
        <v>189</v>
      </c>
      <c r="G76" s="24">
        <v>15155.4</v>
      </c>
      <c r="H76" s="24">
        <v>19914.195599999999</v>
      </c>
      <c r="I76" s="31"/>
    </row>
    <row r="77" spans="1:9" ht="12" customHeight="1" x14ac:dyDescent="0.2">
      <c r="A77" s="21">
        <v>102</v>
      </c>
      <c r="B77" s="25">
        <v>30</v>
      </c>
      <c r="C77" s="30">
        <f t="shared" si="1"/>
        <v>1344</v>
      </c>
      <c r="D77" s="26" t="s">
        <v>49</v>
      </c>
      <c r="E77" s="27">
        <v>41586</v>
      </c>
      <c r="F77" s="26">
        <v>502</v>
      </c>
      <c r="G77" s="28">
        <v>11159.22</v>
      </c>
      <c r="H77" s="28">
        <v>14663.21508</v>
      </c>
      <c r="I77" s="31"/>
    </row>
    <row r="78" spans="1:9" ht="12" customHeight="1" x14ac:dyDescent="0.2">
      <c r="A78" s="21">
        <v>105</v>
      </c>
      <c r="B78" s="25">
        <v>40</v>
      </c>
      <c r="C78" s="30">
        <f t="shared" si="1"/>
        <v>1792</v>
      </c>
      <c r="D78" s="26" t="s">
        <v>49</v>
      </c>
      <c r="E78" s="27">
        <v>37793</v>
      </c>
      <c r="F78" s="26">
        <v>100</v>
      </c>
      <c r="G78" s="24">
        <v>19946.300000000007</v>
      </c>
      <c r="H78" s="24">
        <v>26209.438200000011</v>
      </c>
      <c r="I78" s="31"/>
    </row>
    <row r="79" spans="1:9" ht="12" customHeight="1" x14ac:dyDescent="0.2">
      <c r="A79" s="21">
        <v>106</v>
      </c>
      <c r="B79" s="25">
        <v>40</v>
      </c>
      <c r="C79" s="30">
        <f t="shared" si="1"/>
        <v>1792</v>
      </c>
      <c r="D79" s="26" t="s">
        <v>49</v>
      </c>
      <c r="E79" s="27">
        <v>38808</v>
      </c>
      <c r="F79" s="26">
        <v>100</v>
      </c>
      <c r="G79" s="24">
        <v>19946.300000000007</v>
      </c>
      <c r="H79" s="24">
        <v>26209.438200000011</v>
      </c>
      <c r="I79" s="31"/>
    </row>
    <row r="80" spans="1:9" ht="12" customHeight="1" x14ac:dyDescent="0.2">
      <c r="A80" s="21">
        <v>107</v>
      </c>
      <c r="B80" s="25">
        <v>30</v>
      </c>
      <c r="C80" s="30">
        <f t="shared" si="1"/>
        <v>1344</v>
      </c>
      <c r="D80" s="26" t="s">
        <v>49</v>
      </c>
      <c r="E80" s="27">
        <v>39262</v>
      </c>
      <c r="F80" s="26">
        <v>200</v>
      </c>
      <c r="G80" s="24">
        <v>19946.300000000007</v>
      </c>
      <c r="H80" s="24">
        <v>26209.438200000011</v>
      </c>
      <c r="I80" s="31"/>
    </row>
    <row r="81" spans="1:9" ht="12" customHeight="1" x14ac:dyDescent="0.2">
      <c r="A81" s="21">
        <v>109</v>
      </c>
      <c r="B81" s="25">
        <v>40</v>
      </c>
      <c r="C81" s="30">
        <f t="shared" si="1"/>
        <v>1792</v>
      </c>
      <c r="D81" s="26" t="s">
        <v>49</v>
      </c>
      <c r="E81" s="27">
        <v>41698</v>
      </c>
      <c r="F81" s="26">
        <v>402</v>
      </c>
      <c r="G81" s="28">
        <v>15789</v>
      </c>
      <c r="H81" s="28">
        <v>20746.745999999999</v>
      </c>
      <c r="I81" s="31"/>
    </row>
    <row r="82" spans="1:9" ht="12" customHeight="1" x14ac:dyDescent="0.2">
      <c r="A82" s="21">
        <v>80</v>
      </c>
      <c r="B82" s="25">
        <v>40</v>
      </c>
      <c r="C82" s="30">
        <f t="shared" si="1"/>
        <v>1792</v>
      </c>
      <c r="D82" s="26" t="s">
        <v>82</v>
      </c>
      <c r="E82" s="27">
        <v>39213</v>
      </c>
      <c r="F82" s="26">
        <v>100</v>
      </c>
      <c r="G82" s="24">
        <v>15911.82</v>
      </c>
      <c r="H82" s="24">
        <v>20908.13148</v>
      </c>
      <c r="I82" s="31"/>
    </row>
    <row r="83" spans="1:9" s="31" customFormat="1" ht="12" customHeight="1" x14ac:dyDescent="0.2">
      <c r="A83" s="21">
        <v>17</v>
      </c>
      <c r="B83" s="22">
        <v>40</v>
      </c>
      <c r="C83" s="30">
        <f t="shared" si="1"/>
        <v>1792</v>
      </c>
      <c r="D83" s="21" t="s">
        <v>78</v>
      </c>
      <c r="E83" s="23">
        <v>41635</v>
      </c>
      <c r="F83" s="21">
        <v>402</v>
      </c>
      <c r="G83" s="24">
        <v>13314.199999999999</v>
      </c>
      <c r="H83" s="24">
        <v>17494.858799999998</v>
      </c>
    </row>
    <row r="84" spans="1:9" s="31" customFormat="1" ht="12" customHeight="1" x14ac:dyDescent="0.2">
      <c r="A84" s="21">
        <v>30</v>
      </c>
      <c r="B84" s="22">
        <v>40</v>
      </c>
      <c r="C84" s="30">
        <f t="shared" si="1"/>
        <v>1792</v>
      </c>
      <c r="D84" s="21" t="s">
        <v>78</v>
      </c>
      <c r="E84" s="23">
        <v>41272</v>
      </c>
      <c r="F84" s="21">
        <v>100</v>
      </c>
      <c r="G84" s="24">
        <v>13614.199999999999</v>
      </c>
      <c r="H84" s="24">
        <v>17889.058799999999</v>
      </c>
    </row>
    <row r="85" spans="1:9" ht="12" customHeight="1" x14ac:dyDescent="0.2">
      <c r="A85" s="21">
        <v>51</v>
      </c>
      <c r="B85" s="25">
        <v>30</v>
      </c>
      <c r="C85" s="30">
        <f t="shared" si="1"/>
        <v>1344</v>
      </c>
      <c r="D85" s="26" t="s">
        <v>44</v>
      </c>
      <c r="E85" s="27">
        <v>41276</v>
      </c>
      <c r="F85" s="26">
        <v>200</v>
      </c>
      <c r="G85" s="28">
        <v>22434.699999999997</v>
      </c>
      <c r="H85" s="28">
        <v>29479.195799999998</v>
      </c>
      <c r="I85" s="31"/>
    </row>
    <row r="86" spans="1:9" s="31" customFormat="1" x14ac:dyDescent="0.2">
      <c r="A86" s="21">
        <v>4</v>
      </c>
      <c r="B86" s="22">
        <v>40</v>
      </c>
      <c r="C86" s="30">
        <f t="shared" si="1"/>
        <v>1792</v>
      </c>
      <c r="D86" s="21" t="s">
        <v>76</v>
      </c>
      <c r="E86" s="23">
        <v>37772</v>
      </c>
      <c r="F86" s="21">
        <v>100</v>
      </c>
      <c r="G86" s="24">
        <v>15199.419999999998</v>
      </c>
      <c r="H86" s="24">
        <v>19972.03788</v>
      </c>
    </row>
    <row r="87" spans="1:9" s="31" customFormat="1" ht="12" customHeight="1" x14ac:dyDescent="0.2">
      <c r="A87" s="21">
        <v>29</v>
      </c>
      <c r="B87" s="22">
        <v>40</v>
      </c>
      <c r="C87" s="30">
        <f t="shared" si="1"/>
        <v>1792</v>
      </c>
      <c r="D87" s="21" t="s">
        <v>76</v>
      </c>
      <c r="E87" s="23">
        <v>40116</v>
      </c>
      <c r="F87" s="21">
        <v>410</v>
      </c>
      <c r="G87" s="24">
        <v>13566.619999999999</v>
      </c>
      <c r="H87" s="24">
        <v>17826.538679999998</v>
      </c>
    </row>
    <row r="88" spans="1:9" s="31" customFormat="1" ht="12" customHeight="1" x14ac:dyDescent="0.2">
      <c r="A88" s="21">
        <v>39</v>
      </c>
      <c r="B88" s="22">
        <v>40</v>
      </c>
      <c r="C88" s="30">
        <f t="shared" si="1"/>
        <v>1792</v>
      </c>
      <c r="D88" s="21" t="s">
        <v>76</v>
      </c>
      <c r="E88" s="23">
        <v>39379</v>
      </c>
      <c r="F88" s="21">
        <v>100</v>
      </c>
      <c r="G88" s="24">
        <v>14119.039999999997</v>
      </c>
      <c r="H88" s="24">
        <v>18552.418559999998</v>
      </c>
    </row>
    <row r="89" spans="1:9" s="31" customFormat="1" ht="12" customHeight="1" x14ac:dyDescent="0.2">
      <c r="A89" s="21">
        <v>43</v>
      </c>
      <c r="B89" s="22">
        <v>40</v>
      </c>
      <c r="C89" s="30">
        <f t="shared" si="1"/>
        <v>1792</v>
      </c>
      <c r="D89" s="21" t="s">
        <v>76</v>
      </c>
      <c r="E89" s="23">
        <v>37777</v>
      </c>
      <c r="F89" s="21">
        <v>100</v>
      </c>
      <c r="G89" s="24">
        <v>14371.46</v>
      </c>
      <c r="H89" s="24">
        <v>18884.098439999998</v>
      </c>
    </row>
    <row r="90" spans="1:9" s="31" customFormat="1" ht="12" customHeight="1" x14ac:dyDescent="0.2">
      <c r="A90" s="21">
        <v>44</v>
      </c>
      <c r="B90" s="22">
        <v>40</v>
      </c>
      <c r="C90" s="30">
        <f t="shared" si="1"/>
        <v>1792</v>
      </c>
      <c r="D90" s="21" t="s">
        <v>76</v>
      </c>
      <c r="E90" s="23">
        <v>38840</v>
      </c>
      <c r="F90" s="21">
        <v>100</v>
      </c>
      <c r="G90" s="24">
        <v>14119.039999999997</v>
      </c>
      <c r="H90" s="24">
        <v>18552.418559999998</v>
      </c>
    </row>
    <row r="91" spans="1:9" ht="12" customHeight="1" x14ac:dyDescent="0.2">
      <c r="A91" s="21">
        <v>49</v>
      </c>
      <c r="B91" s="25">
        <v>40</v>
      </c>
      <c r="C91" s="30">
        <f t="shared" si="1"/>
        <v>1792</v>
      </c>
      <c r="D91" s="26" t="s">
        <v>76</v>
      </c>
      <c r="E91" s="27">
        <v>39973</v>
      </c>
      <c r="F91" s="26">
        <v>100</v>
      </c>
      <c r="G91" s="24">
        <v>13866.619999999999</v>
      </c>
      <c r="H91" s="24">
        <v>18220.738679999999</v>
      </c>
      <c r="I91" s="31"/>
    </row>
    <row r="92" spans="1:9" ht="12" customHeight="1" x14ac:dyDescent="0.2">
      <c r="A92" s="21">
        <v>70</v>
      </c>
      <c r="B92" s="25">
        <v>40</v>
      </c>
      <c r="C92" s="30">
        <f t="shared" si="1"/>
        <v>1792</v>
      </c>
      <c r="D92" s="26" t="s">
        <v>76</v>
      </c>
      <c r="E92" s="27">
        <v>37827</v>
      </c>
      <c r="F92" s="26">
        <v>100</v>
      </c>
      <c r="G92" s="24">
        <v>14371.46</v>
      </c>
      <c r="H92" s="24">
        <v>18884.098439999998</v>
      </c>
      <c r="I92" s="31"/>
    </row>
    <row r="93" spans="1:9" ht="12" customHeight="1" x14ac:dyDescent="0.2">
      <c r="A93" s="21">
        <v>76</v>
      </c>
      <c r="B93" s="25">
        <v>40</v>
      </c>
      <c r="C93" s="30">
        <f t="shared" si="1"/>
        <v>1792</v>
      </c>
      <c r="D93" s="26" t="s">
        <v>76</v>
      </c>
      <c r="E93" s="27">
        <v>41494</v>
      </c>
      <c r="F93" s="26">
        <v>402</v>
      </c>
      <c r="G93" s="28">
        <v>13314.199999999999</v>
      </c>
      <c r="H93" s="28">
        <v>17494.858799999998</v>
      </c>
      <c r="I93" s="31"/>
    </row>
    <row r="94" spans="1:9" ht="12" customHeight="1" x14ac:dyDescent="0.2">
      <c r="A94" s="21">
        <v>85</v>
      </c>
      <c r="B94" s="25">
        <v>40</v>
      </c>
      <c r="C94" s="30">
        <f t="shared" si="1"/>
        <v>1792</v>
      </c>
      <c r="D94" s="26" t="s">
        <v>76</v>
      </c>
      <c r="E94" s="27">
        <v>37791</v>
      </c>
      <c r="F94" s="26">
        <v>100</v>
      </c>
      <c r="G94" s="24">
        <v>17417.780000000002</v>
      </c>
      <c r="H94" s="24">
        <v>22886.962920000005</v>
      </c>
      <c r="I94" s="31"/>
    </row>
    <row r="95" spans="1:9" ht="12" customHeight="1" x14ac:dyDescent="0.2">
      <c r="A95" s="21">
        <v>86</v>
      </c>
      <c r="B95" s="25">
        <v>40</v>
      </c>
      <c r="C95" s="30">
        <f t="shared" si="1"/>
        <v>1792</v>
      </c>
      <c r="D95" s="26" t="s">
        <v>76</v>
      </c>
      <c r="E95" s="27">
        <v>39163</v>
      </c>
      <c r="F95" s="26">
        <v>189</v>
      </c>
      <c r="G95" s="24">
        <v>14119.039999999997</v>
      </c>
      <c r="H95" s="24">
        <v>18552.418559999998</v>
      </c>
      <c r="I95" s="31"/>
    </row>
    <row r="96" spans="1:9" ht="12" customHeight="1" x14ac:dyDescent="0.2">
      <c r="A96" s="21">
        <v>89</v>
      </c>
      <c r="B96" s="25">
        <v>30</v>
      </c>
      <c r="C96" s="30">
        <f t="shared" si="1"/>
        <v>1344</v>
      </c>
      <c r="D96" s="26" t="s">
        <v>76</v>
      </c>
      <c r="E96" s="27">
        <v>39373</v>
      </c>
      <c r="F96" s="26">
        <v>200</v>
      </c>
      <c r="G96" s="24">
        <v>10871.339999999998</v>
      </c>
      <c r="H96" s="24">
        <v>14284.940759999998</v>
      </c>
      <c r="I96" s="31"/>
    </row>
    <row r="97" spans="1:9" ht="12" customHeight="1" x14ac:dyDescent="0.2">
      <c r="A97" s="21">
        <v>90</v>
      </c>
      <c r="B97" s="25">
        <v>40</v>
      </c>
      <c r="C97" s="30">
        <f t="shared" si="1"/>
        <v>1792</v>
      </c>
      <c r="D97" s="26" t="s">
        <v>76</v>
      </c>
      <c r="E97" s="27">
        <v>40171</v>
      </c>
      <c r="F97" s="26">
        <v>100</v>
      </c>
      <c r="G97" s="24">
        <v>13866.619999999999</v>
      </c>
      <c r="H97" s="24">
        <v>18220.738679999999</v>
      </c>
      <c r="I97" s="31"/>
    </row>
    <row r="98" spans="1:9" ht="12" customHeight="1" x14ac:dyDescent="0.2">
      <c r="A98" s="21">
        <v>103</v>
      </c>
      <c r="B98" s="25">
        <v>40</v>
      </c>
      <c r="C98" s="30">
        <f t="shared" si="1"/>
        <v>1792</v>
      </c>
      <c r="D98" s="26" t="s">
        <v>76</v>
      </c>
      <c r="E98" s="27">
        <v>37762</v>
      </c>
      <c r="F98" s="26">
        <v>100</v>
      </c>
      <c r="G98" s="24">
        <v>19946.300000000007</v>
      </c>
      <c r="H98" s="24">
        <v>26209.438200000011</v>
      </c>
      <c r="I98" s="31"/>
    </row>
    <row r="99" spans="1:9" ht="12" customHeight="1" x14ac:dyDescent="0.2">
      <c r="A99" s="21">
        <v>108</v>
      </c>
      <c r="B99" s="25">
        <v>22.5</v>
      </c>
      <c r="C99" s="30">
        <f t="shared" si="1"/>
        <v>1008</v>
      </c>
      <c r="D99" s="26" t="s">
        <v>76</v>
      </c>
      <c r="E99" s="27">
        <v>41430</v>
      </c>
      <c r="F99" s="26">
        <v>502</v>
      </c>
      <c r="G99" s="28">
        <v>7851.4</v>
      </c>
      <c r="H99" s="28">
        <v>10316.739600000001</v>
      </c>
      <c r="I99" s="31"/>
    </row>
    <row r="100" spans="1:9" s="31" customFormat="1" ht="12.75" customHeight="1" x14ac:dyDescent="0.2">
      <c r="A100" s="21">
        <v>8</v>
      </c>
      <c r="B100" s="22">
        <v>10</v>
      </c>
      <c r="C100" s="30">
        <f t="shared" si="1"/>
        <v>448</v>
      </c>
      <c r="D100" s="21" t="s">
        <v>71</v>
      </c>
      <c r="E100" s="23">
        <v>39501</v>
      </c>
      <c r="F100" s="21">
        <v>540</v>
      </c>
      <c r="G100" s="24">
        <v>3626.2200000000003</v>
      </c>
      <c r="H100" s="24">
        <v>4764.8530800000008</v>
      </c>
    </row>
    <row r="101" spans="1:9" ht="12" customHeight="1" x14ac:dyDescent="0.2">
      <c r="A101" s="21">
        <v>65</v>
      </c>
      <c r="B101" s="25">
        <v>33.799999999999997</v>
      </c>
      <c r="C101" s="30">
        <f t="shared" si="1"/>
        <v>1514.2399999999998</v>
      </c>
      <c r="D101" s="26" t="s">
        <v>71</v>
      </c>
      <c r="E101" s="27">
        <v>39085</v>
      </c>
      <c r="F101" s="26">
        <v>200</v>
      </c>
      <c r="G101" s="28">
        <v>13627.199999999999</v>
      </c>
      <c r="H101" s="28">
        <v>17906.140800000001</v>
      </c>
      <c r="I101" s="31"/>
    </row>
    <row r="102" spans="1:9" ht="12" customHeight="1" x14ac:dyDescent="0.2">
      <c r="A102" s="21">
        <v>97</v>
      </c>
      <c r="B102" s="25">
        <v>40</v>
      </c>
      <c r="C102" s="30">
        <f t="shared" si="1"/>
        <v>1792</v>
      </c>
      <c r="D102" s="26" t="s">
        <v>71</v>
      </c>
      <c r="E102" s="27">
        <v>37755</v>
      </c>
      <c r="F102" s="26">
        <v>100</v>
      </c>
      <c r="G102" s="28">
        <v>14757.16</v>
      </c>
      <c r="H102" s="28">
        <v>19390.908240000001</v>
      </c>
      <c r="I102" s="31"/>
    </row>
    <row r="103" spans="1:9" ht="12" customHeight="1" x14ac:dyDescent="0.2">
      <c r="A103" s="21">
        <v>101</v>
      </c>
      <c r="B103" s="25">
        <v>35</v>
      </c>
      <c r="C103" s="30">
        <f t="shared" si="1"/>
        <v>1568</v>
      </c>
      <c r="D103" s="26" t="s">
        <v>71</v>
      </c>
      <c r="E103" s="27">
        <v>40007</v>
      </c>
      <c r="F103" s="26">
        <v>200</v>
      </c>
      <c r="G103" s="28">
        <v>12470.84</v>
      </c>
      <c r="H103" s="28">
        <v>16386.68376</v>
      </c>
      <c r="I103" s="31"/>
    </row>
    <row r="104" spans="1:9" ht="12" customHeight="1" x14ac:dyDescent="0.2">
      <c r="A104" s="21">
        <v>92</v>
      </c>
      <c r="B104" s="25">
        <v>40</v>
      </c>
      <c r="C104" s="30">
        <f t="shared" si="1"/>
        <v>1792</v>
      </c>
      <c r="D104" s="26" t="s">
        <v>83</v>
      </c>
      <c r="E104" s="27">
        <v>38344</v>
      </c>
      <c r="F104" s="26">
        <v>100</v>
      </c>
      <c r="G104" s="28">
        <v>14757.16</v>
      </c>
      <c r="H104" s="28">
        <v>19390.908240000001</v>
      </c>
      <c r="I104" s="31"/>
    </row>
    <row r="105" spans="1:9" s="31" customFormat="1" ht="12.75" customHeight="1" x14ac:dyDescent="0.2">
      <c r="A105" s="21">
        <v>12</v>
      </c>
      <c r="B105" s="22">
        <v>40</v>
      </c>
      <c r="C105" s="30">
        <f t="shared" si="1"/>
        <v>1792</v>
      </c>
      <c r="D105" s="21" t="s">
        <v>72</v>
      </c>
      <c r="E105" s="23">
        <v>38349</v>
      </c>
      <c r="F105" s="21">
        <v>100</v>
      </c>
      <c r="G105" s="24">
        <v>22030.14</v>
      </c>
      <c r="H105" s="24">
        <v>28947.60396</v>
      </c>
    </row>
    <row r="106" spans="1:9" ht="12" customHeight="1" x14ac:dyDescent="0.2">
      <c r="A106" s="21">
        <v>62</v>
      </c>
      <c r="B106" s="25">
        <v>40</v>
      </c>
      <c r="C106" s="30">
        <f t="shared" si="1"/>
        <v>1792</v>
      </c>
      <c r="D106" s="26" t="s">
        <v>81</v>
      </c>
      <c r="E106" s="27">
        <v>37772</v>
      </c>
      <c r="F106" s="26">
        <v>100</v>
      </c>
      <c r="G106" s="24">
        <v>23323.4</v>
      </c>
      <c r="H106" s="24">
        <v>30646.947600000003</v>
      </c>
      <c r="I106" s="31"/>
    </row>
    <row r="107" spans="1:9" s="31" customFormat="1" ht="12" customHeight="1" x14ac:dyDescent="0.2">
      <c r="A107" s="21">
        <v>15</v>
      </c>
      <c r="B107" s="22">
        <v>40</v>
      </c>
      <c r="C107" s="30">
        <f t="shared" si="1"/>
        <v>1792</v>
      </c>
      <c r="D107" s="21" t="s">
        <v>53</v>
      </c>
      <c r="E107" s="23">
        <v>38138</v>
      </c>
      <c r="F107" s="21">
        <v>100</v>
      </c>
      <c r="G107" s="24">
        <v>16583.84</v>
      </c>
      <c r="H107" s="24">
        <v>21791.16576</v>
      </c>
    </row>
    <row r="108" spans="1:9" s="31" customFormat="1" ht="12" customHeight="1" x14ac:dyDescent="0.2">
      <c r="A108" s="21">
        <v>42</v>
      </c>
      <c r="B108" s="22">
        <v>32.42</v>
      </c>
      <c r="C108" s="30">
        <f t="shared" si="1"/>
        <v>1452.4159999999999</v>
      </c>
      <c r="D108" s="21" t="s">
        <v>53</v>
      </c>
      <c r="E108" s="23">
        <v>41732</v>
      </c>
      <c r="F108" s="21">
        <v>541</v>
      </c>
      <c r="G108" s="24">
        <v>12096.779999999999</v>
      </c>
      <c r="H108" s="24">
        <v>15895.168919999998</v>
      </c>
    </row>
    <row r="109" spans="1:9" ht="12" customHeight="1" x14ac:dyDescent="0.2">
      <c r="A109" s="21">
        <v>87</v>
      </c>
      <c r="B109" s="25">
        <v>22</v>
      </c>
      <c r="C109" s="30">
        <f t="shared" si="1"/>
        <v>985.6</v>
      </c>
      <c r="D109" s="26" t="s">
        <v>53</v>
      </c>
      <c r="E109" s="27">
        <v>39088</v>
      </c>
      <c r="F109" s="26">
        <v>200</v>
      </c>
      <c r="G109" s="24">
        <v>8848.94</v>
      </c>
      <c r="H109" s="24">
        <v>11627.507160000001</v>
      </c>
      <c r="I109" s="31"/>
    </row>
    <row r="110" spans="1:9" s="31" customFormat="1" ht="12" customHeight="1" x14ac:dyDescent="0.2">
      <c r="A110" s="21">
        <v>41</v>
      </c>
      <c r="B110" s="22">
        <v>40</v>
      </c>
      <c r="C110" s="30">
        <f t="shared" si="1"/>
        <v>1792</v>
      </c>
      <c r="D110" s="21" t="s">
        <v>47</v>
      </c>
      <c r="E110" s="23">
        <v>40452</v>
      </c>
      <c r="F110" s="21">
        <v>189</v>
      </c>
      <c r="G110" s="24">
        <v>17536.580000000002</v>
      </c>
      <c r="H110" s="24">
        <v>23043.066120000003</v>
      </c>
    </row>
    <row r="111" spans="1:9" s="31" customFormat="1" ht="12.75" customHeight="1" x14ac:dyDescent="0.2">
      <c r="A111" s="21">
        <v>10</v>
      </c>
      <c r="B111" s="22">
        <v>40</v>
      </c>
      <c r="C111" s="30">
        <f t="shared" si="1"/>
        <v>1792</v>
      </c>
      <c r="D111" s="21" t="s">
        <v>77</v>
      </c>
      <c r="E111" s="23">
        <v>41647</v>
      </c>
      <c r="F111" s="21">
        <v>402</v>
      </c>
      <c r="G111" s="24">
        <v>17284.160000000003</v>
      </c>
      <c r="H111" s="24">
        <v>22711.386240000007</v>
      </c>
    </row>
    <row r="112" spans="1:9" ht="12" customHeight="1" x14ac:dyDescent="0.2">
      <c r="A112" s="21">
        <v>94</v>
      </c>
      <c r="B112" s="25">
        <v>40</v>
      </c>
      <c r="C112" s="30">
        <f t="shared" si="1"/>
        <v>1792</v>
      </c>
      <c r="D112" s="21" t="s">
        <v>77</v>
      </c>
      <c r="E112" s="27">
        <v>39860</v>
      </c>
      <c r="F112" s="26">
        <v>100</v>
      </c>
      <c r="G112" s="28">
        <v>17536.580000000002</v>
      </c>
      <c r="H112" s="28">
        <v>23043.066120000003</v>
      </c>
      <c r="I112" s="31"/>
    </row>
    <row r="113" spans="1:9" ht="12" customHeight="1" x14ac:dyDescent="0.2">
      <c r="C113" s="34">
        <f>SUM(C4:C112)</f>
        <v>178159.74400000001</v>
      </c>
      <c r="H113" s="36">
        <f>SUM(H4:H112)</f>
        <v>2248671.1687200009</v>
      </c>
    </row>
    <row r="114" spans="1:9" ht="12" customHeight="1" x14ac:dyDescent="0.2"/>
    <row r="115" spans="1:9" s="46" customFormat="1" ht="25.5" customHeight="1" x14ac:dyDescent="0.2">
      <c r="A115" s="44" t="s">
        <v>50</v>
      </c>
      <c r="B115" s="49" t="s">
        <v>85</v>
      </c>
      <c r="C115" s="50" t="s">
        <v>86</v>
      </c>
      <c r="D115" s="53" t="s">
        <v>106</v>
      </c>
      <c r="E115" s="50" t="s">
        <v>87</v>
      </c>
      <c r="F115" s="51"/>
      <c r="H115" s="52"/>
      <c r="I115" s="52"/>
    </row>
    <row r="116" spans="1:9" ht="12" customHeight="1" x14ac:dyDescent="0.2">
      <c r="A116" s="41" t="s">
        <v>46</v>
      </c>
      <c r="B116" s="39">
        <v>15525.888000000001</v>
      </c>
      <c r="C116" s="39">
        <f>10089.64+1792+1037.4</f>
        <v>12919.039999999999</v>
      </c>
      <c r="D116" s="39">
        <v>-2757.3</v>
      </c>
      <c r="E116" s="45">
        <f>GETPIVOTDATA("HORES ANUALS",$A$115,"CATEGORIA","A.T.S./D.U.E.")-C116+D116</f>
        <v>-150.45199999999841</v>
      </c>
      <c r="F116" s="38" t="s">
        <v>110</v>
      </c>
      <c r="G116" s="29"/>
      <c r="I116" s="36"/>
    </row>
    <row r="117" spans="1:9" ht="12" customHeight="1" x14ac:dyDescent="0.2">
      <c r="A117" s="41" t="s">
        <v>80</v>
      </c>
      <c r="B117" s="39">
        <v>896</v>
      </c>
      <c r="C117" s="39"/>
      <c r="D117" s="39">
        <v>456.43</v>
      </c>
      <c r="E117" s="45">
        <f>GETPIVOTDATA("HORES ANUALS",$A$115,"CATEGORIA","AJUDANT")-D117</f>
        <v>439.57</v>
      </c>
      <c r="F117" s="38" t="s">
        <v>92</v>
      </c>
      <c r="G117" s="29"/>
      <c r="I117" s="36"/>
    </row>
    <row r="118" spans="1:9" ht="12" customHeight="1" x14ac:dyDescent="0.2">
      <c r="A118" s="41" t="s">
        <v>79</v>
      </c>
      <c r="B118" s="39">
        <v>896</v>
      </c>
      <c r="C118" s="39"/>
      <c r="D118" s="39">
        <v>-842.2</v>
      </c>
      <c r="E118" s="45">
        <f>GETPIVOTDATA("HORES ANUALS",$A$115,"CATEGORIA","AUXILIAR ADMINISTRATIU")-D118</f>
        <v>1738.2</v>
      </c>
      <c r="F118" s="38" t="s">
        <v>90</v>
      </c>
      <c r="G118" s="29"/>
      <c r="I118" s="36"/>
    </row>
    <row r="119" spans="1:9" ht="12" customHeight="1" x14ac:dyDescent="0.2">
      <c r="A119" s="41" t="s">
        <v>75</v>
      </c>
      <c r="B119" s="39">
        <v>3584</v>
      </c>
      <c r="C119" s="39"/>
      <c r="D119" s="39">
        <v>4040.43</v>
      </c>
      <c r="E119" s="45">
        <f>GETPIVOTDATA("HORES ANUALS",$A$115,"CATEGORIA","AUXILIAR DE SERVEIS")-D119</f>
        <v>-456.42999999999984</v>
      </c>
      <c r="F119" s="35" t="s">
        <v>94</v>
      </c>
      <c r="G119" s="29"/>
      <c r="I119" s="36"/>
    </row>
    <row r="120" spans="1:9" ht="12" customHeight="1" x14ac:dyDescent="0.2">
      <c r="A120" s="41" t="s">
        <v>38</v>
      </c>
      <c r="B120" s="39">
        <v>3584</v>
      </c>
      <c r="C120" s="39">
        <v>4432.1400000000003</v>
      </c>
      <c r="D120" s="39"/>
      <c r="E120" s="45">
        <f>GETPIVOTDATA("HORES ANUALS",$A$115,"CATEGORIA","CUINER")-C120</f>
        <v>-848.14000000000033</v>
      </c>
      <c r="F120" s="38" t="s">
        <v>104</v>
      </c>
      <c r="G120" s="29"/>
      <c r="I120" s="36"/>
    </row>
    <row r="121" spans="1:9" x14ac:dyDescent="0.2">
      <c r="A121" s="41" t="s">
        <v>54</v>
      </c>
      <c r="B121" s="39">
        <v>1792</v>
      </c>
      <c r="C121" s="39">
        <v>1792</v>
      </c>
      <c r="D121" s="39"/>
      <c r="E121" s="45">
        <f>GETPIVOTDATA("HORES ANUALS",$A$115,"CATEGORIA","DIRECTOR/A")-C121</f>
        <v>0</v>
      </c>
      <c r="F121" s="29" t="s">
        <v>88</v>
      </c>
      <c r="G121" s="29"/>
      <c r="H121" s="29"/>
    </row>
    <row r="122" spans="1:9" x14ac:dyDescent="0.2">
      <c r="A122" s="41" t="s">
        <v>70</v>
      </c>
      <c r="B122" s="39">
        <v>3584</v>
      </c>
      <c r="C122" s="39">
        <f>3041.79+247</f>
        <v>3288.79</v>
      </c>
      <c r="D122" s="39"/>
      <c r="E122" s="45">
        <f>GETPIVOTDATA("HORES ANUALS",$A$115,"CATEGORIA","EDUCADOR SOCIAL")-C122</f>
        <v>295.21000000000004</v>
      </c>
      <c r="F122" s="29" t="s">
        <v>103</v>
      </c>
      <c r="G122" s="29"/>
      <c r="H122" s="29"/>
    </row>
    <row r="123" spans="1:9" x14ac:dyDescent="0.2">
      <c r="A123" s="41" t="s">
        <v>48</v>
      </c>
      <c r="B123" s="39">
        <v>4816</v>
      </c>
      <c r="C123" s="39">
        <f>4795+988</f>
        <v>5783</v>
      </c>
      <c r="D123" s="54">
        <v>-967</v>
      </c>
      <c r="E123" s="45">
        <f>GETPIVOTDATA("HORES ANUALS",$A$115,"CATEGORIA","FISIOTERAPEUTA")-C123-D123</f>
        <v>0</v>
      </c>
      <c r="F123" s="29" t="s">
        <v>88</v>
      </c>
      <c r="G123" s="29"/>
      <c r="H123" s="29"/>
    </row>
    <row r="124" spans="1:9" x14ac:dyDescent="0.2">
      <c r="A124" s="41" t="s">
        <v>49</v>
      </c>
      <c r="B124" s="39">
        <v>92601.600000000006</v>
      </c>
      <c r="C124" s="39">
        <f>88773.21+6422</f>
        <v>95195.21</v>
      </c>
      <c r="D124" s="39"/>
      <c r="E124" s="45">
        <f>GETPIVOTDATA("HORES ANUALS",$A$115,"CATEGORIA","GEROCULTOR")-C124</f>
        <v>-2593.6100000000006</v>
      </c>
      <c r="F124" s="29" t="s">
        <v>107</v>
      </c>
      <c r="G124" s="29"/>
      <c r="H124" s="29"/>
    </row>
    <row r="125" spans="1:9" x14ac:dyDescent="0.2">
      <c r="A125" s="41" t="s">
        <v>82</v>
      </c>
      <c r="B125" s="39">
        <v>1792</v>
      </c>
      <c r="C125" s="39">
        <v>1792</v>
      </c>
      <c r="D125" s="39"/>
      <c r="E125" s="45">
        <f>GETPIVOTDATA("HORES ANUALS",$A$115,"CATEGORIA","GOBERNANTA")-C125</f>
        <v>0</v>
      </c>
      <c r="F125" s="29" t="s">
        <v>88</v>
      </c>
      <c r="G125" s="29"/>
      <c r="H125" s="29"/>
    </row>
    <row r="126" spans="1:9" x14ac:dyDescent="0.2">
      <c r="A126" s="41" t="s">
        <v>78</v>
      </c>
      <c r="B126" s="39">
        <v>3584</v>
      </c>
      <c r="C126" s="39">
        <v>8864.2900000000009</v>
      </c>
      <c r="D126" s="39"/>
      <c r="E126" s="45">
        <f>GETPIVOTDATA("HORES ANUALS",$A$115,"CATEGORIA","MARMITO")-C126</f>
        <v>-5280.2900000000009</v>
      </c>
      <c r="F126" s="29" t="s">
        <v>105</v>
      </c>
      <c r="G126" s="29"/>
      <c r="H126" s="29"/>
    </row>
    <row r="127" spans="1:9" x14ac:dyDescent="0.2">
      <c r="A127" s="41" t="s">
        <v>44</v>
      </c>
      <c r="B127" s="39">
        <v>1344</v>
      </c>
      <c r="C127" s="39">
        <f>1598.91</f>
        <v>1598.91</v>
      </c>
      <c r="D127" s="39"/>
      <c r="E127" s="45">
        <f>GETPIVOTDATA("HORES ANUALS",$A$115,"CATEGORIA","METGE")-C127</f>
        <v>-254.91000000000008</v>
      </c>
      <c r="F127" s="29" t="s">
        <v>89</v>
      </c>
      <c r="G127" s="29"/>
      <c r="H127" s="29"/>
    </row>
    <row r="128" spans="1:9" x14ac:dyDescent="0.2">
      <c r="A128" s="41" t="s">
        <v>76</v>
      </c>
      <c r="B128" s="39">
        <v>23856</v>
      </c>
      <c r="C128" s="39">
        <v>27896.43</v>
      </c>
      <c r="D128" s="39"/>
      <c r="E128" s="45">
        <f>GETPIVOTDATA("HORES ANUALS",$A$115,"CATEGORIA","NETEJADOR/A-PLANXADORA")-C128</f>
        <v>-4040.4300000000003</v>
      </c>
      <c r="F128" s="29" t="s">
        <v>93</v>
      </c>
      <c r="G128" s="29"/>
      <c r="H128" s="29"/>
    </row>
    <row r="129" spans="1:8" x14ac:dyDescent="0.2">
      <c r="A129" s="41" t="s">
        <v>71</v>
      </c>
      <c r="B129" s="39">
        <v>5322.24</v>
      </c>
      <c r="C129" s="39">
        <v>4480</v>
      </c>
      <c r="D129" s="39"/>
      <c r="E129" s="45">
        <f>GETPIVOTDATA("HORES ANUALS",$A$115,"CATEGORIA","OFIC.PRA.ADMINISTRATIU")-C129</f>
        <v>842.23999999999978</v>
      </c>
      <c r="F129" s="29" t="s">
        <v>91</v>
      </c>
      <c r="G129" s="29"/>
      <c r="H129" s="29"/>
    </row>
    <row r="130" spans="1:8" x14ac:dyDescent="0.2">
      <c r="A130" s="41" t="s">
        <v>83</v>
      </c>
      <c r="B130" s="39">
        <v>1792</v>
      </c>
      <c r="C130" s="39">
        <v>1792</v>
      </c>
      <c r="D130" s="39"/>
      <c r="E130" s="45">
        <f>GETPIVOTDATA("HORES ANUALS",$A$115,"CATEGORIA","OFICIAL 1A MANTENIMENT")-C130</f>
        <v>0</v>
      </c>
      <c r="F130" s="29" t="s">
        <v>88</v>
      </c>
      <c r="G130" s="29"/>
      <c r="H130" s="29"/>
    </row>
    <row r="131" spans="1:8" x14ac:dyDescent="0.2">
      <c r="A131" s="41" t="s">
        <v>72</v>
      </c>
      <c r="B131" s="39">
        <v>1792</v>
      </c>
      <c r="C131" s="39">
        <f>2329+444.6</f>
        <v>2773.6</v>
      </c>
      <c r="D131" s="54">
        <v>-981.6</v>
      </c>
      <c r="E131" s="45">
        <f>GETPIVOTDATA("HORES ANUALS",$A$115,"CATEGORIA","PSICOLEG")-C131-D131</f>
        <v>0</v>
      </c>
      <c r="F131" s="29" t="s">
        <v>88</v>
      </c>
      <c r="G131" s="29"/>
      <c r="H131" s="29"/>
    </row>
    <row r="132" spans="1:8" x14ac:dyDescent="0.2">
      <c r="A132" s="41" t="s">
        <v>81</v>
      </c>
      <c r="B132" s="39">
        <v>1792</v>
      </c>
      <c r="C132" s="39">
        <v>1792</v>
      </c>
      <c r="D132" s="39"/>
      <c r="E132" s="45">
        <f>GETPIVOTDATA("HORES ANUALS",$A$115,"CATEGORIA","SUPERVISORA")-C132</f>
        <v>0</v>
      </c>
      <c r="F132" s="29" t="s">
        <v>88</v>
      </c>
      <c r="G132" s="29"/>
      <c r="H132" s="29"/>
    </row>
    <row r="133" spans="1:8" x14ac:dyDescent="0.2">
      <c r="A133" s="41" t="s">
        <v>53</v>
      </c>
      <c r="B133" s="39">
        <v>4230.0160000000005</v>
      </c>
      <c r="C133" s="45">
        <v>6413.57</v>
      </c>
      <c r="D133" s="45">
        <v>1738.2</v>
      </c>
      <c r="E133" s="45">
        <f>GETPIVOTDATA("HORES ANUALS",$A$115,"CATEGORIA","TELEF. RECEPCIONISTA")-C133+D133</f>
        <v>-445.35399999999913</v>
      </c>
      <c r="F133" s="29" t="s">
        <v>108</v>
      </c>
      <c r="G133" s="29"/>
      <c r="H133" s="29"/>
    </row>
    <row r="134" spans="1:8" x14ac:dyDescent="0.2">
      <c r="A134" s="41" t="s">
        <v>47</v>
      </c>
      <c r="B134" s="39">
        <v>1792</v>
      </c>
      <c r="C134" s="45">
        <f>2329+271.7</f>
        <v>2600.6999999999998</v>
      </c>
      <c r="D134" s="55">
        <v>-808.7</v>
      </c>
      <c r="E134" s="45">
        <f>GETPIVOTDATA("HORES ANUALS",$A$115,"CATEGORIA","TERAPEUTA OCUPACIONAL")-C134-D134</f>
        <v>0</v>
      </c>
      <c r="F134" s="29" t="s">
        <v>88</v>
      </c>
      <c r="G134" s="29"/>
      <c r="H134" s="29"/>
    </row>
    <row r="135" spans="1:8" x14ac:dyDescent="0.2">
      <c r="A135" s="41" t="s">
        <v>77</v>
      </c>
      <c r="B135" s="39">
        <v>3584</v>
      </c>
      <c r="C135" s="45">
        <f>2803.69+494</f>
        <v>3297.69</v>
      </c>
      <c r="D135" s="45"/>
      <c r="E135" s="45">
        <f>GETPIVOTDATA("HORES ANUALS",$A$115,"CATEGORIA","TREBALLADOR  SOCIAL")-C135</f>
        <v>286.30999999999995</v>
      </c>
      <c r="F135" s="29" t="s">
        <v>103</v>
      </c>
      <c r="G135" s="29"/>
      <c r="H135" s="29"/>
    </row>
    <row r="136" spans="1:8" x14ac:dyDescent="0.2">
      <c r="A136" s="41" t="s">
        <v>52</v>
      </c>
      <c r="B136" s="39"/>
      <c r="C136" s="45"/>
      <c r="D136" s="45"/>
      <c r="E136" s="45"/>
      <c r="G136" s="29"/>
      <c r="H136" s="29"/>
    </row>
    <row r="137" spans="1:8" x14ac:dyDescent="0.2">
      <c r="A137" s="41" t="s">
        <v>51</v>
      </c>
      <c r="B137" s="39">
        <v>178159.74400000001</v>
      </c>
      <c r="C137" s="40">
        <f>SUM(C116:C135)</f>
        <v>186711.37000000002</v>
      </c>
      <c r="D137" s="40"/>
      <c r="E137" s="40">
        <f>SUM(E116:E136)</f>
        <v>-10468.085999999999</v>
      </c>
      <c r="G137" s="29"/>
      <c r="H137" s="29"/>
    </row>
    <row r="138" spans="1:8" x14ac:dyDescent="0.2">
      <c r="A138" s="42" t="s">
        <v>95</v>
      </c>
      <c r="B138" s="43">
        <f>H113</f>
        <v>2248671.1687200009</v>
      </c>
      <c r="C138" s="43">
        <f>B138/GETPIVOTDATA("HORES ANUALS",$A$115)</f>
        <v>12.621656936821827</v>
      </c>
      <c r="D138" s="48"/>
      <c r="E138" s="37"/>
      <c r="G138" s="29"/>
      <c r="H138" s="29"/>
    </row>
    <row r="139" spans="1:8" x14ac:dyDescent="0.2">
      <c r="A139" s="42" t="s">
        <v>96</v>
      </c>
      <c r="B139" s="43">
        <v>2299284.48</v>
      </c>
      <c r="C139" s="43">
        <f>B139/C137</f>
        <v>12.314646290689204</v>
      </c>
      <c r="D139" s="48"/>
      <c r="E139" s="29"/>
      <c r="G139" s="29"/>
      <c r="H139" s="29"/>
    </row>
    <row r="140" spans="1:8" x14ac:dyDescent="0.2">
      <c r="A140" s="42" t="s">
        <v>109</v>
      </c>
      <c r="B140" s="43">
        <f>'PiG2013'!B21</f>
        <v>2356419.0600000005</v>
      </c>
      <c r="C140" s="43">
        <f>B140/GETPIVOTDATA("HORES ANUALS",$A$115)</f>
        <v>13.226439413833017</v>
      </c>
      <c r="E140" s="29"/>
      <c r="G140" s="29"/>
      <c r="H140" s="29"/>
    </row>
    <row r="141" spans="1:8" x14ac:dyDescent="0.2">
      <c r="A141" s="42" t="s">
        <v>111</v>
      </c>
      <c r="B141" s="43">
        <f>C137*C140</f>
        <v>2469526.6231787601</v>
      </c>
      <c r="C141" s="43">
        <f>B141/C137</f>
        <v>13.226439413833019</v>
      </c>
      <c r="E141" s="29"/>
      <c r="G141" s="29"/>
      <c r="H141" s="29"/>
    </row>
    <row r="142" spans="1:8" ht="12.75" x14ac:dyDescent="0.2">
      <c r="A142"/>
      <c r="B142" s="29"/>
      <c r="C142" s="47"/>
      <c r="E142" s="29"/>
      <c r="G142" s="29"/>
      <c r="H142" s="29"/>
    </row>
    <row r="143" spans="1:8" ht="12.75" x14ac:dyDescent="0.2">
      <c r="A143"/>
      <c r="B143" s="29"/>
      <c r="C143" s="29"/>
      <c r="E143" s="29"/>
      <c r="G143" s="29"/>
      <c r="H143" s="29"/>
    </row>
    <row r="144" spans="1:8" x14ac:dyDescent="0.2">
      <c r="A144" s="56" t="s">
        <v>48</v>
      </c>
      <c r="B144" s="34" t="e">
        <f>GETPIVOTDATA("HORES ANUALS",$A$115,"CATEGORIA","FISIOTERAPEUTA")/#REF!</f>
        <v>#REF!</v>
      </c>
      <c r="C144" s="34" t="e">
        <f>C123/#REF!</f>
        <v>#REF!</v>
      </c>
      <c r="D144" s="34" t="e">
        <f>B144-C144</f>
        <v>#REF!</v>
      </c>
      <c r="E144" s="29"/>
      <c r="G144" s="29"/>
      <c r="H144" s="29"/>
    </row>
    <row r="145" spans="1:8" x14ac:dyDescent="0.2">
      <c r="A145" s="56" t="s">
        <v>45</v>
      </c>
      <c r="B145" s="34" t="e">
        <f>GETPIVOTDATA("HORES ANUALS",$A$115,"CATEGORIA","PSICOLEG")/#REF!</f>
        <v>#REF!</v>
      </c>
      <c r="C145" s="34" t="e">
        <f>C131/#REF!</f>
        <v>#REF!</v>
      </c>
      <c r="D145" s="34" t="e">
        <f t="shared" ref="D145:D147" si="2">B145-C145</f>
        <v>#REF!</v>
      </c>
      <c r="E145" s="29"/>
      <c r="G145" s="29"/>
      <c r="H145" s="29"/>
    </row>
    <row r="146" spans="1:8" x14ac:dyDescent="0.2">
      <c r="A146" s="56" t="s">
        <v>47</v>
      </c>
      <c r="B146" s="34" t="e">
        <f>GETPIVOTDATA("HORES ANUALS",$A$115,"CATEGORIA","TERAPEUTA OCUPACIONAL")/#REF!</f>
        <v>#REF!</v>
      </c>
      <c r="C146" s="34" t="e">
        <f>C134/#REF!</f>
        <v>#REF!</v>
      </c>
      <c r="D146" s="34" t="e">
        <f t="shared" si="2"/>
        <v>#REF!</v>
      </c>
      <c r="E146" s="29"/>
      <c r="G146" s="29"/>
      <c r="H146" s="29"/>
    </row>
    <row r="147" spans="1:8" x14ac:dyDescent="0.2">
      <c r="A147" s="56" t="s">
        <v>112</v>
      </c>
      <c r="B147" s="34">
        <f>GETPIVOTDATA("HORES ANUALS",$A$115,"CATEGORIA","A.T.S./D.U.E.")/365</f>
        <v>42.536679452054798</v>
      </c>
      <c r="C147" s="34">
        <f>C116/365</f>
        <v>35.394630136986301</v>
      </c>
      <c r="D147" s="34">
        <f t="shared" si="2"/>
        <v>7.1420493150684976</v>
      </c>
      <c r="E147" s="29"/>
      <c r="G147" s="29"/>
      <c r="H147" s="29"/>
    </row>
    <row r="148" spans="1:8" ht="12.75" x14ac:dyDescent="0.2">
      <c r="A148"/>
      <c r="B148" s="29"/>
      <c r="C148" s="29"/>
      <c r="E148" s="29"/>
      <c r="G148" s="29"/>
      <c r="H148" s="29"/>
    </row>
    <row r="149" spans="1:8" ht="12.75" x14ac:dyDescent="0.2">
      <c r="A149"/>
      <c r="B149" s="29"/>
      <c r="C149" s="29"/>
      <c r="E149" s="29"/>
      <c r="G149" s="29"/>
      <c r="H149" s="29"/>
    </row>
    <row r="150" spans="1:8" ht="12.75" x14ac:dyDescent="0.2">
      <c r="A150"/>
      <c r="B150" s="29"/>
      <c r="C150" s="29"/>
      <c r="E150" s="29"/>
      <c r="G150" s="29"/>
      <c r="H150" s="29"/>
    </row>
    <row r="151" spans="1:8" ht="12.75" x14ac:dyDescent="0.2">
      <c r="A151"/>
      <c r="B151" s="29"/>
      <c r="C151" s="29"/>
      <c r="E151" s="29"/>
      <c r="G151" s="29"/>
      <c r="H151" s="29"/>
    </row>
    <row r="152" spans="1:8" ht="12.75" x14ac:dyDescent="0.2">
      <c r="A152"/>
      <c r="B152" s="29"/>
      <c r="C152" s="29"/>
      <c r="E152" s="29"/>
      <c r="G152" s="29"/>
      <c r="H152" s="29"/>
    </row>
    <row r="153" spans="1:8" ht="12.75" x14ac:dyDescent="0.2">
      <c r="A153"/>
      <c r="B153" s="29"/>
      <c r="C153" s="29"/>
      <c r="E153" s="29"/>
      <c r="G153" s="29"/>
      <c r="H153" s="29"/>
    </row>
    <row r="154" spans="1:8" ht="12.75" x14ac:dyDescent="0.2">
      <c r="A154"/>
      <c r="B154" s="29"/>
      <c r="C154" s="29"/>
      <c r="E154" s="29"/>
      <c r="G154" s="29"/>
      <c r="H154" s="29"/>
    </row>
    <row r="155" spans="1:8" ht="12.75" x14ac:dyDescent="0.2">
      <c r="A155"/>
      <c r="B155" s="29"/>
      <c r="C155" s="29"/>
      <c r="E155" s="29"/>
      <c r="G155" s="29"/>
      <c r="H155" s="29"/>
    </row>
    <row r="156" spans="1:8" ht="12.75" x14ac:dyDescent="0.2">
      <c r="A156"/>
      <c r="B156" s="29"/>
      <c r="C156" s="29"/>
      <c r="E156" s="29"/>
      <c r="G156" s="29"/>
      <c r="H156" s="29"/>
    </row>
    <row r="157" spans="1:8" ht="12.75" x14ac:dyDescent="0.2">
      <c r="A157"/>
      <c r="B157" s="29"/>
      <c r="C157" s="29"/>
      <c r="E157" s="29"/>
      <c r="G157" s="29"/>
      <c r="H157" s="29"/>
    </row>
    <row r="158" spans="1:8" ht="12.75" x14ac:dyDescent="0.2">
      <c r="A158"/>
      <c r="B158" s="29"/>
      <c r="C158" s="29"/>
      <c r="E158" s="29"/>
      <c r="G158" s="29"/>
      <c r="H158" s="29"/>
    </row>
    <row r="159" spans="1:8" ht="12.75" x14ac:dyDescent="0.2">
      <c r="A159"/>
      <c r="B159" s="29"/>
      <c r="C159" s="29"/>
      <c r="E159" s="29"/>
      <c r="G159" s="29"/>
      <c r="H159" s="29"/>
    </row>
    <row r="160" spans="1:8" ht="12.75" x14ac:dyDescent="0.2">
      <c r="A160"/>
      <c r="B160" s="29"/>
      <c r="C160" s="29"/>
      <c r="E160" s="29"/>
      <c r="G160" s="29"/>
      <c r="H160" s="29"/>
    </row>
    <row r="161" spans="1:8" ht="12.75" x14ac:dyDescent="0.2">
      <c r="A161"/>
      <c r="B161" s="29"/>
      <c r="C161" s="29"/>
      <c r="E161" s="29"/>
      <c r="G161" s="29"/>
      <c r="H161" s="29"/>
    </row>
    <row r="162" spans="1:8" ht="12.75" x14ac:dyDescent="0.2">
      <c r="A162"/>
      <c r="B162" s="29"/>
      <c r="C162" s="29"/>
      <c r="E162" s="29"/>
      <c r="G162" s="29"/>
      <c r="H162" s="29"/>
    </row>
    <row r="163" spans="1:8" ht="12.75" x14ac:dyDescent="0.2">
      <c r="A163"/>
      <c r="B163" s="29"/>
      <c r="C163" s="29"/>
      <c r="E163" s="29"/>
      <c r="G163" s="29"/>
      <c r="H163" s="29"/>
    </row>
    <row r="164" spans="1:8" ht="12.75" x14ac:dyDescent="0.2">
      <c r="A164"/>
      <c r="B164" s="29"/>
      <c r="C164" s="29"/>
      <c r="E164" s="29"/>
      <c r="G164" s="29"/>
      <c r="H164" s="29"/>
    </row>
    <row r="165" spans="1:8" ht="12.75" x14ac:dyDescent="0.2">
      <c r="A165"/>
      <c r="B165" s="29"/>
      <c r="C165" s="29"/>
      <c r="E165" s="29"/>
      <c r="G165" s="29"/>
      <c r="H165" s="29"/>
    </row>
    <row r="166" spans="1:8" ht="12.75" x14ac:dyDescent="0.2">
      <c r="A166"/>
    </row>
    <row r="167" spans="1:8" ht="12.75" x14ac:dyDescent="0.2">
      <c r="A167"/>
    </row>
    <row r="168" spans="1:8" ht="12.75" x14ac:dyDescent="0.2">
      <c r="A168"/>
    </row>
    <row r="169" spans="1:8" ht="12.75" x14ac:dyDescent="0.2">
      <c r="A169"/>
    </row>
    <row r="170" spans="1:8" ht="12.75" x14ac:dyDescent="0.2">
      <c r="A170"/>
    </row>
    <row r="171" spans="1:8" ht="12.75" x14ac:dyDescent="0.2">
      <c r="A171"/>
    </row>
    <row r="172" spans="1:8" ht="12.75" x14ac:dyDescent="0.2">
      <c r="A172"/>
    </row>
    <row r="173" spans="1:8" ht="12.75" x14ac:dyDescent="0.2">
      <c r="A173"/>
    </row>
  </sheetData>
  <mergeCells count="8">
    <mergeCell ref="G1:G3"/>
    <mergeCell ref="H1:H3"/>
    <mergeCell ref="C1:C3"/>
    <mergeCell ref="A1:A3"/>
    <mergeCell ref="B1:B3"/>
    <mergeCell ref="D1:D3"/>
    <mergeCell ref="E1:E3"/>
    <mergeCell ref="F1:F3"/>
  </mergeCells>
  <conditionalFormatting sqref="E116:E135">
    <cfRule type="cellIs" dxfId="6" priority="1" operator="lessThan">
      <formula>0</formula>
    </cfRule>
  </conditionalFormatting>
  <pageMargins left="0.70866141732283472" right="0.70866141732283472" top="0.53" bottom="0.5" header="0.31496062992125984" footer="0.31496062992125984"/>
  <pageSetup paperSize="9" scale="57" fitToHeight="2" orientation="landscape"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D54"/>
  <sheetViews>
    <sheetView topLeftCell="A52" workbookViewId="0">
      <selection activeCell="M126" sqref="M126"/>
    </sheetView>
  </sheetViews>
  <sheetFormatPr defaultColWidth="9" defaultRowHeight="12.75" x14ac:dyDescent="0.2"/>
  <cols>
    <col min="1" max="1" width="42.625" style="7" bestFit="1" customWidth="1"/>
    <col min="2" max="2" width="11.875" style="8" bestFit="1" customWidth="1"/>
    <col min="3" max="3" width="6.375" style="4" bestFit="1" customWidth="1"/>
    <col min="4" max="4" width="7.25" style="4" bestFit="1" customWidth="1"/>
    <col min="5" max="16384" width="9" style="7"/>
  </cols>
  <sheetData>
    <row r="1" spans="1:4" s="5" customFormat="1" x14ac:dyDescent="0.2">
      <c r="A1" s="5" t="s">
        <v>1</v>
      </c>
      <c r="B1" s="6">
        <v>2011</v>
      </c>
      <c r="C1" s="1"/>
      <c r="D1" s="1"/>
    </row>
    <row r="2" spans="1:4" x14ac:dyDescent="0.2">
      <c r="A2" s="5" t="s">
        <v>97</v>
      </c>
      <c r="B2" s="6"/>
      <c r="C2" s="1"/>
      <c r="D2" s="1"/>
    </row>
    <row r="3" spans="1:4" x14ac:dyDescent="0.2">
      <c r="A3" s="5" t="s">
        <v>55</v>
      </c>
      <c r="B3" s="6"/>
      <c r="C3" s="1"/>
      <c r="D3" s="1"/>
    </row>
    <row r="4" spans="1:4" s="9" customFormat="1" x14ac:dyDescent="0.2">
      <c r="A4" s="7"/>
      <c r="B4" s="8"/>
      <c r="C4" s="4"/>
      <c r="D4" s="4"/>
    </row>
    <row r="5" spans="1:4" s="9" customFormat="1" x14ac:dyDescent="0.2">
      <c r="A5" s="10" t="s">
        <v>2</v>
      </c>
      <c r="B5" s="11">
        <f>SUM(B6,B10)</f>
        <v>3035084.4</v>
      </c>
      <c r="C5" s="4"/>
      <c r="D5" s="4"/>
    </row>
    <row r="6" spans="1:4" s="9" customFormat="1" x14ac:dyDescent="0.2">
      <c r="A6" s="7" t="s">
        <v>3</v>
      </c>
      <c r="B6" s="11">
        <f>SUM(B7:B8)</f>
        <v>3035084.4</v>
      </c>
      <c r="C6" s="2"/>
      <c r="D6" s="2"/>
    </row>
    <row r="7" spans="1:4" s="9" customFormat="1" x14ac:dyDescent="0.2">
      <c r="A7" s="7" t="s">
        <v>4</v>
      </c>
      <c r="B7" s="8">
        <v>3035084.4</v>
      </c>
      <c r="C7" s="2"/>
      <c r="D7" s="2"/>
    </row>
    <row r="8" spans="1:4" s="9" customFormat="1" x14ac:dyDescent="0.2">
      <c r="A8" s="7" t="s">
        <v>5</v>
      </c>
      <c r="B8" s="8">
        <v>0</v>
      </c>
      <c r="C8" s="2"/>
      <c r="D8" s="2"/>
    </row>
    <row r="9" spans="1:4" x14ac:dyDescent="0.2">
      <c r="C9" s="2"/>
      <c r="D9" s="2"/>
    </row>
    <row r="10" spans="1:4" x14ac:dyDescent="0.2">
      <c r="A10" s="7" t="s">
        <v>6</v>
      </c>
      <c r="B10" s="11">
        <f>SUM(B11:B12)</f>
        <v>0</v>
      </c>
      <c r="C10" s="2"/>
      <c r="D10" s="2"/>
    </row>
    <row r="11" spans="1:4" x14ac:dyDescent="0.2">
      <c r="A11" s="7" t="s">
        <v>7</v>
      </c>
      <c r="B11" s="8">
        <v>0</v>
      </c>
    </row>
    <row r="12" spans="1:4" x14ac:dyDescent="0.2">
      <c r="A12" s="7" t="s">
        <v>8</v>
      </c>
      <c r="B12" s="8">
        <v>0</v>
      </c>
    </row>
    <row r="14" spans="1:4" s="9" customFormat="1" x14ac:dyDescent="0.2">
      <c r="A14" s="10" t="s">
        <v>9</v>
      </c>
      <c r="B14" s="11">
        <f>SUM(B15,B21,B26,B38,B40)</f>
        <v>2991506.04</v>
      </c>
      <c r="C14" s="4"/>
      <c r="D14" s="12">
        <f>B14/$B$5</f>
        <v>0.98564179632039228</v>
      </c>
    </row>
    <row r="15" spans="1:4" s="9" customFormat="1" x14ac:dyDescent="0.2">
      <c r="A15" s="7" t="s">
        <v>10</v>
      </c>
      <c r="B15" s="11">
        <f>SUM(B16:B19)</f>
        <v>409103.22</v>
      </c>
      <c r="C15" s="12">
        <f>B15/$B$14</f>
        <v>0.13675493698819341</v>
      </c>
      <c r="D15" s="12">
        <f t="shared" ref="D15:D54" si="0">B15/$B$5</f>
        <v>0.13479138174872501</v>
      </c>
    </row>
    <row r="16" spans="1:4" s="9" customFormat="1" x14ac:dyDescent="0.2">
      <c r="A16" s="7" t="s">
        <v>11</v>
      </c>
      <c r="B16" s="8">
        <f>42777.63+5431.32+10320.97</f>
        <v>58529.919999999998</v>
      </c>
      <c r="C16" s="12">
        <f t="shared" ref="C16:C40" si="1">B16/$B$14</f>
        <v>1.9565369154327363E-2</v>
      </c>
      <c r="D16" s="12">
        <f t="shared" si="0"/>
        <v>1.9284445598942816E-2</v>
      </c>
    </row>
    <row r="17" spans="1:4" x14ac:dyDescent="0.2">
      <c r="A17" s="7" t="s">
        <v>12</v>
      </c>
      <c r="B17" s="8">
        <f>206848.77</f>
        <v>206848.77</v>
      </c>
      <c r="C17" s="12">
        <f t="shared" si="1"/>
        <v>6.9145362648173017E-2</v>
      </c>
      <c r="D17" s="12">
        <f t="shared" si="0"/>
        <v>6.8152559447770211E-2</v>
      </c>
    </row>
    <row r="18" spans="1:4" x14ac:dyDescent="0.2">
      <c r="A18" s="7" t="s">
        <v>13</v>
      </c>
      <c r="B18" s="8">
        <f>141619.71+2104.82</f>
        <v>143724.53</v>
      </c>
      <c r="C18" s="12">
        <f t="shared" si="1"/>
        <v>4.8044205185693023E-2</v>
      </c>
      <c r="D18" s="12">
        <f t="shared" si="0"/>
        <v>4.735437670201198E-2</v>
      </c>
    </row>
    <row r="19" spans="1:4" x14ac:dyDescent="0.2">
      <c r="A19" s="7" t="s">
        <v>14</v>
      </c>
      <c r="B19" s="8">
        <v>0</v>
      </c>
      <c r="C19" s="12">
        <f t="shared" si="1"/>
        <v>0</v>
      </c>
      <c r="D19" s="12">
        <f t="shared" si="0"/>
        <v>0</v>
      </c>
    </row>
    <row r="20" spans="1:4" x14ac:dyDescent="0.2">
      <c r="C20" s="12"/>
      <c r="D20" s="12"/>
    </row>
    <row r="21" spans="1:4" x14ac:dyDescent="0.2">
      <c r="A21" s="7" t="s">
        <v>15</v>
      </c>
      <c r="B21" s="11">
        <f>SUM(B22:B24)</f>
        <v>2243471.29</v>
      </c>
      <c r="C21" s="12">
        <f t="shared" si="1"/>
        <v>0.74994710356660355</v>
      </c>
      <c r="D21" s="12">
        <f t="shared" si="0"/>
        <v>0.73917921030466238</v>
      </c>
    </row>
    <row r="22" spans="1:4" x14ac:dyDescent="0.2">
      <c r="A22" s="7" t="s">
        <v>16</v>
      </c>
      <c r="B22" s="8">
        <f>1709987.55+38318.04</f>
        <v>1748305.59</v>
      </c>
      <c r="C22" s="12">
        <f t="shared" si="1"/>
        <v>0.58442321914884054</v>
      </c>
      <c r="D22" s="12">
        <f t="shared" si="0"/>
        <v>0.57603195153320952</v>
      </c>
    </row>
    <row r="23" spans="1:4" x14ac:dyDescent="0.2">
      <c r="A23" s="7" t="s">
        <v>17</v>
      </c>
      <c r="B23" s="8">
        <f>492366.92+940.28+1858.5</f>
        <v>495165.7</v>
      </c>
      <c r="C23" s="12">
        <f t="shared" si="1"/>
        <v>0.16552388441776303</v>
      </c>
      <c r="D23" s="12">
        <f t="shared" si="0"/>
        <v>0.16314725877145295</v>
      </c>
    </row>
    <row r="24" spans="1:4" x14ac:dyDescent="0.2">
      <c r="A24" s="7" t="s">
        <v>18</v>
      </c>
      <c r="B24" s="8">
        <v>0</v>
      </c>
      <c r="C24" s="12">
        <f t="shared" si="1"/>
        <v>0</v>
      </c>
      <c r="D24" s="12">
        <f t="shared" si="0"/>
        <v>0</v>
      </c>
    </row>
    <row r="25" spans="1:4" x14ac:dyDescent="0.2">
      <c r="C25" s="12"/>
      <c r="D25" s="12"/>
    </row>
    <row r="26" spans="1:4" x14ac:dyDescent="0.2">
      <c r="A26" s="7" t="s">
        <v>19</v>
      </c>
      <c r="B26" s="11">
        <f>SUM(B27:B36)</f>
        <v>317804.44</v>
      </c>
      <c r="C26" s="12">
        <f t="shared" si="1"/>
        <v>0.10623560031321214</v>
      </c>
      <c r="D26" s="12">
        <f t="shared" si="0"/>
        <v>0.10471024792588965</v>
      </c>
    </row>
    <row r="27" spans="1:4" x14ac:dyDescent="0.2">
      <c r="A27" s="7" t="s">
        <v>20</v>
      </c>
      <c r="B27" s="8">
        <f>4597.96</f>
        <v>4597.96</v>
      </c>
      <c r="C27" s="12">
        <f t="shared" si="1"/>
        <v>1.537005086575055E-3</v>
      </c>
      <c r="D27" s="12">
        <f t="shared" si="0"/>
        <v>1.5149364544854173E-3</v>
      </c>
    </row>
    <row r="28" spans="1:4" s="9" customFormat="1" x14ac:dyDescent="0.2">
      <c r="A28" s="7" t="s">
        <v>21</v>
      </c>
      <c r="B28" s="8">
        <f>180.6+309.4</f>
        <v>490</v>
      </c>
      <c r="C28" s="12">
        <f t="shared" si="1"/>
        <v>1.6379709532526968E-4</v>
      </c>
      <c r="D28" s="12">
        <f t="shared" si="0"/>
        <v>1.6144526326846134E-4</v>
      </c>
    </row>
    <row r="29" spans="1:4" x14ac:dyDescent="0.2">
      <c r="A29" s="7" t="s">
        <v>22</v>
      </c>
      <c r="B29" s="8">
        <v>0</v>
      </c>
      <c r="C29" s="12">
        <f t="shared" si="1"/>
        <v>0</v>
      </c>
      <c r="D29" s="12">
        <f t="shared" si="0"/>
        <v>0</v>
      </c>
    </row>
    <row r="30" spans="1:4" x14ac:dyDescent="0.2">
      <c r="A30" s="7" t="s">
        <v>23</v>
      </c>
      <c r="B30" s="8">
        <v>0</v>
      </c>
      <c r="C30" s="12">
        <f t="shared" si="1"/>
        <v>0</v>
      </c>
      <c r="D30" s="12">
        <f t="shared" si="0"/>
        <v>0</v>
      </c>
    </row>
    <row r="31" spans="1:4" x14ac:dyDescent="0.2">
      <c r="A31" s="7" t="s">
        <v>24</v>
      </c>
      <c r="B31" s="8">
        <f>233.19+430.32</f>
        <v>663.51</v>
      </c>
      <c r="C31" s="12">
        <f t="shared" si="1"/>
        <v>2.2179798105973405E-4</v>
      </c>
      <c r="D31" s="12">
        <f t="shared" si="0"/>
        <v>2.1861336047195262E-4</v>
      </c>
    </row>
    <row r="32" spans="1:4" x14ac:dyDescent="0.2">
      <c r="A32" s="7" t="s">
        <v>25</v>
      </c>
      <c r="B32" s="8">
        <v>42.96</v>
      </c>
      <c r="C32" s="12">
        <f t="shared" si="1"/>
        <v>1.4360659622803235E-5</v>
      </c>
      <c r="D32" s="12">
        <f t="shared" si="0"/>
        <v>1.4154466346965509E-5</v>
      </c>
    </row>
    <row r="33" spans="1:4" x14ac:dyDescent="0.2">
      <c r="A33" s="7" t="s">
        <v>26</v>
      </c>
      <c r="B33" s="8">
        <v>0</v>
      </c>
      <c r="C33" s="12">
        <f t="shared" si="1"/>
        <v>0</v>
      </c>
      <c r="D33" s="12">
        <f t="shared" si="0"/>
        <v>0</v>
      </c>
    </row>
    <row r="34" spans="1:4" x14ac:dyDescent="0.2">
      <c r="A34" s="7" t="s">
        <v>27</v>
      </c>
      <c r="B34" s="8">
        <f>184.15+155231.1+9562.7+2986.22+153.58</f>
        <v>168117.75</v>
      </c>
      <c r="C34" s="12">
        <f t="shared" si="1"/>
        <v>5.619836555636705E-2</v>
      </c>
      <c r="D34" s="12">
        <f t="shared" si="0"/>
        <v>5.5391457977247684E-2</v>
      </c>
    </row>
    <row r="35" spans="1:4" x14ac:dyDescent="0.2">
      <c r="A35" s="7" t="s">
        <v>28</v>
      </c>
      <c r="B35" s="8">
        <f>5054.49+272.22+90.74+250.45+406.75+1876.11</f>
        <v>7950.7599999999993</v>
      </c>
      <c r="C35" s="12">
        <f t="shared" si="1"/>
        <v>2.6577783543435532E-3</v>
      </c>
      <c r="D35" s="12">
        <f t="shared" si="0"/>
        <v>2.6196174313966357E-3</v>
      </c>
    </row>
    <row r="36" spans="1:4" x14ac:dyDescent="0.2">
      <c r="A36" s="7" t="s">
        <v>98</v>
      </c>
      <c r="B36" s="8">
        <f>5584.68+121301.98+9054.84</f>
        <v>135941.5</v>
      </c>
      <c r="C36" s="12">
        <f t="shared" si="1"/>
        <v>4.5442495579918668E-2</v>
      </c>
      <c r="D36" s="12">
        <f t="shared" si="0"/>
        <v>4.4790022972672525E-2</v>
      </c>
    </row>
    <row r="37" spans="1:4" x14ac:dyDescent="0.2">
      <c r="C37" s="12"/>
      <c r="D37" s="12"/>
    </row>
    <row r="38" spans="1:4" x14ac:dyDescent="0.2">
      <c r="A38" s="7" t="s">
        <v>29</v>
      </c>
      <c r="B38" s="8">
        <f>5312.5+648+1210.18</f>
        <v>7170.68</v>
      </c>
      <c r="C38" s="12">
        <f t="shared" si="1"/>
        <v>2.3970133785857239E-3</v>
      </c>
      <c r="D38" s="12">
        <f t="shared" si="0"/>
        <v>2.3625965722732455E-3</v>
      </c>
    </row>
    <row r="39" spans="1:4" x14ac:dyDescent="0.2">
      <c r="D39" s="12"/>
    </row>
    <row r="40" spans="1:4" x14ac:dyDescent="0.2">
      <c r="A40" s="7" t="s">
        <v>30</v>
      </c>
      <c r="B40" s="8">
        <f>13898.23+0.08+58.1</f>
        <v>13956.41</v>
      </c>
      <c r="C40" s="12">
        <f t="shared" si="1"/>
        <v>4.665345753405198E-3</v>
      </c>
      <c r="D40" s="12">
        <f t="shared" si="0"/>
        <v>4.5983597688420133E-3</v>
      </c>
    </row>
    <row r="41" spans="1:4" x14ac:dyDescent="0.2">
      <c r="D41" s="12"/>
    </row>
    <row r="42" spans="1:4" x14ac:dyDescent="0.2">
      <c r="A42" s="10" t="s">
        <v>31</v>
      </c>
      <c r="B42" s="13">
        <f>SUM(B5-B14)</f>
        <v>43578.35999999987</v>
      </c>
      <c r="C42" s="12"/>
      <c r="D42" s="12">
        <f t="shared" si="0"/>
        <v>1.4358203679607681E-2</v>
      </c>
    </row>
    <row r="43" spans="1:4" x14ac:dyDescent="0.2">
      <c r="D43" s="12"/>
    </row>
    <row r="44" spans="1:4" x14ac:dyDescent="0.2">
      <c r="A44" s="7" t="s">
        <v>32</v>
      </c>
      <c r="B44" s="8">
        <v>0</v>
      </c>
      <c r="D44" s="12">
        <f t="shared" si="0"/>
        <v>0</v>
      </c>
    </row>
    <row r="45" spans="1:4" x14ac:dyDescent="0.2">
      <c r="D45" s="12"/>
    </row>
    <row r="46" spans="1:4" x14ac:dyDescent="0.2">
      <c r="A46" s="7" t="s">
        <v>33</v>
      </c>
      <c r="B46" s="8">
        <v>0</v>
      </c>
      <c r="D46" s="12">
        <f t="shared" si="0"/>
        <v>0</v>
      </c>
    </row>
    <row r="47" spans="1:4" x14ac:dyDescent="0.2">
      <c r="D47" s="12"/>
    </row>
    <row r="48" spans="1:4" x14ac:dyDescent="0.2">
      <c r="A48" s="10" t="s">
        <v>34</v>
      </c>
      <c r="B48" s="13">
        <f>SUM(B44-B46)</f>
        <v>0</v>
      </c>
      <c r="D48" s="12">
        <f t="shared" si="0"/>
        <v>0</v>
      </c>
    </row>
    <row r="49" spans="1:4" x14ac:dyDescent="0.2">
      <c r="D49" s="12"/>
    </row>
    <row r="50" spans="1:4" x14ac:dyDescent="0.2">
      <c r="A50" s="10" t="s">
        <v>35</v>
      </c>
      <c r="B50" s="13">
        <f>SUM(B42+B48)</f>
        <v>43578.35999999987</v>
      </c>
      <c r="D50" s="12">
        <f t="shared" si="0"/>
        <v>1.4358203679607681E-2</v>
      </c>
    </row>
    <row r="51" spans="1:4" x14ac:dyDescent="0.2">
      <c r="D51" s="12"/>
    </row>
    <row r="52" spans="1:4" x14ac:dyDescent="0.2">
      <c r="A52" s="7" t="s">
        <v>36</v>
      </c>
      <c r="B52" s="8">
        <v>20984.51</v>
      </c>
      <c r="D52" s="12">
        <f t="shared" si="0"/>
        <v>6.9139790643054271E-3</v>
      </c>
    </row>
    <row r="53" spans="1:4" x14ac:dyDescent="0.2">
      <c r="D53" s="12"/>
    </row>
    <row r="54" spans="1:4" x14ac:dyDescent="0.2">
      <c r="A54" s="10" t="s">
        <v>37</v>
      </c>
      <c r="B54" s="13">
        <f>SUM(B50-B52)</f>
        <v>22593.849999999871</v>
      </c>
      <c r="C54" s="12">
        <f>B54/B5</f>
        <v>7.4442246153022537E-3</v>
      </c>
      <c r="D54" s="12">
        <f t="shared" si="0"/>
        <v>7.4442246153022537E-3</v>
      </c>
    </row>
  </sheetData>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D68"/>
  <sheetViews>
    <sheetView topLeftCell="A61" workbookViewId="0">
      <selection activeCell="M126" sqref="M126"/>
    </sheetView>
  </sheetViews>
  <sheetFormatPr defaultColWidth="9" defaultRowHeight="12.75" x14ac:dyDescent="0.2"/>
  <cols>
    <col min="1" max="1" width="42.625" style="7" bestFit="1" customWidth="1"/>
    <col min="2" max="2" width="11.875" style="8" bestFit="1" customWidth="1"/>
    <col min="3" max="3" width="6.375" style="4" bestFit="1" customWidth="1"/>
    <col min="4" max="4" width="7.25" style="4" bestFit="1" customWidth="1"/>
    <col min="5" max="16384" width="9" style="7"/>
  </cols>
  <sheetData>
    <row r="1" spans="1:4" s="5" customFormat="1" x14ac:dyDescent="0.2">
      <c r="A1" s="5" t="s">
        <v>1</v>
      </c>
      <c r="B1" s="6">
        <v>2012</v>
      </c>
      <c r="C1" s="1"/>
      <c r="D1" s="1"/>
    </row>
    <row r="2" spans="1:4" x14ac:dyDescent="0.2">
      <c r="A2" s="5" t="s">
        <v>97</v>
      </c>
      <c r="B2" s="6"/>
      <c r="C2" s="1"/>
      <c r="D2" s="1"/>
    </row>
    <row r="3" spans="1:4" x14ac:dyDescent="0.2">
      <c r="A3" s="5" t="s">
        <v>55</v>
      </c>
      <c r="B3" s="6"/>
      <c r="C3" s="1"/>
      <c r="D3" s="1"/>
    </row>
    <row r="4" spans="1:4" s="9" customFormat="1" x14ac:dyDescent="0.2">
      <c r="A4" s="7"/>
      <c r="B4" s="8"/>
      <c r="C4" s="4"/>
      <c r="D4" s="4"/>
    </row>
    <row r="5" spans="1:4" s="9" customFormat="1" x14ac:dyDescent="0.2">
      <c r="A5" s="10" t="s">
        <v>2</v>
      </c>
      <c r="B5" s="11">
        <f>SUM(B6,B10)</f>
        <v>3098670.45</v>
      </c>
      <c r="C5" s="4"/>
      <c r="D5" s="4"/>
    </row>
    <row r="6" spans="1:4" s="9" customFormat="1" x14ac:dyDescent="0.2">
      <c r="A6" s="7" t="s">
        <v>3</v>
      </c>
      <c r="B6" s="11">
        <f>SUM(B7:B8)</f>
        <v>3098670.45</v>
      </c>
      <c r="C6" s="2"/>
      <c r="D6" s="2"/>
    </row>
    <row r="7" spans="1:4" s="9" customFormat="1" x14ac:dyDescent="0.2">
      <c r="A7" s="7" t="s">
        <v>4</v>
      </c>
      <c r="B7" s="8">
        <v>3098670.45</v>
      </c>
      <c r="C7" s="2"/>
      <c r="D7" s="2"/>
    </row>
    <row r="8" spans="1:4" s="9" customFormat="1" x14ac:dyDescent="0.2">
      <c r="A8" s="7" t="s">
        <v>5</v>
      </c>
      <c r="B8" s="8">
        <v>0</v>
      </c>
      <c r="C8" s="2"/>
      <c r="D8" s="2"/>
    </row>
    <row r="9" spans="1:4" x14ac:dyDescent="0.2">
      <c r="C9" s="2"/>
      <c r="D9" s="2"/>
    </row>
    <row r="10" spans="1:4" x14ac:dyDescent="0.2">
      <c r="A10" s="7" t="s">
        <v>6</v>
      </c>
      <c r="B10" s="11">
        <f>SUM(B11:B12)</f>
        <v>0</v>
      </c>
      <c r="C10" s="2"/>
      <c r="D10" s="2"/>
    </row>
    <row r="11" spans="1:4" x14ac:dyDescent="0.2">
      <c r="A11" s="7" t="s">
        <v>7</v>
      </c>
      <c r="B11" s="8">
        <v>0</v>
      </c>
    </row>
    <row r="12" spans="1:4" x14ac:dyDescent="0.2">
      <c r="A12" s="7" t="s">
        <v>8</v>
      </c>
      <c r="B12" s="8">
        <v>0</v>
      </c>
    </row>
    <row r="14" spans="1:4" s="9" customFormat="1" x14ac:dyDescent="0.2">
      <c r="A14" s="10" t="s">
        <v>9</v>
      </c>
      <c r="B14" s="11">
        <f>SUM(B15,B21,B26,B38,B40)</f>
        <v>3035683.06</v>
      </c>
      <c r="C14" s="4"/>
      <c r="D14" s="12">
        <f>B14/$B$5</f>
        <v>0.97967276900968925</v>
      </c>
    </row>
    <row r="15" spans="1:4" s="9" customFormat="1" x14ac:dyDescent="0.2">
      <c r="A15" s="7" t="s">
        <v>10</v>
      </c>
      <c r="B15" s="11">
        <f>SUM(B16:B19)</f>
        <v>378943.64</v>
      </c>
      <c r="C15" s="12">
        <f>B15/$B$14</f>
        <v>0.12482977719024463</v>
      </c>
      <c r="D15" s="12">
        <f t="shared" ref="D15:D54" si="0">B15/$B$5</f>
        <v>0.1222923334748295</v>
      </c>
    </row>
    <row r="16" spans="1:4" s="9" customFormat="1" x14ac:dyDescent="0.2">
      <c r="A16" s="7" t="s">
        <v>11</v>
      </c>
      <c r="B16" s="8">
        <f>40383.85+7315.22+18254.19</f>
        <v>65953.259999999995</v>
      </c>
      <c r="C16" s="12">
        <f t="shared" ref="C16:C40" si="1">B16/$B$14</f>
        <v>2.1726003240931217E-2</v>
      </c>
      <c r="D16" s="12">
        <f t="shared" si="0"/>
        <v>2.1284373754556569E-2</v>
      </c>
    </row>
    <row r="17" spans="1:4" x14ac:dyDescent="0.2">
      <c r="A17" s="7" t="s">
        <v>12</v>
      </c>
      <c r="B17" s="8">
        <f>229917.5</f>
        <v>229917.5</v>
      </c>
      <c r="C17" s="12">
        <f t="shared" si="1"/>
        <v>7.5738308464915957E-2</v>
      </c>
      <c r="D17" s="12">
        <f t="shared" si="0"/>
        <v>7.4198758373934207E-2</v>
      </c>
    </row>
    <row r="18" spans="1:4" x14ac:dyDescent="0.2">
      <c r="A18" s="7" t="s">
        <v>13</v>
      </c>
      <c r="B18" s="8">
        <f>79661.81+3411.07</f>
        <v>83072.88</v>
      </c>
      <c r="C18" s="12">
        <f t="shared" si="1"/>
        <v>2.7365465484397441E-2</v>
      </c>
      <c r="D18" s="12">
        <f t="shared" si="0"/>
        <v>2.6809201346338716E-2</v>
      </c>
    </row>
    <row r="19" spans="1:4" x14ac:dyDescent="0.2">
      <c r="A19" s="7" t="s">
        <v>14</v>
      </c>
      <c r="B19" s="8">
        <v>0</v>
      </c>
      <c r="C19" s="12">
        <f t="shared" si="1"/>
        <v>0</v>
      </c>
      <c r="D19" s="12">
        <f t="shared" si="0"/>
        <v>0</v>
      </c>
    </row>
    <row r="20" spans="1:4" x14ac:dyDescent="0.2">
      <c r="C20" s="12"/>
      <c r="D20" s="12"/>
    </row>
    <row r="21" spans="1:4" x14ac:dyDescent="0.2">
      <c r="A21" s="7" t="s">
        <v>15</v>
      </c>
      <c r="B21" s="11">
        <f>SUM(B22:B24)</f>
        <v>2323449.8000000003</v>
      </c>
      <c r="C21" s="12">
        <f t="shared" si="1"/>
        <v>0.76537957160784775</v>
      </c>
      <c r="D21" s="12">
        <f t="shared" si="0"/>
        <v>0.74982152426050985</v>
      </c>
    </row>
    <row r="22" spans="1:4" x14ac:dyDescent="0.2">
      <c r="A22" s="7" t="s">
        <v>16</v>
      </c>
      <c r="B22" s="8">
        <f>1768079.77+532.59</f>
        <v>1768612.36</v>
      </c>
      <c r="C22" s="12">
        <f t="shared" si="1"/>
        <v>0.58260771135969647</v>
      </c>
      <c r="D22" s="12">
        <f t="shared" si="0"/>
        <v>0.57076490983415162</v>
      </c>
    </row>
    <row r="23" spans="1:4" x14ac:dyDescent="0.2">
      <c r="A23" s="7" t="s">
        <v>17</v>
      </c>
      <c r="B23" s="8">
        <f>550797.04+2092.4+1948</f>
        <v>554837.44000000006</v>
      </c>
      <c r="C23" s="12">
        <f t="shared" si="1"/>
        <v>0.18277186024815123</v>
      </c>
      <c r="D23" s="12">
        <f t="shared" si="0"/>
        <v>0.17905661442635826</v>
      </c>
    </row>
    <row r="24" spans="1:4" x14ac:dyDescent="0.2">
      <c r="A24" s="7" t="s">
        <v>18</v>
      </c>
      <c r="B24" s="8">
        <v>0</v>
      </c>
      <c r="C24" s="12">
        <f t="shared" si="1"/>
        <v>0</v>
      </c>
      <c r="D24" s="12">
        <f t="shared" si="0"/>
        <v>0</v>
      </c>
    </row>
    <row r="25" spans="1:4" x14ac:dyDescent="0.2">
      <c r="C25" s="12"/>
      <c r="D25" s="12"/>
    </row>
    <row r="26" spans="1:4" x14ac:dyDescent="0.2">
      <c r="A26" s="7" t="s">
        <v>19</v>
      </c>
      <c r="B26" s="11">
        <f>SUM(B27:B36)</f>
        <v>301240.21999999997</v>
      </c>
      <c r="C26" s="12">
        <f t="shared" si="1"/>
        <v>9.9233093193859298E-2</v>
      </c>
      <c r="D26" s="12">
        <f t="shared" si="0"/>
        <v>9.7215959186624692E-2</v>
      </c>
    </row>
    <row r="27" spans="1:4" x14ac:dyDescent="0.2">
      <c r="A27" s="7" t="s">
        <v>20</v>
      </c>
      <c r="B27" s="8">
        <f>1817.38</f>
        <v>1817.38</v>
      </c>
      <c r="C27" s="12">
        <f t="shared" si="1"/>
        <v>5.9867251095705625E-4</v>
      </c>
      <c r="D27" s="12">
        <f t="shared" si="0"/>
        <v>5.8650315653928288E-4</v>
      </c>
    </row>
    <row r="28" spans="1:4" s="9" customFormat="1" x14ac:dyDescent="0.2">
      <c r="A28" s="7" t="s">
        <v>21</v>
      </c>
      <c r="B28" s="8">
        <f>29293.32</f>
        <v>29293.32</v>
      </c>
      <c r="C28" s="12">
        <f t="shared" si="1"/>
        <v>9.6496634928680599E-3</v>
      </c>
      <c r="D28" s="12">
        <f t="shared" si="0"/>
        <v>9.4535125540697613E-3</v>
      </c>
    </row>
    <row r="29" spans="1:4" x14ac:dyDescent="0.2">
      <c r="A29" s="7" t="s">
        <v>22</v>
      </c>
      <c r="B29" s="8">
        <v>46.53</v>
      </c>
      <c r="C29" s="12">
        <f t="shared" si="1"/>
        <v>1.5327687074157209E-5</v>
      </c>
      <c r="D29" s="12">
        <f t="shared" si="0"/>
        <v>1.5016117638453615E-5</v>
      </c>
    </row>
    <row r="30" spans="1:4" x14ac:dyDescent="0.2">
      <c r="A30" s="7" t="s">
        <v>23</v>
      </c>
      <c r="B30" s="8">
        <f>1054.57</f>
        <v>1054.57</v>
      </c>
      <c r="C30" s="12">
        <f t="shared" si="1"/>
        <v>3.4739133801405469E-4</v>
      </c>
      <c r="D30" s="12">
        <f t="shared" si="0"/>
        <v>3.4032983404220992E-4</v>
      </c>
    </row>
    <row r="31" spans="1:4" x14ac:dyDescent="0.2">
      <c r="A31" s="7" t="s">
        <v>24</v>
      </c>
      <c r="B31" s="8">
        <v>170.06</v>
      </c>
      <c r="C31" s="12">
        <f t="shared" si="1"/>
        <v>5.6020340937699868E-5</v>
      </c>
      <c r="D31" s="12">
        <f t="shared" si="0"/>
        <v>5.4881602527303277E-5</v>
      </c>
    </row>
    <row r="32" spans="1:4" x14ac:dyDescent="0.2">
      <c r="A32" s="7" t="s">
        <v>25</v>
      </c>
      <c r="B32" s="8">
        <v>0</v>
      </c>
      <c r="C32" s="12">
        <f t="shared" si="1"/>
        <v>0</v>
      </c>
      <c r="D32" s="12">
        <f t="shared" si="0"/>
        <v>0</v>
      </c>
    </row>
    <row r="33" spans="1:4" x14ac:dyDescent="0.2">
      <c r="A33" s="7" t="s">
        <v>26</v>
      </c>
      <c r="B33" s="8">
        <v>0</v>
      </c>
      <c r="C33" s="12">
        <f t="shared" si="1"/>
        <v>0</v>
      </c>
      <c r="D33" s="12">
        <f t="shared" si="0"/>
        <v>0</v>
      </c>
    </row>
    <row r="34" spans="1:4" x14ac:dyDescent="0.2">
      <c r="A34" s="7" t="s">
        <v>27</v>
      </c>
      <c r="B34" s="8">
        <f>453.83+97224.65+13338.93+6150.12+10029.45+4023.52</f>
        <v>131220.5</v>
      </c>
      <c r="C34" s="12">
        <f t="shared" si="1"/>
        <v>4.3226021098526669E-2</v>
      </c>
      <c r="D34" s="12">
        <f t="shared" si="0"/>
        <v>4.2347355782864873E-2</v>
      </c>
    </row>
    <row r="35" spans="1:4" x14ac:dyDescent="0.2">
      <c r="A35" s="7" t="s">
        <v>28</v>
      </c>
      <c r="B35" s="8">
        <f>0.5+2333.44+258.11+189.36+568.88+10.95+1157.2</f>
        <v>4518.4400000000005</v>
      </c>
      <c r="C35" s="12">
        <f t="shared" si="1"/>
        <v>1.4884426044133872E-3</v>
      </c>
      <c r="D35" s="12">
        <f t="shared" si="0"/>
        <v>1.4581866877776564E-3</v>
      </c>
    </row>
    <row r="36" spans="1:4" x14ac:dyDescent="0.2">
      <c r="A36" s="7" t="s">
        <v>98</v>
      </c>
      <c r="B36" s="8">
        <f>6949.68+123946.81+455+1767.93</f>
        <v>133119.41999999998</v>
      </c>
      <c r="C36" s="12">
        <f t="shared" si="1"/>
        <v>4.3851554121068219E-2</v>
      </c>
      <c r="D36" s="12">
        <f t="shared" si="0"/>
        <v>4.2960173451165151E-2</v>
      </c>
    </row>
    <row r="37" spans="1:4" x14ac:dyDescent="0.2">
      <c r="C37" s="12"/>
      <c r="D37" s="12"/>
    </row>
    <row r="38" spans="1:4" x14ac:dyDescent="0.2">
      <c r="A38" s="7" t="s">
        <v>29</v>
      </c>
      <c r="B38" s="8">
        <f>6746.94</f>
        <v>6746.94</v>
      </c>
      <c r="C38" s="12">
        <f t="shared" si="1"/>
        <v>2.2225442731165748E-3</v>
      </c>
      <c r="D38" s="12">
        <f t="shared" si="0"/>
        <v>2.1773661022907419E-3</v>
      </c>
    </row>
    <row r="39" spans="1:4" x14ac:dyDescent="0.2">
      <c r="D39" s="12"/>
    </row>
    <row r="40" spans="1:4" x14ac:dyDescent="0.2">
      <c r="A40" s="7" t="s">
        <v>30</v>
      </c>
      <c r="B40" s="8">
        <f>24905+3.08+394.38</f>
        <v>25302.460000000003</v>
      </c>
      <c r="C40" s="12">
        <f t="shared" si="1"/>
        <v>8.3350137349318676E-3</v>
      </c>
      <c r="D40" s="12">
        <f t="shared" si="0"/>
        <v>8.1655859854344957E-3</v>
      </c>
    </row>
    <row r="41" spans="1:4" x14ac:dyDescent="0.2">
      <c r="D41" s="12"/>
    </row>
    <row r="42" spans="1:4" x14ac:dyDescent="0.2">
      <c r="A42" s="10" t="s">
        <v>31</v>
      </c>
      <c r="B42" s="13">
        <f>SUM(B5-B14)</f>
        <v>62987.39000000013</v>
      </c>
      <c r="C42" s="12"/>
      <c r="D42" s="12">
        <f t="shared" si="0"/>
        <v>2.0327230990310741E-2</v>
      </c>
    </row>
    <row r="43" spans="1:4" x14ac:dyDescent="0.2">
      <c r="D43" s="12"/>
    </row>
    <row r="44" spans="1:4" x14ac:dyDescent="0.2">
      <c r="A44" s="7" t="s">
        <v>32</v>
      </c>
      <c r="B44" s="8">
        <v>0</v>
      </c>
      <c r="D44" s="12">
        <f t="shared" si="0"/>
        <v>0</v>
      </c>
    </row>
    <row r="45" spans="1:4" x14ac:dyDescent="0.2">
      <c r="D45" s="12"/>
    </row>
    <row r="46" spans="1:4" x14ac:dyDescent="0.2">
      <c r="A46" s="7" t="s">
        <v>33</v>
      </c>
      <c r="B46" s="8">
        <v>0</v>
      </c>
      <c r="D46" s="12">
        <f t="shared" si="0"/>
        <v>0</v>
      </c>
    </row>
    <row r="47" spans="1:4" x14ac:dyDescent="0.2">
      <c r="D47" s="12"/>
    </row>
    <row r="48" spans="1:4" x14ac:dyDescent="0.2">
      <c r="A48" s="10" t="s">
        <v>34</v>
      </c>
      <c r="B48" s="13">
        <f>SUM(B44-B46)</f>
        <v>0</v>
      </c>
      <c r="D48" s="12">
        <f t="shared" si="0"/>
        <v>0</v>
      </c>
    </row>
    <row r="49" spans="1:4" x14ac:dyDescent="0.2">
      <c r="D49" s="12"/>
    </row>
    <row r="50" spans="1:4" x14ac:dyDescent="0.2">
      <c r="A50" s="10" t="s">
        <v>35</v>
      </c>
      <c r="B50" s="13">
        <f>SUM(B42+B48)</f>
        <v>62987.39000000013</v>
      </c>
      <c r="D50" s="12">
        <f t="shared" si="0"/>
        <v>2.0327230990310741E-2</v>
      </c>
    </row>
    <row r="51" spans="1:4" x14ac:dyDescent="0.2">
      <c r="D51" s="12"/>
    </row>
    <row r="52" spans="1:4" x14ac:dyDescent="0.2">
      <c r="A52" s="7" t="s">
        <v>36</v>
      </c>
      <c r="B52" s="8">
        <v>18896.22</v>
      </c>
      <c r="D52" s="12">
        <f t="shared" si="0"/>
        <v>6.0981702652503755E-3</v>
      </c>
    </row>
    <row r="53" spans="1:4" x14ac:dyDescent="0.2">
      <c r="D53" s="12"/>
    </row>
    <row r="54" spans="1:4" x14ac:dyDescent="0.2">
      <c r="A54" s="10" t="s">
        <v>37</v>
      </c>
      <c r="B54" s="13">
        <f>SUM(B50-B52)</f>
        <v>44091.170000000129</v>
      </c>
      <c r="C54" s="12">
        <f>B54/B5</f>
        <v>1.4229060725060364E-2</v>
      </c>
      <c r="D54" s="12">
        <f t="shared" si="0"/>
        <v>1.4229060725060364E-2</v>
      </c>
    </row>
    <row r="65" spans="2:4" x14ac:dyDescent="0.2">
      <c r="B65" s="7"/>
      <c r="C65" s="7"/>
      <c r="D65" s="7"/>
    </row>
    <row r="66" spans="2:4" x14ac:dyDescent="0.2">
      <c r="B66" s="7"/>
      <c r="C66" s="7"/>
      <c r="D66" s="7"/>
    </row>
    <row r="67" spans="2:4" x14ac:dyDescent="0.2">
      <c r="B67" s="7"/>
      <c r="C67" s="7"/>
      <c r="D67" s="7"/>
    </row>
    <row r="68" spans="2:4" x14ac:dyDescent="0.2">
      <c r="B68" s="7"/>
      <c r="C68" s="7"/>
      <c r="D68" s="7"/>
    </row>
  </sheetData>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71"/>
  <sheetViews>
    <sheetView topLeftCell="A60" workbookViewId="0">
      <selection activeCell="M126" sqref="M126"/>
    </sheetView>
  </sheetViews>
  <sheetFormatPr defaultColWidth="9" defaultRowHeight="12.75" x14ac:dyDescent="0.2"/>
  <cols>
    <col min="1" max="1" width="42.625" style="7" bestFit="1" customWidth="1"/>
    <col min="2" max="2" width="12" style="8" bestFit="1" customWidth="1"/>
    <col min="3" max="3" width="7.25" style="4" bestFit="1" customWidth="1"/>
    <col min="4" max="4" width="7.375" style="4" bestFit="1" customWidth="1"/>
    <col min="5" max="5" width="9" style="7"/>
    <col min="6" max="6" width="10" style="7" bestFit="1" customWidth="1"/>
    <col min="7" max="7" width="11" style="7" bestFit="1" customWidth="1"/>
    <col min="8" max="16384" width="9" style="7"/>
  </cols>
  <sheetData>
    <row r="1" spans="1:4" s="5" customFormat="1" x14ac:dyDescent="0.2">
      <c r="A1" s="5" t="s">
        <v>1</v>
      </c>
      <c r="B1" s="6">
        <v>2013</v>
      </c>
      <c r="C1" s="1"/>
      <c r="D1" s="1"/>
    </row>
    <row r="2" spans="1:4" s="5" customFormat="1" x14ac:dyDescent="0.2">
      <c r="A2" s="5" t="s">
        <v>97</v>
      </c>
      <c r="B2" s="6"/>
      <c r="C2" s="1"/>
      <c r="D2" s="1"/>
    </row>
    <row r="3" spans="1:4" s="5" customFormat="1" x14ac:dyDescent="0.2">
      <c r="A3" s="5" t="s">
        <v>55</v>
      </c>
      <c r="B3" s="6"/>
      <c r="C3" s="1"/>
      <c r="D3" s="1"/>
    </row>
    <row r="5" spans="1:4" x14ac:dyDescent="0.2">
      <c r="A5" s="10" t="s">
        <v>2</v>
      </c>
      <c r="B5" s="11">
        <f>SUM(B6,B10)</f>
        <v>3161994.55</v>
      </c>
    </row>
    <row r="6" spans="1:4" s="9" customFormat="1" x14ac:dyDescent="0.2">
      <c r="A6" s="7" t="s">
        <v>3</v>
      </c>
      <c r="B6" s="11">
        <f>SUM(B7:B8)</f>
        <v>3161994.55</v>
      </c>
      <c r="C6" s="2"/>
      <c r="D6" s="2"/>
    </row>
    <row r="7" spans="1:4" s="9" customFormat="1" x14ac:dyDescent="0.2">
      <c r="A7" s="7" t="s">
        <v>4</v>
      </c>
      <c r="B7" s="8">
        <v>3161994.55</v>
      </c>
      <c r="C7" s="2"/>
      <c r="D7" s="2"/>
    </row>
    <row r="8" spans="1:4" s="9" customFormat="1" x14ac:dyDescent="0.2">
      <c r="A8" s="7" t="s">
        <v>5</v>
      </c>
      <c r="B8" s="8">
        <v>0</v>
      </c>
      <c r="C8" s="2"/>
      <c r="D8" s="2"/>
    </row>
    <row r="9" spans="1:4" s="9" customFormat="1" x14ac:dyDescent="0.2">
      <c r="A9" s="7"/>
      <c r="B9" s="8"/>
      <c r="C9" s="2"/>
      <c r="D9" s="2"/>
    </row>
    <row r="10" spans="1:4" s="9" customFormat="1" x14ac:dyDescent="0.2">
      <c r="A10" s="7" t="s">
        <v>6</v>
      </c>
      <c r="B10" s="11">
        <f>SUM(B11:B12)</f>
        <v>0</v>
      </c>
      <c r="C10" s="2"/>
      <c r="D10" s="2"/>
    </row>
    <row r="11" spans="1:4" x14ac:dyDescent="0.2">
      <c r="A11" s="7" t="s">
        <v>7</v>
      </c>
      <c r="B11" s="8">
        <v>0</v>
      </c>
    </row>
    <row r="12" spans="1:4" x14ac:dyDescent="0.2">
      <c r="A12" s="7" t="s">
        <v>8</v>
      </c>
      <c r="B12" s="8">
        <v>0</v>
      </c>
    </row>
    <row r="14" spans="1:4" x14ac:dyDescent="0.2">
      <c r="A14" s="10" t="s">
        <v>9</v>
      </c>
      <c r="B14" s="11">
        <f>SUM(B15,B21,B28,B55,B57)</f>
        <v>3066876.49</v>
      </c>
      <c r="D14" s="12">
        <f>B14/$B$5</f>
        <v>0.96991833524823767</v>
      </c>
    </row>
    <row r="15" spans="1:4" x14ac:dyDescent="0.2">
      <c r="A15" s="7" t="s">
        <v>10</v>
      </c>
      <c r="B15" s="11">
        <f>SUM(B16:B19)</f>
        <v>280981.87</v>
      </c>
      <c r="C15" s="12">
        <f>B15/$B$14</f>
        <v>9.1618254245380448E-2</v>
      </c>
      <c r="D15" s="12">
        <f t="shared" ref="D15:D71" si="0">B15/$B$5</f>
        <v>8.8862224636029177E-2</v>
      </c>
    </row>
    <row r="16" spans="1:4" s="9" customFormat="1" x14ac:dyDescent="0.2">
      <c r="A16" s="7" t="s">
        <v>11</v>
      </c>
      <c r="B16" s="8">
        <f>11590.03</f>
        <v>11590.03</v>
      </c>
      <c r="C16" s="12">
        <f t="shared" ref="C16:C57" si="1">B16/$B$14</f>
        <v>3.7790990402746865E-3</v>
      </c>
      <c r="D16" s="12">
        <f t="shared" si="0"/>
        <v>3.6654174498814366E-3</v>
      </c>
    </row>
    <row r="17" spans="1:4" s="9" customFormat="1" x14ac:dyDescent="0.2">
      <c r="A17" s="7" t="s">
        <v>12</v>
      </c>
      <c r="B17" s="8">
        <f>220589.85</f>
        <v>220589.85</v>
      </c>
      <c r="C17" s="12">
        <f t="shared" si="1"/>
        <v>7.1926551564520283E-2</v>
      </c>
      <c r="D17" s="12">
        <f t="shared" si="0"/>
        <v>6.9762881153606043E-2</v>
      </c>
    </row>
    <row r="18" spans="1:4" s="9" customFormat="1" x14ac:dyDescent="0.2">
      <c r="A18" s="7" t="s">
        <v>13</v>
      </c>
      <c r="B18" s="8">
        <f>48801.99</f>
        <v>48801.99</v>
      </c>
      <c r="C18" s="12">
        <f t="shared" si="1"/>
        <v>1.5912603640585471E-2</v>
      </c>
      <c r="D18" s="12">
        <f t="shared" si="0"/>
        <v>1.5433926032541708E-2</v>
      </c>
    </row>
    <row r="19" spans="1:4" x14ac:dyDescent="0.2">
      <c r="A19" s="7" t="s">
        <v>14</v>
      </c>
      <c r="B19" s="8">
        <v>0</v>
      </c>
      <c r="C19" s="12">
        <f t="shared" si="1"/>
        <v>0</v>
      </c>
      <c r="D19" s="12">
        <f t="shared" si="0"/>
        <v>0</v>
      </c>
    </row>
    <row r="20" spans="1:4" x14ac:dyDescent="0.2">
      <c r="C20" s="12"/>
      <c r="D20" s="12"/>
    </row>
    <row r="21" spans="1:4" x14ac:dyDescent="0.2">
      <c r="A21" s="7" t="s">
        <v>15</v>
      </c>
      <c r="B21" s="11">
        <f>SUM(B22,B25,B26)</f>
        <v>2356419.0600000005</v>
      </c>
      <c r="C21" s="12">
        <f t="shared" si="1"/>
        <v>0.76834494890271909</v>
      </c>
      <c r="D21" s="12">
        <f t="shared" si="0"/>
        <v>0.74523185373611744</v>
      </c>
    </row>
    <row r="22" spans="1:4" x14ac:dyDescent="0.2">
      <c r="A22" s="7" t="s">
        <v>16</v>
      </c>
      <c r="B22" s="8">
        <f>SUM(B23:B24)</f>
        <v>1752442.2900000003</v>
      </c>
      <c r="C22" s="12">
        <f t="shared" si="1"/>
        <v>0.57140947661703856</v>
      </c>
      <c r="D22" s="12">
        <f t="shared" si="0"/>
        <v>0.55422052830546475</v>
      </c>
    </row>
    <row r="23" spans="1:4" x14ac:dyDescent="0.2">
      <c r="A23" s="14" t="s">
        <v>99</v>
      </c>
      <c r="B23" s="15">
        <f>1607226.6+974.29+581.55</f>
        <v>1608782.4400000002</v>
      </c>
      <c r="C23" s="16">
        <f>B23/$B$21</f>
        <v>0.6827234031963737</v>
      </c>
      <c r="D23" s="16">
        <f>B23/$B$5</f>
        <v>0.50878722735306436</v>
      </c>
    </row>
    <row r="24" spans="1:4" x14ac:dyDescent="0.2">
      <c r="A24" s="14" t="s">
        <v>100</v>
      </c>
      <c r="B24" s="15">
        <v>143659.85</v>
      </c>
      <c r="C24" s="16">
        <f>B24/$B$22</f>
        <v>8.1976936313263693E-2</v>
      </c>
      <c r="D24" s="16">
        <f t="shared" ref="D24" si="2">B24/$B$5</f>
        <v>4.5433300952400446E-2</v>
      </c>
    </row>
    <row r="25" spans="1:4" x14ac:dyDescent="0.2">
      <c r="A25" s="7" t="s">
        <v>17</v>
      </c>
      <c r="B25" s="8">
        <f>585860.03+213.25+3056.49+2047</f>
        <v>591176.77</v>
      </c>
      <c r="C25" s="12">
        <f t="shared" si="1"/>
        <v>0.19276184480451639</v>
      </c>
      <c r="D25" s="12">
        <f t="shared" si="0"/>
        <v>0.1869632476121757</v>
      </c>
    </row>
    <row r="26" spans="1:4" x14ac:dyDescent="0.2">
      <c r="A26" s="7" t="s">
        <v>18</v>
      </c>
      <c r="B26" s="8">
        <v>12800</v>
      </c>
      <c r="C26" s="12">
        <f t="shared" si="1"/>
        <v>4.1736274811640687E-3</v>
      </c>
      <c r="D26" s="12">
        <f t="shared" si="0"/>
        <v>4.0480778184769483E-3</v>
      </c>
    </row>
    <row r="27" spans="1:4" x14ac:dyDescent="0.2">
      <c r="C27" s="12"/>
      <c r="D27" s="12"/>
    </row>
    <row r="28" spans="1:4" x14ac:dyDescent="0.2">
      <c r="A28" s="7" t="s">
        <v>19</v>
      </c>
      <c r="B28" s="11">
        <f>SUM(B29:B36,B42)</f>
        <v>423175.55</v>
      </c>
      <c r="C28" s="12">
        <f t="shared" si="1"/>
        <v>0.13798258631536869</v>
      </c>
      <c r="D28" s="12">
        <f t="shared" si="0"/>
        <v>0.13383184041224866</v>
      </c>
    </row>
    <row r="29" spans="1:4" x14ac:dyDescent="0.2">
      <c r="A29" s="7" t="s">
        <v>20</v>
      </c>
      <c r="B29" s="8">
        <v>1783.66</v>
      </c>
      <c r="C29" s="12">
        <f t="shared" si="1"/>
        <v>5.8158846820727359E-4</v>
      </c>
      <c r="D29" s="12">
        <f t="shared" si="0"/>
        <v>5.6409331888317149E-4</v>
      </c>
    </row>
    <row r="30" spans="1:4" x14ac:dyDescent="0.2">
      <c r="A30" s="7" t="s">
        <v>21</v>
      </c>
      <c r="B30" s="8">
        <v>6208.94</v>
      </c>
      <c r="C30" s="12">
        <f t="shared" si="1"/>
        <v>2.024515829132721E-3</v>
      </c>
      <c r="D30" s="12">
        <f t="shared" si="0"/>
        <v>1.9636150226761142E-3</v>
      </c>
    </row>
    <row r="31" spans="1:4" x14ac:dyDescent="0.2">
      <c r="A31" s="7" t="s">
        <v>22</v>
      </c>
      <c r="B31" s="8">
        <v>0</v>
      </c>
      <c r="C31" s="12">
        <f t="shared" si="1"/>
        <v>0</v>
      </c>
      <c r="D31" s="12">
        <f t="shared" si="0"/>
        <v>0</v>
      </c>
    </row>
    <row r="32" spans="1:4" x14ac:dyDescent="0.2">
      <c r="A32" s="7" t="s">
        <v>23</v>
      </c>
      <c r="B32" s="8">
        <v>0</v>
      </c>
      <c r="C32" s="12">
        <f t="shared" si="1"/>
        <v>0</v>
      </c>
      <c r="D32" s="12">
        <f t="shared" si="0"/>
        <v>0</v>
      </c>
    </row>
    <row r="33" spans="1:4" x14ac:dyDescent="0.2">
      <c r="A33" s="7" t="s">
        <v>24</v>
      </c>
      <c r="B33" s="8">
        <v>0</v>
      </c>
      <c r="C33" s="12">
        <f t="shared" si="1"/>
        <v>0</v>
      </c>
      <c r="D33" s="12">
        <f t="shared" si="0"/>
        <v>0</v>
      </c>
    </row>
    <row r="34" spans="1:4" s="9" customFormat="1" x14ac:dyDescent="0.2">
      <c r="A34" s="7" t="s">
        <v>25</v>
      </c>
      <c r="B34" s="8">
        <v>9.5</v>
      </c>
      <c r="C34" s="12">
        <f t="shared" si="1"/>
        <v>3.0976141461764569E-6</v>
      </c>
      <c r="D34" s="12">
        <f t="shared" si="0"/>
        <v>3.0044327559008601E-6</v>
      </c>
    </row>
    <row r="35" spans="1:4" x14ac:dyDescent="0.2">
      <c r="A35" s="7" t="s">
        <v>26</v>
      </c>
      <c r="B35" s="8">
        <v>0</v>
      </c>
      <c r="C35" s="12">
        <f t="shared" si="1"/>
        <v>0</v>
      </c>
      <c r="D35" s="12">
        <f t="shared" si="0"/>
        <v>0</v>
      </c>
    </row>
    <row r="36" spans="1:4" x14ac:dyDescent="0.2">
      <c r="A36" s="7" t="s">
        <v>27</v>
      </c>
      <c r="B36" s="8">
        <f>SUM(B37:B41)</f>
        <v>168320.09</v>
      </c>
      <c r="C36" s="12">
        <f t="shared" si="1"/>
        <v>5.4883230723125724E-2</v>
      </c>
      <c r="D36" s="12">
        <f t="shared" si="0"/>
        <v>5.3232251776019035E-2</v>
      </c>
    </row>
    <row r="37" spans="1:4" x14ac:dyDescent="0.2">
      <c r="A37" s="14" t="s">
        <v>56</v>
      </c>
      <c r="B37" s="15">
        <v>94922.17</v>
      </c>
      <c r="C37" s="16">
        <f>B37/$B$36</f>
        <v>0.56393844608804566</v>
      </c>
      <c r="D37" s="16">
        <f>B37/$B$5</f>
        <v>3.0019713348335784E-2</v>
      </c>
    </row>
    <row r="38" spans="1:4" x14ac:dyDescent="0.2">
      <c r="A38" s="14" t="s">
        <v>57</v>
      </c>
      <c r="B38" s="15">
        <v>34337.4</v>
      </c>
      <c r="C38" s="16">
        <f>B38/$B$36</f>
        <v>0.20400060384948701</v>
      </c>
      <c r="D38" s="16">
        <f t="shared" si="0"/>
        <v>1.085941150657581E-2</v>
      </c>
    </row>
    <row r="39" spans="1:4" x14ac:dyDescent="0.2">
      <c r="A39" s="14" t="s">
        <v>58</v>
      </c>
      <c r="B39" s="15">
        <v>24903.68</v>
      </c>
      <c r="C39" s="16">
        <f t="shared" ref="C39:C41" si="3">B39/$B$36</f>
        <v>0.14795429351303221</v>
      </c>
      <c r="D39" s="16">
        <f t="shared" si="0"/>
        <v>7.8759402036287507E-3</v>
      </c>
    </row>
    <row r="40" spans="1:4" x14ac:dyDescent="0.2">
      <c r="A40" s="14" t="s">
        <v>59</v>
      </c>
      <c r="B40" s="15">
        <f>9502.31+4205.51+173</f>
        <v>13880.82</v>
      </c>
      <c r="C40" s="16">
        <f t="shared" si="3"/>
        <v>8.2466804764660007E-2</v>
      </c>
      <c r="D40" s="16">
        <f t="shared" si="0"/>
        <v>4.3898937143961869E-3</v>
      </c>
    </row>
    <row r="41" spans="1:4" x14ac:dyDescent="0.2">
      <c r="A41" s="14" t="s">
        <v>101</v>
      </c>
      <c r="B41" s="15">
        <v>276.02</v>
      </c>
      <c r="C41" s="16">
        <f t="shared" si="3"/>
        <v>1.6398517847750675E-3</v>
      </c>
      <c r="D41" s="16">
        <f t="shared" si="0"/>
        <v>8.7293003082500569E-5</v>
      </c>
    </row>
    <row r="42" spans="1:4" x14ac:dyDescent="0.2">
      <c r="A42" s="7" t="s">
        <v>28</v>
      </c>
      <c r="B42" s="8">
        <f>SUM(B43:B53)</f>
        <v>246853.36</v>
      </c>
      <c r="C42" s="12">
        <f t="shared" si="1"/>
        <v>8.0490153680756793E-2</v>
      </c>
      <c r="D42" s="12">
        <f t="shared" si="0"/>
        <v>7.8068875861914439E-2</v>
      </c>
    </row>
    <row r="43" spans="1:4" x14ac:dyDescent="0.2">
      <c r="A43" s="14" t="s">
        <v>60</v>
      </c>
      <c r="B43" s="15">
        <v>0</v>
      </c>
      <c r="C43" s="16">
        <f>B43/$B$42</f>
        <v>0</v>
      </c>
      <c r="D43" s="16">
        <f>B43/$B$5</f>
        <v>0</v>
      </c>
    </row>
    <row r="44" spans="1:4" x14ac:dyDescent="0.2">
      <c r="A44" s="14" t="s">
        <v>61</v>
      </c>
      <c r="B44" s="15">
        <f>476.24+755.41</f>
        <v>1231.6500000000001</v>
      </c>
      <c r="C44" s="16">
        <f t="shared" ref="C44:C53" si="4">B44/$B$42</f>
        <v>4.9893993745922689E-3</v>
      </c>
      <c r="D44" s="16">
        <f t="shared" ref="D44:D53" si="5">B44/$B$5</f>
        <v>3.8951680040055737E-4</v>
      </c>
    </row>
    <row r="45" spans="1:4" x14ac:dyDescent="0.2">
      <c r="A45" s="14" t="s">
        <v>62</v>
      </c>
      <c r="B45" s="15">
        <v>0</v>
      </c>
      <c r="C45" s="16">
        <f t="shared" si="4"/>
        <v>0</v>
      </c>
      <c r="D45" s="16">
        <f t="shared" si="5"/>
        <v>0</v>
      </c>
    </row>
    <row r="46" spans="1:4" s="3" customFormat="1" x14ac:dyDescent="0.2">
      <c r="A46" s="17" t="s">
        <v>63</v>
      </c>
      <c r="B46" s="18">
        <f>35662.19</f>
        <v>35662.19</v>
      </c>
      <c r="C46" s="19">
        <f t="shared" si="4"/>
        <v>0.14446710387089731</v>
      </c>
      <c r="D46" s="19">
        <f t="shared" si="5"/>
        <v>1.1278384398227381E-2</v>
      </c>
    </row>
    <row r="47" spans="1:4" s="3" customFormat="1" x14ac:dyDescent="0.2">
      <c r="A47" s="17" t="s">
        <v>64</v>
      </c>
      <c r="B47" s="18">
        <f>5269.91</f>
        <v>5269.91</v>
      </c>
      <c r="C47" s="19">
        <f t="shared" si="4"/>
        <v>2.1348342189873373E-2</v>
      </c>
      <c r="D47" s="19">
        <f t="shared" si="5"/>
        <v>1.666641076278895E-3</v>
      </c>
    </row>
    <row r="48" spans="1:4" s="3" customFormat="1" x14ac:dyDescent="0.2">
      <c r="A48" s="17" t="s">
        <v>65</v>
      </c>
      <c r="B48" s="18">
        <f>53.74+667.92</f>
        <v>721.66</v>
      </c>
      <c r="C48" s="19">
        <f t="shared" si="4"/>
        <v>2.9234360026535594E-3</v>
      </c>
      <c r="D48" s="19">
        <f t="shared" si="5"/>
        <v>2.2822936238141208E-4</v>
      </c>
    </row>
    <row r="49" spans="1:6" s="3" customFormat="1" x14ac:dyDescent="0.2">
      <c r="A49" s="17" t="s">
        <v>66</v>
      </c>
      <c r="B49" s="18">
        <f>2672.89</f>
        <v>2672.89</v>
      </c>
      <c r="C49" s="19">
        <f t="shared" si="4"/>
        <v>1.0827845324851969E-2</v>
      </c>
      <c r="D49" s="19">
        <f t="shared" si="5"/>
        <v>8.4531771251787895E-4</v>
      </c>
    </row>
    <row r="50" spans="1:6" s="3" customFormat="1" x14ac:dyDescent="0.2">
      <c r="A50" s="17" t="s">
        <v>67</v>
      </c>
      <c r="B50" s="18">
        <f>4823.51</f>
        <v>4823.51</v>
      </c>
      <c r="C50" s="19">
        <f t="shared" si="4"/>
        <v>1.9539981145081438E-2</v>
      </c>
      <c r="D50" s="19">
        <f t="shared" si="5"/>
        <v>1.5254643623595116E-3</v>
      </c>
    </row>
    <row r="51" spans="1:6" s="3" customFormat="1" x14ac:dyDescent="0.2">
      <c r="A51" s="17" t="s">
        <v>102</v>
      </c>
      <c r="B51" s="18">
        <f>158.5</f>
        <v>158.5</v>
      </c>
      <c r="C51" s="19">
        <f t="shared" si="4"/>
        <v>6.4208159856523727E-4</v>
      </c>
      <c r="D51" s="19">
        <f t="shared" si="5"/>
        <v>5.0126588611609087E-5</v>
      </c>
    </row>
    <row r="52" spans="1:6" s="3" customFormat="1" x14ac:dyDescent="0.2">
      <c r="A52" s="17" t="s">
        <v>68</v>
      </c>
      <c r="B52" s="18">
        <f>4057.8+126479.8+1971.68+1406.37</f>
        <v>133915.65</v>
      </c>
      <c r="C52" s="19">
        <f t="shared" si="4"/>
        <v>0.54249069163976538</v>
      </c>
      <c r="D52" s="19">
        <f t="shared" si="5"/>
        <v>4.235163846186895E-2</v>
      </c>
    </row>
    <row r="53" spans="1:6" s="3" customFormat="1" x14ac:dyDescent="0.2">
      <c r="A53" s="17" t="s">
        <v>69</v>
      </c>
      <c r="B53" s="18">
        <f>49716.06+12681.34</f>
        <v>62397.399999999994</v>
      </c>
      <c r="C53" s="19">
        <f t="shared" si="4"/>
        <v>0.25277111885371945</v>
      </c>
      <c r="D53" s="19">
        <f t="shared" si="5"/>
        <v>1.9733557099268245E-2</v>
      </c>
      <c r="F53" s="20"/>
    </row>
    <row r="54" spans="1:6" x14ac:dyDescent="0.2">
      <c r="C54" s="12"/>
      <c r="D54" s="12"/>
    </row>
    <row r="55" spans="1:6" x14ac:dyDescent="0.2">
      <c r="A55" s="7" t="s">
        <v>29</v>
      </c>
      <c r="B55" s="8">
        <v>4254</v>
      </c>
      <c r="C55" s="12">
        <f t="shared" si="1"/>
        <v>1.3870790081931209E-3</v>
      </c>
      <c r="D55" s="12">
        <f t="shared" si="0"/>
        <v>1.3453533624844484E-3</v>
      </c>
    </row>
    <row r="56" spans="1:6" x14ac:dyDescent="0.2">
      <c r="C56" s="12"/>
      <c r="D56" s="12"/>
    </row>
    <row r="57" spans="1:6" x14ac:dyDescent="0.2">
      <c r="A57" s="7" t="s">
        <v>30</v>
      </c>
      <c r="B57" s="8">
        <f>0.01+2046</f>
        <v>2046.01</v>
      </c>
      <c r="C57" s="12">
        <f t="shared" si="1"/>
        <v>6.6713152833878869E-4</v>
      </c>
      <c r="D57" s="12">
        <f t="shared" si="0"/>
        <v>6.4706310135797043E-4</v>
      </c>
    </row>
    <row r="58" spans="1:6" x14ac:dyDescent="0.2">
      <c r="D58" s="12"/>
    </row>
    <row r="59" spans="1:6" x14ac:dyDescent="0.2">
      <c r="A59" s="10" t="s">
        <v>31</v>
      </c>
      <c r="B59" s="13">
        <f>SUM(B5-B14)</f>
        <v>95118.05999999959</v>
      </c>
      <c r="D59" s="12">
        <f t="shared" si="0"/>
        <v>3.008166475176233E-2</v>
      </c>
    </row>
    <row r="60" spans="1:6" x14ac:dyDescent="0.2">
      <c r="D60" s="12"/>
    </row>
    <row r="61" spans="1:6" x14ac:dyDescent="0.2">
      <c r="A61" s="7" t="s">
        <v>32</v>
      </c>
      <c r="B61" s="8">
        <v>0</v>
      </c>
      <c r="D61" s="12">
        <f t="shared" si="0"/>
        <v>0</v>
      </c>
    </row>
    <row r="62" spans="1:6" x14ac:dyDescent="0.2">
      <c r="D62" s="12"/>
    </row>
    <row r="63" spans="1:6" x14ac:dyDescent="0.2">
      <c r="A63" s="7" t="s">
        <v>33</v>
      </c>
      <c r="B63" s="8">
        <v>150.49</v>
      </c>
      <c r="D63" s="12">
        <f t="shared" si="0"/>
        <v>4.7593377414265316E-5</v>
      </c>
    </row>
    <row r="64" spans="1:6" x14ac:dyDescent="0.2">
      <c r="D64" s="12"/>
    </row>
    <row r="65" spans="1:7" x14ac:dyDescent="0.2">
      <c r="A65" s="10" t="s">
        <v>34</v>
      </c>
      <c r="B65" s="13">
        <f>SUM(B61-B63)</f>
        <v>-150.49</v>
      </c>
      <c r="D65" s="12">
        <f t="shared" si="0"/>
        <v>-4.7593377414265316E-5</v>
      </c>
    </row>
    <row r="66" spans="1:7" x14ac:dyDescent="0.2">
      <c r="D66" s="12"/>
    </row>
    <row r="67" spans="1:7" x14ac:dyDescent="0.2">
      <c r="A67" s="10" t="s">
        <v>35</v>
      </c>
      <c r="B67" s="13">
        <f>SUM(B59+B65)</f>
        <v>94967.569999999585</v>
      </c>
      <c r="D67" s="12">
        <f t="shared" si="0"/>
        <v>3.0034071374348065E-2</v>
      </c>
    </row>
    <row r="68" spans="1:7" x14ac:dyDescent="0.2">
      <c r="D68" s="12"/>
    </row>
    <row r="69" spans="1:7" x14ac:dyDescent="0.2">
      <c r="A69" s="7" t="s">
        <v>36</v>
      </c>
      <c r="B69" s="8">
        <v>52771.57</v>
      </c>
      <c r="D69" s="12">
        <f t="shared" si="0"/>
        <v>1.6689329840875278E-2</v>
      </c>
    </row>
    <row r="70" spans="1:7" x14ac:dyDescent="0.2">
      <c r="D70" s="12"/>
    </row>
    <row r="71" spans="1:7" x14ac:dyDescent="0.2">
      <c r="A71" s="10" t="s">
        <v>37</v>
      </c>
      <c r="B71" s="13">
        <f>SUM(B67-B69)</f>
        <v>42195.999999999585</v>
      </c>
      <c r="C71" s="12">
        <f>B71/B5</f>
        <v>1.3344741533472785E-2</v>
      </c>
      <c r="D71" s="12">
        <f t="shared" si="0"/>
        <v>1.3344741533472785E-2</v>
      </c>
      <c r="G71" s="8"/>
    </row>
  </sheetData>
  <pageMargins left="0.70866141732283472" right="0.70866141732283472" top="0.74803149606299213" bottom="0.7480314960629921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5</vt:i4>
      </vt:variant>
    </vt:vector>
  </HeadingPairs>
  <TitlesOfParts>
    <vt:vector size="5" baseType="lpstr">
      <vt:lpstr>ANNEX 4</vt:lpstr>
      <vt:lpstr>Subrog anterior plec</vt:lpstr>
      <vt:lpstr>PiG2011</vt:lpstr>
      <vt:lpstr>PiG 2012</vt:lpstr>
      <vt:lpstr>PiG2013</vt:lpstr>
    </vt:vector>
  </TitlesOfParts>
  <Company>Ajuntament de Barcelona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2023-01-31T16:12:53Z</cp:lastPrinted>
  <dcterms:created xsi:type="dcterms:W3CDTF">2013-02-12T16:33:57Z</dcterms:created>
  <dcterms:modified xsi:type="dcterms:W3CDTF">2023-03-15T09:25:30Z</dcterms:modified>
</cp:coreProperties>
</file>