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drawings/drawing2.xml" ContentType="application/vnd.openxmlformats-officedocument.drawing+xml"/>
  <Override PartName="/xl/customProperty19.bin" ContentType="application/vnd.openxmlformats-officedocument.spreadsheetml.customProperty"/>
  <Override PartName="/xl/customProperty20.bin" ContentType="application/vnd.openxmlformats-officedocument.spreadsheetml.customProperty"/>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4400" windowHeight="10905" tabRatio="515" firstSheet="16" activeTab="16"/>
  </bookViews>
  <sheets>
    <sheet name="EST. MITJANA REVISIÓ SALARIS" sheetId="14" state="hidden" r:id="rId1"/>
    <sheet name="Full1" sheetId="7" state="hidden" r:id="rId2"/>
    <sheet name="Licitació KIT 1" sheetId="8" state="hidden" r:id="rId3"/>
    <sheet name="KIT 2 AMB PACK" sheetId="22" state="hidden" r:id="rId4"/>
    <sheet name="Licitació KIT 2 CON PACK" sheetId="23" state="hidden" r:id="rId5"/>
    <sheet name="taules salarials" sheetId="13" state="hidden" r:id="rId6"/>
    <sheet name="LOT 1 2022" sheetId="24" state="hidden" r:id="rId7"/>
    <sheet name="LOT 1 2023" sheetId="27" state="hidden" r:id="rId8"/>
    <sheet name="LOT 1 2024" sheetId="29" state="hidden" r:id="rId9"/>
    <sheet name="LOT 1 2025" sheetId="28" state="hidden" r:id="rId10"/>
    <sheet name="LOT 1 2026" sheetId="30" state="hidden" r:id="rId11"/>
    <sheet name="LOT 2 2022" sheetId="25" state="hidden" r:id="rId12"/>
    <sheet name="LOT 2 2023" sheetId="31" state="hidden" r:id="rId13"/>
    <sheet name="LOT 2 2024" sheetId="32" state="hidden" r:id="rId14"/>
    <sheet name="LOT 2 2025" sheetId="33" state="hidden" r:id="rId15"/>
    <sheet name="LOT 2 2026" sheetId="34" state="hidden" r:id="rId16"/>
    <sheet name="ANNEX4" sheetId="37" r:id="rId17"/>
    <sheet name="INFO KIT" sheetId="35" state="hidden" r:id="rId18"/>
    <sheet name="Full4" sheetId="39" state="hidden" r:id="rId19"/>
    <sheet name="ARTICLES_BenchMarking" sheetId="40" state="hidden" r:id="rId20"/>
    <sheet name="ACT_Oct23" sheetId="41" state="hidden" r:id="rId21"/>
    <sheet name="TMARE_Oct23 (2)" sheetId="42" state="hidden" r:id="rId22"/>
  </sheets>
  <definedNames>
    <definedName name="_xlnm.Print_Area" localSheetId="0">'EST. MITJANA REVISIÓ SALARIS'!$A$1:$H$13</definedName>
    <definedName name="_xlnm.Print_Area" localSheetId="1">Full1!$A$1:$Q$39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55" i="41" l="1"/>
  <c r="C16" i="42" l="1"/>
  <c r="J16" i="42" s="1"/>
  <c r="J13" i="42"/>
  <c r="S8" i="42"/>
  <c r="U8" i="42"/>
  <c r="E8" i="42"/>
  <c r="F8" i="42" s="1"/>
  <c r="S7" i="42"/>
  <c r="M11" i="42"/>
  <c r="S6" i="42"/>
  <c r="N6" i="42"/>
  <c r="J6" i="42"/>
  <c r="O6" i="42" s="1"/>
  <c r="U6" i="42" s="1"/>
  <c r="I6" i="42"/>
  <c r="S5" i="42"/>
  <c r="N5" i="42"/>
  <c r="J5" i="42"/>
  <c r="O5" i="42" s="1"/>
  <c r="P5" i="42" s="1"/>
  <c r="I5" i="42"/>
  <c r="M5" i="42" s="1"/>
  <c r="E5" i="42"/>
  <c r="G5" i="42" s="1"/>
  <c r="H5" i="42" s="1"/>
  <c r="J29" i="41"/>
  <c r="J15" i="41"/>
  <c r="B28" i="41"/>
  <c r="J12" i="41"/>
  <c r="B12" i="41"/>
  <c r="F14" i="41" s="1"/>
  <c r="F5" i="42" l="1"/>
  <c r="P13" i="42"/>
  <c r="O11" i="42"/>
  <c r="U7" i="42"/>
  <c r="P6" i="42"/>
  <c r="P10" i="42" s="1"/>
  <c r="G8" i="42"/>
  <c r="H8" i="42" s="1"/>
  <c r="K6" i="42"/>
  <c r="E7" i="42"/>
  <c r="U5" i="42"/>
  <c r="M6" i="42"/>
  <c r="M10" i="42" s="1"/>
  <c r="K5" i="42"/>
  <c r="R5" i="42" s="1"/>
  <c r="E6" i="42"/>
  <c r="O10" i="42"/>
  <c r="G7" i="42" l="1"/>
  <c r="H7" i="42" s="1"/>
  <c r="F7" i="42"/>
  <c r="G6" i="42"/>
  <c r="H6" i="42" s="1"/>
  <c r="H10" i="42" s="1"/>
  <c r="F6" i="42"/>
  <c r="F10" i="42" s="1"/>
  <c r="R6" i="42"/>
  <c r="R10" i="42"/>
  <c r="K10" i="42"/>
  <c r="K13" i="42" s="1"/>
  <c r="P11" i="42"/>
  <c r="K16" i="42" l="1"/>
  <c r="K20" i="42" s="1"/>
  <c r="H24" i="42"/>
  <c r="F11" i="42"/>
  <c r="G11" i="42" s="1"/>
  <c r="H25" i="42" l="1"/>
  <c r="H26" i="42" s="1"/>
  <c r="K24" i="42"/>
  <c r="P22" i="42"/>
  <c r="K26" i="42" l="1"/>
  <c r="K25" i="42"/>
  <c r="J20" i="42"/>
  <c r="H12" i="37" l="1"/>
  <c r="H11" i="37"/>
  <c r="AA251" i="40" l="1"/>
  <c r="AA250" i="40"/>
  <c r="Y250" i="40"/>
  <c r="X251" i="40"/>
  <c r="X250" i="40"/>
  <c r="Y245" i="40"/>
  <c r="X248" i="40"/>
  <c r="W248" i="40"/>
  <c r="H14" i="37" l="1"/>
  <c r="H18" i="37" s="1"/>
  <c r="H19" i="37" l="1"/>
  <c r="H20" i="37" s="1"/>
  <c r="F12" i="37" l="1"/>
  <c r="F11" i="37"/>
  <c r="F14" i="37" l="1"/>
  <c r="F18" i="37" s="1"/>
  <c r="F19" i="37" l="1"/>
  <c r="F20" i="37" s="1"/>
  <c r="M4" i="24" l="1"/>
  <c r="G9" i="30" l="1"/>
  <c r="H9" i="34"/>
  <c r="H19" i="34" s="1"/>
  <c r="I7" i="34"/>
  <c r="F7" i="34"/>
  <c r="Q6" i="34"/>
  <c r="N6" i="34"/>
  <c r="I6" i="34"/>
  <c r="F6" i="34"/>
  <c r="P5" i="34"/>
  <c r="M5" i="34"/>
  <c r="I5" i="34"/>
  <c r="F5" i="34"/>
  <c r="P4" i="34"/>
  <c r="P6" i="34" s="1"/>
  <c r="M4" i="34"/>
  <c r="M6" i="34" s="1"/>
  <c r="I4" i="34"/>
  <c r="I9" i="34" s="1"/>
  <c r="I19" i="34" s="1"/>
  <c r="F4" i="34"/>
  <c r="H9" i="33"/>
  <c r="H19" i="33" s="1"/>
  <c r="I7" i="33"/>
  <c r="F7" i="33"/>
  <c r="Q6" i="33"/>
  <c r="N6" i="33"/>
  <c r="I6" i="33"/>
  <c r="F6" i="33"/>
  <c r="P5" i="33"/>
  <c r="M5" i="33"/>
  <c r="I5" i="33"/>
  <c r="F5" i="33"/>
  <c r="P4" i="33"/>
  <c r="P6" i="33" s="1"/>
  <c r="M4" i="33"/>
  <c r="M6" i="33" s="1"/>
  <c r="I4" i="33"/>
  <c r="I9" i="33" s="1"/>
  <c r="I19" i="33" s="1"/>
  <c r="F4" i="33"/>
  <c r="F9" i="33" s="1"/>
  <c r="H9" i="32"/>
  <c r="H19" i="32" s="1"/>
  <c r="I7" i="32"/>
  <c r="F7" i="32"/>
  <c r="Q6" i="32"/>
  <c r="N6" i="32"/>
  <c r="I6" i="32"/>
  <c r="F6" i="32"/>
  <c r="P5" i="32"/>
  <c r="M5" i="32"/>
  <c r="I5" i="32"/>
  <c r="F5" i="32"/>
  <c r="P4" i="32"/>
  <c r="P6" i="32" s="1"/>
  <c r="M4" i="32"/>
  <c r="M6" i="32" s="1"/>
  <c r="I4" i="32"/>
  <c r="I9" i="32" s="1"/>
  <c r="I19" i="32" s="1"/>
  <c r="F4" i="32"/>
  <c r="H9" i="31"/>
  <c r="H19" i="31" s="1"/>
  <c r="I7" i="31"/>
  <c r="F7" i="31"/>
  <c r="Q6" i="31"/>
  <c r="N6" i="31"/>
  <c r="I6" i="31"/>
  <c r="F6" i="31"/>
  <c r="P5" i="31"/>
  <c r="M5" i="31"/>
  <c r="I5" i="31"/>
  <c r="F5" i="31"/>
  <c r="P4" i="31"/>
  <c r="P6" i="31" s="1"/>
  <c r="M4" i="31"/>
  <c r="M6" i="31" s="1"/>
  <c r="I4" i="31"/>
  <c r="I9" i="31" s="1"/>
  <c r="I19" i="31" s="1"/>
  <c r="F4" i="31"/>
  <c r="H7" i="30"/>
  <c r="H17" i="30" s="1"/>
  <c r="F7" i="30"/>
  <c r="M5" i="30"/>
  <c r="F5" i="30"/>
  <c r="M4" i="30"/>
  <c r="I4" i="30"/>
  <c r="I7" i="30" s="1"/>
  <c r="I17" i="30" s="1"/>
  <c r="F4" i="30"/>
  <c r="F4" i="24"/>
  <c r="F9" i="32" l="1"/>
  <c r="F11" i="32" s="1"/>
  <c r="I20" i="34"/>
  <c r="I21" i="34" s="1"/>
  <c r="H20" i="34"/>
  <c r="H21" i="34" s="1"/>
  <c r="F9" i="34"/>
  <c r="I20" i="33"/>
  <c r="I21" i="33" s="1"/>
  <c r="F11" i="33"/>
  <c r="H20" i="33"/>
  <c r="H21" i="33"/>
  <c r="H20" i="32"/>
  <c r="H21" i="32"/>
  <c r="I20" i="32"/>
  <c r="I21" i="32" s="1"/>
  <c r="H20" i="31"/>
  <c r="H21" i="31"/>
  <c r="I20" i="31"/>
  <c r="I21" i="31" s="1"/>
  <c r="F9" i="31"/>
  <c r="H18" i="30"/>
  <c r="H19" i="30"/>
  <c r="I18" i="30"/>
  <c r="I19" i="30" s="1"/>
  <c r="F9" i="30"/>
  <c r="H7" i="29"/>
  <c r="H17" i="29" s="1"/>
  <c r="M5" i="29"/>
  <c r="F5" i="29"/>
  <c r="M4" i="29"/>
  <c r="I4" i="29"/>
  <c r="I7" i="29" s="1"/>
  <c r="I17" i="29" s="1"/>
  <c r="F4" i="29"/>
  <c r="F7" i="29" s="1"/>
  <c r="H7" i="28"/>
  <c r="H17" i="28" s="1"/>
  <c r="M5" i="28"/>
  <c r="F5" i="28"/>
  <c r="M4" i="28"/>
  <c r="I4" i="28"/>
  <c r="I7" i="28" s="1"/>
  <c r="I17" i="28" s="1"/>
  <c r="F4" i="28"/>
  <c r="F7" i="28" s="1"/>
  <c r="H7" i="27"/>
  <c r="H17" i="27" s="1"/>
  <c r="M5" i="27"/>
  <c r="F5" i="27"/>
  <c r="F7" i="27" s="1"/>
  <c r="M4" i="27"/>
  <c r="I4" i="27"/>
  <c r="I7" i="27" s="1"/>
  <c r="I17" i="27" s="1"/>
  <c r="F4" i="27"/>
  <c r="F11" i="34" l="1"/>
  <c r="F15" i="33"/>
  <c r="F13" i="33"/>
  <c r="F15" i="32"/>
  <c r="F13" i="32"/>
  <c r="F11" i="31"/>
  <c r="F13" i="30"/>
  <c r="F11" i="30"/>
  <c r="F9" i="29"/>
  <c r="I18" i="29"/>
  <c r="I19" i="29" s="1"/>
  <c r="H18" i="29"/>
  <c r="H19" i="29" s="1"/>
  <c r="I18" i="28"/>
  <c r="I19" i="28" s="1"/>
  <c r="H18" i="28"/>
  <c r="H19" i="28"/>
  <c r="F9" i="28"/>
  <c r="H18" i="27"/>
  <c r="H19" i="27"/>
  <c r="I18" i="27"/>
  <c r="I19" i="27" s="1"/>
  <c r="F9" i="27"/>
  <c r="P4" i="25"/>
  <c r="F15" i="34" l="1"/>
  <c r="F13" i="34"/>
  <c r="F17" i="33"/>
  <c r="F17" i="32"/>
  <c r="F15" i="31"/>
  <c r="F13" i="31"/>
  <c r="F15" i="30"/>
  <c r="F13" i="29"/>
  <c r="F11" i="29"/>
  <c r="F13" i="28"/>
  <c r="F11" i="28"/>
  <c r="F13" i="27"/>
  <c r="F11" i="27"/>
  <c r="F17" i="34" l="1"/>
  <c r="F19" i="33"/>
  <c r="F19" i="32"/>
  <c r="F17" i="31"/>
  <c r="F17" i="30"/>
  <c r="F15" i="29"/>
  <c r="F15" i="28"/>
  <c r="F15" i="27"/>
  <c r="P6" i="25"/>
  <c r="M6" i="25"/>
  <c r="P5" i="25"/>
  <c r="M5" i="24"/>
  <c r="F19" i="34" l="1"/>
  <c r="G17" i="34" s="1"/>
  <c r="G19" i="33"/>
  <c r="G4" i="33"/>
  <c r="F20" i="33"/>
  <c r="F21" i="33" s="1"/>
  <c r="G9" i="33"/>
  <c r="G5" i="33"/>
  <c r="G7" i="33"/>
  <c r="G6" i="33"/>
  <c r="G11" i="33"/>
  <c r="G13" i="33"/>
  <c r="G15" i="33"/>
  <c r="G17" i="33"/>
  <c r="F21" i="32"/>
  <c r="G19" i="32"/>
  <c r="G4" i="32"/>
  <c r="F20" i="32"/>
  <c r="G7" i="32"/>
  <c r="G6" i="32"/>
  <c r="G9" i="32"/>
  <c r="G5" i="32"/>
  <c r="G11" i="32"/>
  <c r="G13" i="32"/>
  <c r="G15" i="32"/>
  <c r="G17" i="32"/>
  <c r="F19" i="31"/>
  <c r="G17" i="30"/>
  <c r="F18" i="30"/>
  <c r="F19" i="30" s="1"/>
  <c r="G5" i="30"/>
  <c r="G4" i="30"/>
  <c r="G7" i="30"/>
  <c r="G11" i="30"/>
  <c r="G13" i="30"/>
  <c r="G15" i="30"/>
  <c r="F17" i="29"/>
  <c r="G15" i="29" s="1"/>
  <c r="F17" i="28"/>
  <c r="F17" i="27"/>
  <c r="G19" i="34" l="1"/>
  <c r="F20" i="34"/>
  <c r="F21" i="34" s="1"/>
  <c r="G7" i="34"/>
  <c r="G5" i="34"/>
  <c r="G6" i="34"/>
  <c r="G4" i="34"/>
  <c r="G9" i="34"/>
  <c r="G11" i="34"/>
  <c r="G15" i="34"/>
  <c r="G13" i="34"/>
  <c r="G19" i="31"/>
  <c r="F20" i="31"/>
  <c r="F21" i="31" s="1"/>
  <c r="G7" i="31"/>
  <c r="G5" i="31"/>
  <c r="G4" i="31"/>
  <c r="G6" i="31"/>
  <c r="G9" i="31"/>
  <c r="G11" i="31"/>
  <c r="G13" i="31"/>
  <c r="G15" i="31"/>
  <c r="G17" i="31"/>
  <c r="F18" i="29"/>
  <c r="F19" i="29" s="1"/>
  <c r="G17" i="29"/>
  <c r="G7" i="29"/>
  <c r="G4" i="29"/>
  <c r="G5" i="29"/>
  <c r="G9" i="29"/>
  <c r="G11" i="29"/>
  <c r="G13" i="29"/>
  <c r="G17" i="28"/>
  <c r="F18" i="28"/>
  <c r="F19" i="28" s="1"/>
  <c r="G5" i="28"/>
  <c r="G7" i="28"/>
  <c r="G4" i="28"/>
  <c r="G9" i="28"/>
  <c r="G13" i="28"/>
  <c r="G11" i="28"/>
  <c r="G15" i="28"/>
  <c r="G17" i="27"/>
  <c r="F18" i="27"/>
  <c r="F19" i="27" s="1"/>
  <c r="G5" i="27"/>
  <c r="G4" i="27"/>
  <c r="G7" i="27"/>
  <c r="G9" i="27"/>
  <c r="G11" i="27"/>
  <c r="G13" i="27"/>
  <c r="G15" i="27"/>
  <c r="Q6" i="25" l="1"/>
  <c r="N6" i="25"/>
  <c r="M5" i="25"/>
  <c r="M4" i="25"/>
  <c r="H9" i="25" l="1"/>
  <c r="H19" i="25" s="1"/>
  <c r="I7" i="25"/>
  <c r="F7" i="25"/>
  <c r="I6" i="25"/>
  <c r="F6" i="25"/>
  <c r="I5" i="25"/>
  <c r="F5" i="25"/>
  <c r="I4" i="25"/>
  <c r="F4" i="25"/>
  <c r="I9" i="25"/>
  <c r="I19" i="25" s="1"/>
  <c r="H7" i="24"/>
  <c r="H17" i="24" s="1"/>
  <c r="F5" i="24"/>
  <c r="F7" i="24" s="1"/>
  <c r="I4" i="24"/>
  <c r="I7" i="24" s="1"/>
  <c r="I17" i="24" s="1"/>
  <c r="I20" i="25" l="1"/>
  <c r="I21" i="25" s="1"/>
  <c r="H20" i="25"/>
  <c r="H21" i="25" s="1"/>
  <c r="F9" i="25"/>
  <c r="I18" i="24"/>
  <c r="I19" i="24" s="1"/>
  <c r="H18" i="24"/>
  <c r="H19" i="24" s="1"/>
  <c r="F9" i="24"/>
  <c r="F11" i="24" s="1"/>
  <c r="C4" i="23"/>
  <c r="F11" i="25" l="1"/>
  <c r="F13" i="24"/>
  <c r="C7" i="23"/>
  <c r="D7" i="23" s="1"/>
  <c r="C6" i="23"/>
  <c r="F8" i="22"/>
  <c r="I7" i="22"/>
  <c r="F7" i="22"/>
  <c r="I8" i="22"/>
  <c r="F15" i="24" l="1"/>
  <c r="F17" i="24" s="1"/>
  <c r="F15" i="25"/>
  <c r="F13" i="25"/>
  <c r="E7" i="23"/>
  <c r="F17" i="25" l="1"/>
  <c r="F19" i="25"/>
  <c r="F18" i="24"/>
  <c r="F19" i="24" s="1"/>
  <c r="G9" i="24"/>
  <c r="G13" i="24"/>
  <c r="G15" i="24"/>
  <c r="G17" i="24"/>
  <c r="G4" i="24"/>
  <c r="G7" i="24"/>
  <c r="G5" i="24"/>
  <c r="G11" i="24"/>
  <c r="D6" i="23"/>
  <c r="E6" i="23" s="1"/>
  <c r="C5" i="23"/>
  <c r="D5" i="23" s="1"/>
  <c r="E5" i="23" s="1"/>
  <c r="D4" i="23"/>
  <c r="H11" i="22"/>
  <c r="H28" i="22" s="1"/>
  <c r="I9" i="22"/>
  <c r="F9" i="22"/>
  <c r="I6" i="22"/>
  <c r="F6" i="22"/>
  <c r="F5" i="22"/>
  <c r="I4" i="22"/>
  <c r="F4" i="22"/>
  <c r="F11" i="22" s="1"/>
  <c r="G15" i="25" l="1"/>
  <c r="G17" i="25"/>
  <c r="G19" i="25"/>
  <c r="F20" i="25"/>
  <c r="F21" i="25" s="1"/>
  <c r="G7" i="25"/>
  <c r="G5" i="25"/>
  <c r="G6" i="25"/>
  <c r="G4" i="25"/>
  <c r="G9" i="25"/>
  <c r="G11" i="25"/>
  <c r="G13" i="25"/>
  <c r="D8" i="23"/>
  <c r="D10" i="23" s="1"/>
  <c r="D23" i="23" s="1"/>
  <c r="E4" i="23"/>
  <c r="E8" i="23" s="1"/>
  <c r="I11" i="22"/>
  <c r="I28" i="22" s="1"/>
  <c r="I29" i="22"/>
  <c r="I30" i="22" s="1"/>
  <c r="H29" i="22"/>
  <c r="H30" i="22" s="1"/>
  <c r="D11" i="23" l="1"/>
  <c r="D12" i="23" s="1"/>
  <c r="F20" i="22"/>
  <c r="F22" i="22" s="1"/>
  <c r="F24" i="22" l="1"/>
  <c r="F28" i="22" s="1"/>
  <c r="E10" i="23"/>
  <c r="F29" i="22" l="1"/>
  <c r="G11" i="22"/>
  <c r="F26" i="22"/>
  <c r="E11" i="23"/>
  <c r="F30" i="22" l="1"/>
  <c r="G7" i="22"/>
  <c r="G8" i="22"/>
  <c r="G9" i="22"/>
  <c r="G6" i="22"/>
  <c r="G28" i="22"/>
  <c r="G5" i="22"/>
  <c r="G4" i="22"/>
  <c r="G22" i="22"/>
  <c r="G20" i="22"/>
  <c r="D20" i="23" s="1"/>
  <c r="G26" i="22"/>
  <c r="G24" i="22"/>
  <c r="D24" i="23" s="1"/>
  <c r="E24" i="23" s="1"/>
  <c r="E12" i="23"/>
  <c r="D21" i="23" l="1"/>
  <c r="E20" i="23"/>
  <c r="E21" i="23" s="1"/>
  <c r="D26" i="23"/>
  <c r="E23" i="23"/>
  <c r="E26" i="23" s="1"/>
  <c r="D28" i="23" l="1"/>
  <c r="E28" i="23"/>
  <c r="F7" i="14" l="1"/>
  <c r="G6" i="14"/>
  <c r="F8" i="14" l="1"/>
  <c r="F9" i="14" s="1"/>
  <c r="F10" i="14" s="1"/>
  <c r="F11" i="14" s="1"/>
  <c r="F12" i="14" l="1"/>
  <c r="D7" i="14" s="1"/>
  <c r="E7" i="14" l="1"/>
  <c r="G7" i="14" l="1"/>
  <c r="E8" i="14"/>
  <c r="G8" i="14" s="1"/>
  <c r="E9" i="14"/>
  <c r="G9" i="14" s="1"/>
  <c r="E11" i="14"/>
  <c r="G11" i="14" s="1"/>
  <c r="E10" i="14" l="1"/>
  <c r="E12" i="14" l="1"/>
  <c r="G12" i="14" s="1"/>
  <c r="G10" i="14"/>
  <c r="G39" i="13" l="1"/>
  <c r="I39" i="13" l="1"/>
  <c r="K39" i="13" s="1"/>
  <c r="N39" i="13" l="1"/>
  <c r="P39" i="13" s="1"/>
  <c r="Q39" i="13" l="1"/>
  <c r="Q40" i="13" s="1"/>
  <c r="T39" i="13" s="1"/>
  <c r="P31" i="7" l="1"/>
  <c r="Q31" i="7" s="1"/>
  <c r="O31" i="7"/>
  <c r="F4" i="8" l="1"/>
  <c r="G4" i="8" s="1"/>
  <c r="H4" i="8" s="1"/>
  <c r="F7" i="8"/>
  <c r="G7" i="8" s="1"/>
  <c r="H7" i="8" s="1"/>
  <c r="F5" i="8"/>
  <c r="G5" i="8" s="1"/>
  <c r="H5" i="8" s="1"/>
  <c r="F6" i="8"/>
  <c r="G6" i="8" s="1"/>
  <c r="H6" i="8" s="1"/>
  <c r="H8" i="8" l="1"/>
  <c r="H10" i="8" s="1"/>
  <c r="G8" i="8"/>
  <c r="G10" i="8" s="1"/>
  <c r="G23" i="8" l="1"/>
  <c r="G11" i="8"/>
  <c r="G12" i="8" s="1"/>
  <c r="G24" i="8"/>
  <c r="H24" i="8" s="1"/>
  <c r="G20" i="8"/>
  <c r="H11" i="8"/>
  <c r="H12" i="8" s="1"/>
  <c r="G26" i="8" l="1"/>
  <c r="H23" i="8"/>
  <c r="H26" i="8" s="1"/>
  <c r="G21" i="8"/>
  <c r="H20" i="8"/>
  <c r="H21" i="8" s="1"/>
  <c r="H28" i="8" l="1"/>
  <c r="G28" i="8"/>
</calcChain>
</file>

<file path=xl/sharedStrings.xml><?xml version="1.0" encoding="utf-8"?>
<sst xmlns="http://schemas.openxmlformats.org/spreadsheetml/2006/main" count="541" uniqueCount="177">
  <si>
    <t>TOTAL DE COSTOS DIRECTES</t>
  </si>
  <si>
    <t>TOTAL DE COSTOS INDIRECTES</t>
  </si>
  <si>
    <t xml:space="preserve">TOTAL DE COSTOS DIRECTES I INDIRECTES ESTIMATS </t>
  </si>
  <si>
    <t>PER A TOT EL CONTRACTE</t>
  </si>
  <si>
    <t>LLICENCIATS</t>
  </si>
  <si>
    <t>jornada anual</t>
  </si>
  <si>
    <t xml:space="preserve">suposit increment </t>
  </si>
  <si>
    <t>increment que representa</t>
  </si>
  <si>
    <t>jornada efectiva</t>
  </si>
  <si>
    <t>fins a 2020</t>
  </si>
  <si>
    <t>fins a 2022</t>
  </si>
  <si>
    <t>cicle continuat</t>
  </si>
  <si>
    <t>per hora</t>
  </si>
  <si>
    <t>salari anual</t>
  </si>
  <si>
    <t>preu hora</t>
  </si>
  <si>
    <t>plus disponibilitat</t>
  </si>
  <si>
    <t>DIRECCIÓ</t>
  </si>
  <si>
    <t xml:space="preserve">SOTSDIRECCIÓ.COMANDAMENTS INTERMEDIS </t>
  </si>
  <si>
    <t>DIPLOMATS</t>
  </si>
  <si>
    <t>PERSONAL QUALIFICAT</t>
  </si>
  <si>
    <t>ADMINISTRACIÓ I SERVEIS</t>
  </si>
  <si>
    <t>COMPLEMENTS</t>
  </si>
  <si>
    <t>import per paga</t>
  </si>
  <si>
    <t>import anual</t>
  </si>
  <si>
    <t>VALORACIÓ I DIAGNÒSTIC</t>
  </si>
  <si>
    <t>COORDINACIÓ</t>
  </si>
  <si>
    <t>cicle general</t>
  </si>
  <si>
    <t>NOCTURNITAT jornada laboral que es realitza entre les 22h i les 8h.</t>
  </si>
  <si>
    <t>%25 del salari diari</t>
  </si>
  <si>
    <t>suposit</t>
  </si>
  <si>
    <t>sí tota la jornada nocturna</t>
  </si>
  <si>
    <t>3,75 anys</t>
  </si>
  <si>
    <t>4anys</t>
  </si>
  <si>
    <t xml:space="preserve">SUPOSITS </t>
  </si>
  <si>
    <t>4 ANUALITATS</t>
  </si>
  <si>
    <t>ANUALITAT</t>
  </si>
  <si>
    <t>Columna2</t>
  </si>
  <si>
    <t>increment</t>
  </si>
  <si>
    <t>PAGAMENT</t>
  </si>
  <si>
    <t>COST</t>
  </si>
  <si>
    <t>diferencia</t>
  </si>
  <si>
    <t>SUPOSIT increment %</t>
  </si>
  <si>
    <t>total</t>
  </si>
  <si>
    <t>INICI PRESTACIÓGENER 2020 EL CONTRACTE</t>
  </si>
  <si>
    <t>LA VALORACIÓ DE COSTOS S'HA FET TENIM EN COMPTE LES ÚLTIMES TAULES SALARIALS APROVADES QUE SÓN DE 2018</t>
  </si>
  <si>
    <t>LICITACIÓ</t>
  </si>
  <si>
    <t>Preu unitari</t>
  </si>
  <si>
    <t>Preu base de licitació</t>
  </si>
  <si>
    <t>Preu total del contracte</t>
  </si>
  <si>
    <t>Despeses generals</t>
  </si>
  <si>
    <t>Marge empresarial</t>
  </si>
  <si>
    <t>P. 2022</t>
  </si>
  <si>
    <t>TIPUS</t>
  </si>
  <si>
    <t>ESTIMACIONS CONSUM ANUAL APROXIMAT</t>
  </si>
  <si>
    <r>
      <t>PREU UNITARI</t>
    </r>
    <r>
      <rPr>
        <b/>
        <sz val="12"/>
        <rFont val="Arial"/>
        <family val="2"/>
      </rPr>
      <t xml:space="preserve"> (IVA exclòs)</t>
    </r>
  </si>
  <si>
    <t>SUMATORI ESTIMACIONS I PREUS UNITARIS</t>
  </si>
  <si>
    <t>PREU UNITARI OFERTAT (IVA exclòs)</t>
  </si>
  <si>
    <t>PREU TOTAL OFERTAT (IVA exclòs)</t>
  </si>
  <si>
    <t>URL O NÚMERO PÀGINA CATÀLEG 2022</t>
  </si>
  <si>
    <t>Altres Característiques</t>
  </si>
  <si>
    <t>Preu total (IVA exclòs)</t>
  </si>
  <si>
    <t>IVA (21%)</t>
  </si>
  <si>
    <t>Preu total (IVA inclòs)</t>
  </si>
  <si>
    <t>Motxilles negres</t>
  </si>
  <si>
    <t>Despeses de subministrament del kit material informàtic</t>
  </si>
  <si>
    <t>Unitat</t>
  </si>
  <si>
    <t>Serigrafia motxilla logotip Ajuntament de Barcelona - IMSS</t>
  </si>
  <si>
    <t>Motxilles negres amb rodes</t>
  </si>
  <si>
    <t>Despeses infraestructura</t>
  </si>
  <si>
    <t>Despeses directes</t>
  </si>
  <si>
    <t>Despeses indirectes</t>
  </si>
  <si>
    <t>Ratolí ergonòmic amb cable color negre</t>
  </si>
  <si>
    <t>Auricular diadema plegable de color negre amb micròfon incorporat amb cable connexió jackpot</t>
  </si>
  <si>
    <t>Subministrament de Kit material informàtic que inclou en el preu el servei de distribució</t>
  </si>
  <si>
    <t>Subtotal Despeses per preu unitari</t>
  </si>
  <si>
    <t>Subministrament i distribució auriculars</t>
  </si>
  <si>
    <t>Subministrament i distribució ratolins</t>
  </si>
  <si>
    <t>Subministrament i distribució motxilles</t>
  </si>
  <si>
    <t>Serigrafia motixilles</t>
  </si>
  <si>
    <t>IVA 21%</t>
  </si>
  <si>
    <t>Subministrament i distribució kit informàtic perifèric</t>
  </si>
  <si>
    <t>Subministrament i distribució motxilles amb serigrafia</t>
  </si>
  <si>
    <t>KIT AMB PACK: MOTXILLA AMB SERIGRAFIA</t>
  </si>
  <si>
    <t>Serigrafia logotip IMSS per motxilles negres</t>
  </si>
  <si>
    <t>Serigrafia logotip IMSS per motxilles negres amb rodes</t>
  </si>
  <si>
    <t>Subministrament i distribució motxilles amb rodes amb serigrafia</t>
  </si>
  <si>
    <t>Personal de picking</t>
  </si>
  <si>
    <t>Conductors per realitzar el lliurament del material</t>
  </si>
  <si>
    <t>Despeses de personal per la distribució i lliurament del material informàtic</t>
  </si>
  <si>
    <t>Despeses de transport (renting furgoneta, benzina)</t>
  </si>
  <si>
    <t>LOT 1</t>
  </si>
  <si>
    <t>LOT 2</t>
  </si>
  <si>
    <t>Motxilles</t>
  </si>
  <si>
    <t>Serigrafia logotip IMSS per motxilles</t>
  </si>
  <si>
    <t>Motxilles amb rodes</t>
  </si>
  <si>
    <t>Serigrafia logotip IMSS per motxilles amb rodes</t>
  </si>
  <si>
    <t>Amagat</t>
  </si>
  <si>
    <t>Amagat 2</t>
  </si>
  <si>
    <t>TOTAL</t>
  </si>
  <si>
    <t>Possibles INFOs UTILS : Cte KIT INFORMÀTIC</t>
  </si>
  <si>
    <t>Motxilles fosques</t>
  </si>
  <si>
    <t>Motxilles fosques amb rodes</t>
  </si>
  <si>
    <t>Codi</t>
  </si>
  <si>
    <t>Descripció</t>
  </si>
  <si>
    <t>Quantitat estimada</t>
  </si>
  <si>
    <t>Preu u/t Sortida</t>
  </si>
  <si>
    <t>Import sortida</t>
  </si>
  <si>
    <t>Preu u/t  Proveïdor</t>
  </si>
  <si>
    <t>Import  Proveïdor</t>
  </si>
  <si>
    <t xml:space="preserve">Despeses per preu UNITARI </t>
  </si>
  <si>
    <t>PREU UNITARI</t>
  </si>
  <si>
    <t>Subtotal preu UNITARI</t>
  </si>
  <si>
    <t>Subtotal preu unitari proveidor</t>
  </si>
  <si>
    <t>IMPORT:</t>
  </si>
  <si>
    <t xml:space="preserve">IMPORT:                    </t>
  </si>
  <si>
    <t>IVA (%):</t>
  </si>
  <si>
    <t>TOTAL:</t>
  </si>
  <si>
    <t xml:space="preserve">TOTAL PROVEIDOR: </t>
  </si>
  <si>
    <t>Barcelona, en la data de signatura</t>
  </si>
  <si>
    <t>Cte  SUBMINISTRAMENT i DISTRIBUCIO Kit INFORMÀTIC</t>
  </si>
  <si>
    <t>Subministrament i distribució AURICULARS</t>
  </si>
  <si>
    <t>Subministrament i distribució RATOLINS</t>
  </si>
  <si>
    <t>Info:</t>
  </si>
  <si>
    <t xml:space="preserve">https://www.onedirect.es/productos/epos/epos-adapt-165-ii </t>
  </si>
  <si>
    <t>https://www.amazon.es/NGS-Crew-Red-Ordenador- Ambidiestro/dp/B08ZNBK4ZV/ref=sr_1_5?__mk_es_ES=%C3%85M%C3%85%C5%BD%C3%95%C3%91&amp;crid=3QQUK6TTRGQ4P&amp;keywords=raton%2Bnilox%2Bcon%2Bcable&amp;qid=1648557960&amp;sprefix=raton%2Bnilox%2Bcon%2Bcable%2Caps%2C97&amp;sr=8-5&amp;th=1</t>
  </si>
  <si>
    <t>https://www.amazon.es/Targus-TSB96201GL-maletines-port%C3%A1til- Mochila/dp/B07JQJTRHY/ref=sr_1_10?__mk_es_ES=%C3%85M%C3%85%C5%BD%C3%95%C3%91&amp;keywords=Targus%2BMochila%2Bportatil&amp;qid=1648464511&amp;refinements=p_36%3A1323856031&amp;rnid=1323854031&amp;s=electronics&amp;sr</t>
  </si>
  <si>
    <t>ACTUALITZACIÓ PREUS a DATA 20/Febrer/2023</t>
  </si>
  <si>
    <t xml:space="preserve">https://es.targus.com/products/15-6-ecosmart-mobile-tech-traveler-rolling-backpack-black-tbr040gl </t>
  </si>
  <si>
    <t>Increment ACTUALITZACIÓ (Quantitat+Preu)</t>
  </si>
  <si>
    <t>NOVES ESTIMACIONS</t>
  </si>
  <si>
    <t>CI (10%)</t>
  </si>
  <si>
    <t>Estimació CD+CI</t>
  </si>
  <si>
    <t>Diferències</t>
  </si>
  <si>
    <t>BENCHMARKING 20FEB23</t>
  </si>
  <si>
    <t>Preu "REAL" ofertable</t>
  </si>
  <si>
    <t>BAIXA Possible</t>
  </si>
  <si>
    <t>-30% / -40%</t>
  </si>
  <si>
    <t>PVP</t>
  </si>
  <si>
    <t>REBAIXA FACTIBLE    -30%</t>
  </si>
  <si>
    <t>MITJANA</t>
  </si>
  <si>
    <t>Previsió</t>
  </si>
  <si>
    <t>Possible Oferta (-30 al -40%)</t>
  </si>
  <si>
    <t>CD</t>
  </si>
  <si>
    <t>Lot 1</t>
  </si>
  <si>
    <t>Lot 2</t>
  </si>
  <si>
    <t>TOT el CTE (Quantitats varien per cada any, 2 anys Cte inicial)</t>
  </si>
  <si>
    <t>T.MARE 1er ANY de CTE (2023)</t>
  </si>
  <si>
    <t>Quantitat inicial</t>
  </si>
  <si>
    <t>Preu Estimat (CD)</t>
  </si>
  <si>
    <t>Preu (CD + CI)</t>
  </si>
  <si>
    <t>COST ESTIMAT (1er any)</t>
  </si>
  <si>
    <t>CI</t>
  </si>
  <si>
    <t>Diferència AJUST DECIMALS</t>
  </si>
  <si>
    <t>Traiem l' Outlier (preu més alt)</t>
  </si>
  <si>
    <t>%</t>
  </si>
  <si>
    <t>Marca/Model</t>
  </si>
  <si>
    <t>CLEYVER HC65 USB + JACK</t>
  </si>
  <si>
    <t>TOP 1</t>
  </si>
  <si>
    <t>SENNHEISER EPOS Adapt 165 II</t>
  </si>
  <si>
    <t>Plantronics Blackwire 3220</t>
  </si>
  <si>
    <t>SENNHEISER PC 5.2 CHAT</t>
  </si>
  <si>
    <r>
      <t xml:space="preserve"> ACTUALITZACIÓ  RATOLINS OCT/2023 </t>
    </r>
    <r>
      <rPr>
        <b/>
        <i/>
        <sz val="18"/>
        <color theme="1"/>
        <rFont val="Calibri"/>
        <family val="2"/>
        <scheme val="minor"/>
      </rPr>
      <t>BenchMarking</t>
    </r>
  </si>
  <si>
    <r>
      <t xml:space="preserve"> ACTUALITZACIÓ AURICULARS OCT/2023 </t>
    </r>
    <r>
      <rPr>
        <b/>
        <i/>
        <sz val="18"/>
        <color theme="1"/>
        <rFont val="Calibri"/>
        <family val="2"/>
        <scheme val="minor"/>
      </rPr>
      <t>BenchMarking</t>
    </r>
  </si>
  <si>
    <t>RATOLINS amb CABLE, Mostra 1</t>
  </si>
  <si>
    <t>RATOLINS amb CABLE, Mostra 2</t>
  </si>
  <si>
    <t>Preu ARRODONIT Cte</t>
  </si>
  <si>
    <t>Incr/Decr Preus Anteriors</t>
  </si>
  <si>
    <t>Preu anterior Cte.</t>
  </si>
  <si>
    <t>Incr/ Decr</t>
  </si>
  <si>
    <t>(No inclou 10% C.I.)</t>
  </si>
  <si>
    <t>Costos DIRECTES</t>
  </si>
  <si>
    <t>Costos INDIRECTES</t>
  </si>
  <si>
    <t>Cte. KIT INFORMATIC (Oct/23)</t>
  </si>
  <si>
    <t>Quantitat</t>
  </si>
  <si>
    <t>EXP P2400003 ANNEX-4 BIS</t>
  </si>
  <si>
    <t xml:space="preserve">           NOTA: Aquest document es presentarà en format PDF i degudament signat pel / per la representant legal de l'empresa licitadora </t>
  </si>
  <si>
    <t>Les quantitats indicades per l’IMSS com a preu global net així com cadascun dels preus unitaris nets determinats constitueixen la xifra màxima per sobre de la qual s'estimarà que les ofertes dels licitadors excedeixen el tipus de la licitació i, per tant, seran excloses.</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</si>
</sst>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8" formatCode="#,##0.00\ &quot;€&quot;;[Red]\-#,##0.00\ &quot;€&quot;"/>
    <numFmt numFmtId="44" formatCode="_-* #,##0.00\ &quot;€&quot;_-;\-* #,##0.00\ &quot;€&quot;_-;_-* &quot;-&quot;??\ &quot;€&quot;_-;_-@_-"/>
    <numFmt numFmtId="43" formatCode="_-* #,##0.00\ _€_-;\-* #,##0.00\ _€_-;_-* &quot;-&quot;??\ _€_-;_-@_-"/>
    <numFmt numFmtId="164" formatCode="#,##0.00\ &quot;€&quot;"/>
    <numFmt numFmtId="165" formatCode="0.000%"/>
    <numFmt numFmtId="166" formatCode="#,##0_);\(#,##0\)"/>
    <numFmt numFmtId="167" formatCode="#,##0.00_);\(#,##0.00\)"/>
    <numFmt numFmtId="168" formatCode="#,##0.000"/>
    <numFmt numFmtId="169" formatCode="_-* #,##0.00\ [$€-C0A]_-;\-* #,##0.00\ [$€-C0A]_-;_-* &quot;-&quot;??\ [$€-C0A]_-;_-@_-"/>
    <numFmt numFmtId="170" formatCode="0.0000"/>
    <numFmt numFmtId="171" formatCode="_-* #,##0.00\ [$€-403]_-;\-* #,##0.00\ [$€-403]_-;_-* &quot;-&quot;??\ [$€-403]_-;_-@_-"/>
    <numFmt numFmtId="172" formatCode="0.0%"/>
    <numFmt numFmtId="173" formatCode="_-* #,##0.0000\ &quot;€&quot;_-;\-* #,##0.0000\ &quot;€&quot;_-;_-* &quot;-&quot;??\ &quot;€&quot;_-;_-@_-"/>
    <numFmt numFmtId="174" formatCode="_-* #,##0.000\ &quot;€&quot;_-;\-* #,##0.000\ &quot;€&quot;_-;_-* &quot;-&quot;??\ &quot;€&quot;_-;_-@_-"/>
  </numFmts>
  <fonts count="86">
    <font>
      <sz val="10"/>
      <name val="Arial"/>
    </font>
    <font>
      <sz val="11"/>
      <color theme="1"/>
      <name val="Calibri"/>
      <family val="2"/>
      <scheme val="minor"/>
    </font>
    <font>
      <b/>
      <sz val="10"/>
      <name val="Arial"/>
      <family val="2"/>
    </font>
    <font>
      <sz val="10"/>
      <name val="Arial"/>
      <family val="2"/>
    </font>
    <font>
      <b/>
      <sz val="12"/>
      <name val="Arial"/>
      <family val="2"/>
    </font>
    <font>
      <sz val="12"/>
      <name val="Arial"/>
      <family val="2"/>
    </font>
    <font>
      <b/>
      <sz val="10"/>
      <color rgb="FFFF0000"/>
      <name val="Arial"/>
      <family val="2"/>
    </font>
    <font>
      <b/>
      <i/>
      <sz val="10"/>
      <color rgb="FFFF0000"/>
      <name val="Arial"/>
      <family val="2"/>
    </font>
    <font>
      <b/>
      <sz val="12"/>
      <color rgb="FFFF0000"/>
      <name val="Arial"/>
      <family val="2"/>
    </font>
    <font>
      <sz val="8"/>
      <color theme="1"/>
      <name val="Verdana"/>
      <family val="2"/>
    </font>
    <font>
      <sz val="8"/>
      <color theme="1"/>
      <name val="Arial"/>
      <family val="2"/>
    </font>
    <font>
      <sz val="8"/>
      <name val="Arial"/>
      <family val="2"/>
    </font>
    <font>
      <b/>
      <sz val="8"/>
      <name val="Arial"/>
      <family val="2"/>
    </font>
    <font>
      <sz val="11"/>
      <name val="Arial"/>
      <family val="2"/>
    </font>
    <font>
      <b/>
      <sz val="11"/>
      <color theme="1"/>
      <name val="Calibri"/>
      <family val="2"/>
      <scheme val="minor"/>
    </font>
    <font>
      <b/>
      <sz val="11"/>
      <color rgb="FFFF0000"/>
      <name val="Calibri"/>
      <family val="2"/>
      <scheme val="minor"/>
    </font>
    <font>
      <b/>
      <sz val="12"/>
      <color theme="1"/>
      <name val="Calibri"/>
      <family val="2"/>
      <scheme val="minor"/>
    </font>
    <font>
      <b/>
      <sz val="16"/>
      <color theme="1"/>
      <name val="Calibri"/>
      <family val="2"/>
      <scheme val="minor"/>
    </font>
    <font>
      <sz val="11"/>
      <color rgb="FF0070C0"/>
      <name val="Calibri"/>
      <family val="2"/>
      <scheme val="minor"/>
    </font>
    <font>
      <b/>
      <sz val="11"/>
      <color rgb="FF0070C0"/>
      <name val="Calibri"/>
      <family val="2"/>
      <scheme val="minor"/>
    </font>
    <font>
      <b/>
      <sz val="16"/>
      <color rgb="FF0070C0"/>
      <name val="Calibri"/>
      <family val="2"/>
      <scheme val="minor"/>
    </font>
    <font>
      <b/>
      <sz val="11"/>
      <color rgb="FF00B050"/>
      <name val="Calibri"/>
      <family val="2"/>
      <scheme val="minor"/>
    </font>
    <font>
      <sz val="11"/>
      <color rgb="FF00B050"/>
      <name val="Calibri"/>
      <family val="2"/>
      <scheme val="minor"/>
    </font>
    <font>
      <b/>
      <sz val="12"/>
      <color rgb="FF00B050"/>
      <name val="Arial"/>
      <family val="2"/>
    </font>
    <font>
      <b/>
      <sz val="12"/>
      <color rgb="FF00B050"/>
      <name val="Calibri"/>
      <family val="2"/>
      <scheme val="minor"/>
    </font>
    <font>
      <sz val="11"/>
      <color rgb="FF7030A0"/>
      <name val="Calibri"/>
      <family val="2"/>
      <scheme val="minor"/>
    </font>
    <font>
      <b/>
      <sz val="14"/>
      <color rgb="FF7030A0"/>
      <name val="Calibri"/>
      <family val="2"/>
      <scheme val="minor"/>
    </font>
    <font>
      <b/>
      <sz val="14"/>
      <color rgb="FF7030A0"/>
      <name val="Arial"/>
      <family val="2"/>
    </font>
    <font>
      <sz val="14"/>
      <color rgb="FF7030A0"/>
      <name val="Calibri"/>
      <family val="2"/>
      <scheme val="minor"/>
    </font>
    <font>
      <sz val="10"/>
      <color theme="1"/>
      <name val="Calibri"/>
      <family val="2"/>
      <scheme val="minor"/>
    </font>
    <font>
      <sz val="10"/>
      <name val="Arial"/>
      <family val="2"/>
    </font>
    <font>
      <b/>
      <sz val="11"/>
      <name val="Calibri"/>
      <family val="2"/>
      <scheme val="minor"/>
    </font>
    <font>
      <sz val="11"/>
      <name val="Calibri"/>
      <family val="2"/>
      <scheme val="minor"/>
    </font>
    <font>
      <b/>
      <sz val="10"/>
      <name val="DINPro-Regular"/>
      <family val="3"/>
    </font>
    <font>
      <sz val="10"/>
      <name val="DINPro-Regular"/>
      <family val="3"/>
    </font>
    <font>
      <b/>
      <sz val="14"/>
      <name val="DINPro-Regular"/>
      <family val="3"/>
    </font>
    <font>
      <sz val="14"/>
      <name val="DINPro-Regular"/>
      <family val="3"/>
    </font>
    <font>
      <sz val="14"/>
      <name val="Calibri"/>
      <family val="2"/>
      <scheme val="minor"/>
    </font>
    <font>
      <b/>
      <sz val="10"/>
      <color rgb="FFFF0000"/>
      <name val="DINPro-Regular"/>
      <family val="3"/>
    </font>
    <font>
      <b/>
      <sz val="8"/>
      <color theme="1"/>
      <name val="Verdana"/>
      <family val="2"/>
    </font>
    <font>
      <b/>
      <sz val="8"/>
      <color rgb="FF000000"/>
      <name val="Arial"/>
      <family val="2"/>
    </font>
    <font>
      <b/>
      <i/>
      <sz val="8"/>
      <color rgb="FF000000"/>
      <name val="Arial"/>
      <family val="2"/>
    </font>
    <font>
      <sz val="8"/>
      <color rgb="FF000000"/>
      <name val="Arial"/>
      <family val="2"/>
    </font>
    <font>
      <b/>
      <sz val="10"/>
      <color theme="1"/>
      <name val="Arial"/>
      <family val="2"/>
    </font>
    <font>
      <sz val="11"/>
      <color theme="1"/>
      <name val="Calibri"/>
      <family val="2"/>
    </font>
    <font>
      <sz val="10"/>
      <color theme="1"/>
      <name val="Calibri"/>
      <family val="2"/>
    </font>
    <font>
      <b/>
      <sz val="8"/>
      <color rgb="FFFF0000"/>
      <name val="Verdana"/>
      <family val="2"/>
    </font>
    <font>
      <b/>
      <sz val="9"/>
      <color theme="1"/>
      <name val="Arial"/>
      <family val="2"/>
    </font>
    <font>
      <b/>
      <sz val="8"/>
      <color theme="1"/>
      <name val="Arial"/>
      <family val="2"/>
    </font>
    <font>
      <b/>
      <sz val="8"/>
      <color rgb="FFFF0000"/>
      <name val="Arial"/>
      <family val="2"/>
    </font>
    <font>
      <sz val="8"/>
      <color rgb="FFFF0000"/>
      <name val="Arial"/>
      <family val="2"/>
    </font>
    <font>
      <sz val="12"/>
      <color rgb="FFFF0000"/>
      <name val="Arial"/>
      <family val="2"/>
    </font>
    <font>
      <sz val="12"/>
      <color theme="1"/>
      <name val="Arial"/>
      <family val="2"/>
    </font>
    <font>
      <b/>
      <sz val="12"/>
      <color theme="1"/>
      <name val="Arial"/>
      <family val="2"/>
    </font>
    <font>
      <sz val="12"/>
      <color rgb="FF000000"/>
      <name val="Arial"/>
      <family val="2"/>
    </font>
    <font>
      <b/>
      <sz val="12"/>
      <color rgb="FF000000"/>
      <name val="Arial"/>
      <family val="2"/>
    </font>
    <font>
      <b/>
      <sz val="9"/>
      <name val="Arial"/>
      <family val="2"/>
    </font>
    <font>
      <sz val="24"/>
      <color theme="1"/>
      <name val="72 Black"/>
      <family val="2"/>
    </font>
    <font>
      <sz val="10"/>
      <name val="Arial"/>
      <family val="2"/>
    </font>
    <font>
      <sz val="12"/>
      <color theme="0"/>
      <name val="Arial"/>
      <family val="2"/>
    </font>
    <font>
      <b/>
      <sz val="12"/>
      <color theme="0"/>
      <name val="Arial"/>
      <family val="2"/>
    </font>
    <font>
      <b/>
      <sz val="14"/>
      <name val="Arial"/>
      <family val="2"/>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6"/>
      <name val="Arial"/>
      <family val="2"/>
    </font>
    <font>
      <sz val="14"/>
      <color theme="1"/>
      <name val="Arial"/>
      <family val="2"/>
    </font>
    <font>
      <sz val="14"/>
      <color rgb="FF000000"/>
      <name val="Arial"/>
      <family val="2"/>
    </font>
    <font>
      <b/>
      <sz val="11"/>
      <name val="Arial"/>
      <family val="2"/>
    </font>
    <font>
      <b/>
      <sz val="11"/>
      <color theme="1"/>
      <name val="Arial"/>
      <family val="2"/>
    </font>
    <font>
      <b/>
      <sz val="14"/>
      <color rgb="FF000000"/>
      <name val="Arial"/>
      <family val="2"/>
    </font>
    <font>
      <b/>
      <sz val="11"/>
      <color rgb="FF000000"/>
      <name val="Arial"/>
      <family val="2"/>
    </font>
    <font>
      <u/>
      <sz val="10"/>
      <color theme="10"/>
      <name val="Arial"/>
      <family val="2"/>
    </font>
    <font>
      <b/>
      <sz val="24"/>
      <name val="Arial"/>
      <family val="2"/>
    </font>
    <font>
      <b/>
      <sz val="20"/>
      <color theme="1"/>
      <name val="Arial"/>
      <family val="2"/>
    </font>
    <font>
      <b/>
      <sz val="16"/>
      <color rgb="FF000000"/>
      <name val="Arial"/>
      <family val="2"/>
    </font>
    <font>
      <b/>
      <sz val="14"/>
      <color rgb="FFFF0000"/>
      <name val="Arial"/>
      <family val="2"/>
    </font>
    <font>
      <b/>
      <sz val="18"/>
      <name val="Arial"/>
      <family val="2"/>
    </font>
    <font>
      <b/>
      <sz val="18"/>
      <color theme="1"/>
      <name val="Calibri"/>
      <family val="2"/>
      <scheme val="minor"/>
    </font>
    <font>
      <b/>
      <sz val="10"/>
      <color theme="1"/>
      <name val="Calibri"/>
      <family val="2"/>
      <scheme val="minor"/>
    </font>
    <font>
      <b/>
      <i/>
      <sz val="18"/>
      <color theme="1"/>
      <name val="Calibri"/>
      <family val="2"/>
      <scheme val="minor"/>
    </font>
    <font>
      <b/>
      <sz val="14"/>
      <color theme="1"/>
      <name val="Arial"/>
      <family val="2"/>
    </font>
    <font>
      <b/>
      <sz val="16"/>
      <color rgb="FFFF0000"/>
      <name val="Arial"/>
      <family val="2"/>
    </font>
    <font>
      <b/>
      <sz val="16"/>
      <color theme="1"/>
      <name val="Arial"/>
      <family val="2"/>
    </font>
  </fonts>
  <fills count="21">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2"/>
        <bgColor indexed="64"/>
      </patternFill>
    </fill>
    <fill>
      <patternFill patternType="solid">
        <fgColor theme="0" tint="-0.14999847407452621"/>
        <bgColor indexed="64"/>
      </patternFill>
    </fill>
    <fill>
      <patternFill patternType="solid">
        <fgColor rgb="FF92D05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rgb="FFFFFFCC"/>
        <bgColor indexed="64"/>
      </patternFill>
    </fill>
    <fill>
      <patternFill patternType="solid">
        <fgColor rgb="FFFF99FF"/>
        <bgColor indexed="64"/>
      </patternFill>
    </fill>
    <fill>
      <patternFill patternType="solid">
        <fgColor rgb="FFFF0000"/>
        <bgColor indexed="64"/>
      </patternFill>
    </fill>
    <fill>
      <patternFill patternType="solid">
        <fgColor indexed="51"/>
        <bgColor indexed="64"/>
      </patternFill>
    </fill>
    <fill>
      <patternFill patternType="solid">
        <fgColor theme="6" tint="0.39997558519241921"/>
        <bgColor indexed="64"/>
      </patternFill>
    </fill>
    <fill>
      <patternFill patternType="solid">
        <fgColor rgb="FF00FF00"/>
        <bgColor indexed="64"/>
      </patternFill>
    </fill>
    <fill>
      <patternFill patternType="solid">
        <fgColor indexed="6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xf numFmtId="0" fontId="1" fillId="0" borderId="0"/>
    <xf numFmtId="9" fontId="1" fillId="0" borderId="0" applyFont="0" applyFill="0" applyBorder="0" applyAlignment="0" applyProtection="0"/>
    <xf numFmtId="9" fontId="30" fillId="0" borderId="0" applyFont="0" applyFill="0" applyBorder="0" applyAlignment="0" applyProtection="0"/>
    <xf numFmtId="43" fontId="58" fillId="0" borderId="0" applyFont="0" applyFill="0" applyBorder="0" applyAlignment="0" applyProtection="0"/>
    <xf numFmtId="44" fontId="58" fillId="0" borderId="0" applyFont="0" applyFill="0" applyBorder="0" applyAlignment="0" applyProtection="0"/>
    <xf numFmtId="0" fontId="74" fillId="0" borderId="0" applyNumberFormat="0" applyFill="0" applyBorder="0" applyAlignment="0" applyProtection="0"/>
  </cellStyleXfs>
  <cellXfs count="519">
    <xf numFmtId="0" fontId="0" fillId="0" borderId="0" xfId="0"/>
    <xf numFmtId="0" fontId="2" fillId="0" borderId="0" xfId="0" applyFont="1"/>
    <xf numFmtId="164" fontId="2" fillId="0" borderId="0" xfId="0" applyNumberFormat="1" applyFont="1"/>
    <xf numFmtId="0" fontId="3" fillId="0" borderId="0" xfId="0" applyFont="1"/>
    <xf numFmtId="10" fontId="0" fillId="0" borderId="0" xfId="0" applyNumberFormat="1"/>
    <xf numFmtId="164" fontId="0" fillId="0" borderId="0" xfId="0" applyNumberFormat="1"/>
    <xf numFmtId="164" fontId="2" fillId="0" borderId="0" xfId="0" applyNumberFormat="1" applyFont="1" applyAlignment="1">
      <alignment vertical="center"/>
    </xf>
    <xf numFmtId="0" fontId="9" fillId="0" borderId="0" xfId="0" applyNumberFormat="1" applyFont="1"/>
    <xf numFmtId="0" fontId="11" fillId="0" borderId="0" xfId="0" applyFont="1"/>
    <xf numFmtId="2" fontId="0" fillId="0" borderId="0" xfId="0" applyNumberFormat="1"/>
    <xf numFmtId="164" fontId="11" fillId="0" borderId="1" xfId="0" applyNumberFormat="1" applyFont="1" applyBorder="1"/>
    <xf numFmtId="0" fontId="11" fillId="0" borderId="6" xfId="0" applyFont="1" applyBorder="1"/>
    <xf numFmtId="0" fontId="11" fillId="0" borderId="0" xfId="0" applyFont="1" applyAlignment="1">
      <alignment vertical="center"/>
    </xf>
    <xf numFmtId="164" fontId="12" fillId="0" borderId="1" xfId="0" applyNumberFormat="1" applyFont="1" applyBorder="1"/>
    <xf numFmtId="0" fontId="12" fillId="0" borderId="0" xfId="0" applyFont="1"/>
    <xf numFmtId="164" fontId="3" fillId="0" borderId="1" xfId="0" applyNumberFormat="1" applyFont="1" applyBorder="1"/>
    <xf numFmtId="164" fontId="2" fillId="0" borderId="1" xfId="0" applyNumberFormat="1" applyFont="1" applyBorder="1" applyAlignment="1">
      <alignment horizontal="right"/>
    </xf>
    <xf numFmtId="164" fontId="2" fillId="0" borderId="1" xfId="0" applyNumberFormat="1" applyFont="1" applyBorder="1" applyAlignment="1">
      <alignment horizontal="right" vertical="center"/>
    </xf>
    <xf numFmtId="0" fontId="11" fillId="0" borderId="0" xfId="0" applyFont="1" applyAlignment="1">
      <alignment horizontal="center" vertical="center"/>
    </xf>
    <xf numFmtId="2" fontId="27" fillId="0" borderId="0" xfId="1" applyNumberFormat="1" applyFont="1"/>
    <xf numFmtId="0" fontId="1" fillId="0" borderId="0" xfId="1"/>
    <xf numFmtId="0" fontId="2" fillId="0" borderId="0" xfId="1" applyFont="1"/>
    <xf numFmtId="0" fontId="2" fillId="0" borderId="0" xfId="1" applyFont="1" applyAlignment="1">
      <alignment horizontal="center"/>
    </xf>
    <xf numFmtId="4" fontId="2" fillId="0" borderId="0" xfId="1" applyNumberFormat="1" applyFont="1" applyAlignment="1">
      <alignment horizontal="center"/>
    </xf>
    <xf numFmtId="9" fontId="2" fillId="0" borderId="0" xfId="1" applyNumberFormat="1" applyFont="1" applyAlignment="1">
      <alignment horizontal="center"/>
    </xf>
    <xf numFmtId="8" fontId="2" fillId="0" borderId="0" xfId="1" applyNumberFormat="1" applyFont="1"/>
    <xf numFmtId="9" fontId="3" fillId="0" borderId="0" xfId="2" applyFont="1" applyAlignment="1">
      <alignment horizontal="center"/>
    </xf>
    <xf numFmtId="0" fontId="1" fillId="0" borderId="0" xfId="1" applyAlignment="1">
      <alignment vertical="center"/>
    </xf>
    <xf numFmtId="8" fontId="1" fillId="0" borderId="0" xfId="1" applyNumberFormat="1"/>
    <xf numFmtId="0" fontId="1" fillId="0" borderId="0" xfId="1" applyAlignment="1">
      <alignment horizontal="center" vertical="center"/>
    </xf>
    <xf numFmtId="0" fontId="2" fillId="5" borderId="0" xfId="1" applyFont="1" applyFill="1" applyAlignment="1">
      <alignment horizontal="center"/>
    </xf>
    <xf numFmtId="4" fontId="2" fillId="5" borderId="0" xfId="1" applyNumberFormat="1" applyFont="1" applyFill="1" applyAlignment="1">
      <alignment horizontal="center"/>
    </xf>
    <xf numFmtId="0" fontId="11" fillId="0" borderId="0" xfId="1" applyFont="1" applyAlignment="1">
      <alignment vertical="center"/>
    </xf>
    <xf numFmtId="0" fontId="10" fillId="0" borderId="0" xfId="1" applyFont="1" applyAlignment="1">
      <alignment wrapText="1"/>
    </xf>
    <xf numFmtId="0" fontId="10" fillId="0" borderId="0" xfId="1" applyFont="1" applyAlignment="1"/>
    <xf numFmtId="0" fontId="1" fillId="0" borderId="1" xfId="1" applyBorder="1"/>
    <xf numFmtId="8" fontId="2" fillId="0" borderId="1" xfId="1" applyNumberFormat="1" applyFont="1" applyBorder="1"/>
    <xf numFmtId="8" fontId="1" fillId="0" borderId="1" xfId="1" applyNumberFormat="1" applyBorder="1" applyAlignment="1">
      <alignment vertical="center"/>
    </xf>
    <xf numFmtId="8" fontId="1" fillId="0" borderId="1" xfId="1" applyNumberFormat="1" applyBorder="1" applyAlignment="1">
      <alignment horizontal="center" vertical="center"/>
    </xf>
    <xf numFmtId="0" fontId="3" fillId="0" borderId="1" xfId="1" applyFont="1" applyBorder="1" applyAlignment="1">
      <alignment vertical="center" wrapText="1"/>
    </xf>
    <xf numFmtId="8" fontId="2" fillId="0" borderId="1" xfId="1" applyNumberFormat="1" applyFont="1" applyBorder="1" applyAlignment="1">
      <alignment vertical="center"/>
    </xf>
    <xf numFmtId="8" fontId="1" fillId="0" borderId="1" xfId="1" applyNumberFormat="1" applyBorder="1"/>
    <xf numFmtId="8" fontId="2" fillId="0" borderId="1" xfId="1" applyNumberFormat="1" applyFont="1" applyBorder="1" applyAlignment="1">
      <alignment horizontal="right" vertical="center"/>
    </xf>
    <xf numFmtId="8" fontId="14" fillId="0" borderId="1" xfId="1" applyNumberFormat="1" applyFont="1" applyBorder="1"/>
    <xf numFmtId="0" fontId="2" fillId="0" borderId="1" xfId="1" applyFont="1" applyBorder="1" applyAlignment="1">
      <alignment horizontal="center" vertical="center"/>
    </xf>
    <xf numFmtId="0" fontId="2" fillId="0" borderId="1" xfId="1" applyFont="1" applyBorder="1" applyAlignment="1">
      <alignment horizontal="center"/>
    </xf>
    <xf numFmtId="0" fontId="2" fillId="5" borderId="0" xfId="1" applyFont="1" applyFill="1"/>
    <xf numFmtId="0" fontId="15" fillId="0" borderId="0" xfId="1" applyFont="1" applyAlignment="1">
      <alignment horizontal="center"/>
    </xf>
    <xf numFmtId="0" fontId="18" fillId="0" borderId="0" xfId="1" applyFont="1"/>
    <xf numFmtId="0" fontId="1" fillId="0" borderId="1" xfId="1" applyBorder="1" applyAlignment="1">
      <alignment horizontal="right"/>
    </xf>
    <xf numFmtId="0" fontId="21" fillId="0" borderId="0" xfId="1" applyFont="1" applyAlignment="1">
      <alignment horizontal="center"/>
    </xf>
    <xf numFmtId="0" fontId="22" fillId="0" borderId="0" xfId="1" applyFont="1"/>
    <xf numFmtId="9" fontId="8" fillId="0" borderId="0" xfId="1" applyNumberFormat="1" applyFont="1" applyAlignment="1">
      <alignment horizontal="center"/>
    </xf>
    <xf numFmtId="10" fontId="23" fillId="0" borderId="0" xfId="1" applyNumberFormat="1" applyFont="1" applyAlignment="1">
      <alignment horizontal="center"/>
    </xf>
    <xf numFmtId="0" fontId="16" fillId="0" borderId="0" xfId="1" applyFont="1"/>
    <xf numFmtId="10" fontId="24" fillId="0" borderId="0" xfId="1" applyNumberFormat="1" applyFont="1"/>
    <xf numFmtId="0" fontId="14" fillId="6" borderId="0" xfId="1" applyFont="1" applyFill="1" applyAlignment="1">
      <alignment horizontal="center" wrapText="1"/>
    </xf>
    <xf numFmtId="0" fontId="16" fillId="6" borderId="0" xfId="1" applyFont="1" applyFill="1"/>
    <xf numFmtId="10" fontId="17" fillId="6" borderId="0" xfId="1" applyNumberFormat="1" applyFont="1" applyFill="1"/>
    <xf numFmtId="0" fontId="14" fillId="6" borderId="0" xfId="1" applyFont="1" applyFill="1"/>
    <xf numFmtId="0" fontId="19" fillId="4" borderId="0" xfId="1" applyFont="1" applyFill="1" applyAlignment="1">
      <alignment wrapText="1"/>
    </xf>
    <xf numFmtId="10" fontId="20" fillId="4" borderId="0" xfId="1" applyNumberFormat="1" applyFont="1" applyFill="1"/>
    <xf numFmtId="0" fontId="1" fillId="4" borderId="0" xfId="1" applyFill="1"/>
    <xf numFmtId="0" fontId="2" fillId="0" borderId="2" xfId="1" applyFont="1" applyBorder="1"/>
    <xf numFmtId="0" fontId="1" fillId="0" borderId="6" xfId="1" applyBorder="1"/>
    <xf numFmtId="0" fontId="1" fillId="6" borderId="6" xfId="1" applyFill="1" applyBorder="1"/>
    <xf numFmtId="0" fontId="2" fillId="0" borderId="6" xfId="1" applyFont="1" applyBorder="1"/>
    <xf numFmtId="0" fontId="1" fillId="0" borderId="7" xfId="1" applyBorder="1"/>
    <xf numFmtId="0" fontId="25" fillId="0" borderId="0" xfId="1" applyFont="1"/>
    <xf numFmtId="10" fontId="26" fillId="4" borderId="0" xfId="1" applyNumberFormat="1" applyFont="1" applyFill="1"/>
    <xf numFmtId="0" fontId="27" fillId="0" borderId="0" xfId="1" applyFont="1"/>
    <xf numFmtId="0" fontId="28" fillId="0" borderId="0" xfId="1" applyFont="1"/>
    <xf numFmtId="0" fontId="2" fillId="0" borderId="0" xfId="1" applyFont="1" applyBorder="1"/>
    <xf numFmtId="8" fontId="2" fillId="0" borderId="0" xfId="1" applyNumberFormat="1" applyFont="1" applyBorder="1"/>
    <xf numFmtId="0" fontId="29" fillId="0" borderId="0" xfId="1" applyFont="1" applyBorder="1"/>
    <xf numFmtId="0" fontId="14" fillId="2" borderId="0" xfId="0" applyFont="1" applyFill="1"/>
    <xf numFmtId="2" fontId="14" fillId="2" borderId="0" xfId="0" applyNumberFormat="1" applyFont="1" applyFill="1"/>
    <xf numFmtId="0" fontId="14" fillId="0" borderId="0" xfId="0" applyFont="1"/>
    <xf numFmtId="0" fontId="14" fillId="0" borderId="0" xfId="0" applyFont="1" applyAlignment="1">
      <alignment horizontal="center"/>
    </xf>
    <xf numFmtId="166" fontId="31" fillId="0" borderId="0" xfId="1" applyNumberFormat="1" applyFont="1"/>
    <xf numFmtId="4" fontId="32" fillId="0" borderId="0" xfId="1" applyNumberFormat="1" applyFont="1"/>
    <xf numFmtId="166" fontId="32" fillId="0" borderId="0" xfId="1" applyNumberFormat="1" applyFont="1"/>
    <xf numFmtId="2" fontId="32" fillId="0" borderId="0" xfId="1" applyNumberFormat="1" applyFont="1"/>
    <xf numFmtId="166" fontId="31" fillId="0" borderId="0" xfId="1" applyNumberFormat="1" applyFont="1" applyAlignment="1">
      <alignment horizontal="center"/>
    </xf>
    <xf numFmtId="166" fontId="33" fillId="0" borderId="0" xfId="1" applyNumberFormat="1" applyFont="1"/>
    <xf numFmtId="4" fontId="34" fillId="0" borderId="0" xfId="1" applyNumberFormat="1" applyFont="1"/>
    <xf numFmtId="165" fontId="35" fillId="7" borderId="0" xfId="3" applyNumberFormat="1" applyFont="1" applyFill="1"/>
    <xf numFmtId="167" fontId="34" fillId="0" borderId="0" xfId="1" applyNumberFormat="1" applyFont="1"/>
    <xf numFmtId="168" fontId="34" fillId="0" borderId="0" xfId="1" applyNumberFormat="1" applyFont="1"/>
    <xf numFmtId="10" fontId="34" fillId="0" borderId="0" xfId="1" applyNumberFormat="1" applyFont="1"/>
    <xf numFmtId="166" fontId="34" fillId="0" borderId="0" xfId="1" applyNumberFormat="1" applyFont="1"/>
    <xf numFmtId="166" fontId="35" fillId="0" borderId="0" xfId="1" applyNumberFormat="1" applyFont="1"/>
    <xf numFmtId="4" fontId="36" fillId="0" borderId="0" xfId="1" applyNumberFormat="1" applyFont="1"/>
    <xf numFmtId="166" fontId="36" fillId="0" borderId="0" xfId="1" applyNumberFormat="1" applyFont="1"/>
    <xf numFmtId="168" fontId="36" fillId="0" borderId="0" xfId="1" applyNumberFormat="1" applyFont="1"/>
    <xf numFmtId="168" fontId="35" fillId="0" borderId="0" xfId="1" applyNumberFormat="1" applyFont="1"/>
    <xf numFmtId="2" fontId="37" fillId="0" borderId="0" xfId="1" applyNumberFormat="1" applyFont="1"/>
    <xf numFmtId="10" fontId="35" fillId="0" borderId="0" xfId="1" applyNumberFormat="1" applyFont="1" applyAlignment="1">
      <alignment horizontal="center"/>
    </xf>
    <xf numFmtId="2" fontId="34" fillId="0" borderId="0" xfId="1" applyNumberFormat="1" applyFont="1"/>
    <xf numFmtId="166" fontId="33" fillId="0" borderId="0" xfId="1" applyNumberFormat="1" applyFont="1" applyAlignment="1">
      <alignment horizontal="center"/>
    </xf>
    <xf numFmtId="10" fontId="38" fillId="0" borderId="0" xfId="3" applyNumberFormat="1" applyFont="1" applyAlignment="1">
      <alignment horizontal="center"/>
    </xf>
    <xf numFmtId="0" fontId="40" fillId="8" borderId="3" xfId="0" applyFont="1" applyFill="1" applyBorder="1" applyAlignment="1">
      <alignment horizontal="center" vertical="center" wrapText="1"/>
    </xf>
    <xf numFmtId="0" fontId="40" fillId="8" borderId="4" xfId="0" applyFont="1" applyFill="1" applyBorder="1" applyAlignment="1">
      <alignment horizontal="center" vertical="center" wrapText="1"/>
    </xf>
    <xf numFmtId="0" fontId="44" fillId="0" borderId="0" xfId="0" applyFont="1"/>
    <xf numFmtId="0" fontId="42" fillId="0" borderId="0" xfId="0" applyFont="1" applyBorder="1" applyAlignment="1">
      <alignment vertical="center" wrapText="1"/>
    </xf>
    <xf numFmtId="164" fontId="10" fillId="0" borderId="4" xfId="0" applyNumberFormat="1" applyFont="1" applyBorder="1" applyAlignment="1">
      <alignment vertical="center" wrapText="1"/>
    </xf>
    <xf numFmtId="4" fontId="9" fillId="0" borderId="0" xfId="0" applyNumberFormat="1" applyFont="1" applyAlignment="1">
      <alignment horizontal="center" vertical="center"/>
    </xf>
    <xf numFmtId="0" fontId="44" fillId="0" borderId="0" xfId="0" applyFont="1" applyAlignment="1">
      <alignment vertical="center" wrapText="1"/>
    </xf>
    <xf numFmtId="0" fontId="45" fillId="0" borderId="0" xfId="0" applyFont="1" applyAlignment="1">
      <alignment vertical="center" wrapText="1"/>
    </xf>
    <xf numFmtId="0" fontId="40" fillId="9" borderId="3" xfId="0" applyFont="1" applyFill="1" applyBorder="1" applyAlignment="1">
      <alignment horizontal="right" vertical="center" wrapText="1"/>
    </xf>
    <xf numFmtId="164" fontId="10" fillId="9" borderId="3" xfId="0" applyNumberFormat="1" applyFont="1" applyFill="1" applyBorder="1" applyAlignment="1">
      <alignment vertical="center" wrapText="1"/>
    </xf>
    <xf numFmtId="0" fontId="41" fillId="0" borderId="0" xfId="0" applyFont="1" applyAlignment="1">
      <alignment horizontal="right" vertical="center" wrapText="1"/>
    </xf>
    <xf numFmtId="9" fontId="41" fillId="0" borderId="0" xfId="0" applyNumberFormat="1" applyFont="1" applyAlignment="1">
      <alignment horizontal="right" vertical="center" wrapText="1"/>
    </xf>
    <xf numFmtId="164" fontId="10" fillId="0" borderId="0" xfId="0" applyNumberFormat="1" applyFont="1" applyAlignment="1">
      <alignment vertical="center" wrapText="1"/>
    </xf>
    <xf numFmtId="0" fontId="40" fillId="10" borderId="3" xfId="0" applyFont="1" applyFill="1" applyBorder="1" applyAlignment="1">
      <alignment horizontal="right" vertical="center" wrapText="1"/>
    </xf>
    <xf numFmtId="164" fontId="47" fillId="10" borderId="3" xfId="0" applyNumberFormat="1" applyFont="1" applyFill="1" applyBorder="1" applyAlignment="1">
      <alignment wrapText="1"/>
    </xf>
    <xf numFmtId="164" fontId="43" fillId="10" borderId="3" xfId="0" applyNumberFormat="1" applyFont="1" applyFill="1" applyBorder="1" applyAlignment="1">
      <alignment wrapText="1"/>
    </xf>
    <xf numFmtId="0" fontId="11" fillId="0" borderId="0" xfId="0" applyFont="1" applyBorder="1"/>
    <xf numFmtId="0" fontId="0" fillId="3" borderId="0" xfId="0" applyFill="1"/>
    <xf numFmtId="164" fontId="48" fillId="0" borderId="4" xfId="0" applyNumberFormat="1" applyFont="1" applyBorder="1" applyAlignment="1">
      <alignment vertical="center" wrapText="1"/>
    </xf>
    <xf numFmtId="164" fontId="48" fillId="9" borderId="3" xfId="0" applyNumberFormat="1" applyFont="1" applyFill="1" applyBorder="1" applyAlignment="1">
      <alignment vertical="center" wrapText="1"/>
    </xf>
    <xf numFmtId="164" fontId="48" fillId="0" borderId="0" xfId="0" applyNumberFormat="1" applyFont="1" applyAlignment="1">
      <alignment vertical="center" wrapText="1"/>
    </xf>
    <xf numFmtId="0" fontId="11" fillId="0" borderId="1" xfId="0" applyFont="1" applyBorder="1"/>
    <xf numFmtId="0" fontId="12" fillId="0" borderId="1" xfId="0" applyFont="1" applyBorder="1"/>
    <xf numFmtId="0" fontId="11" fillId="0" borderId="13" xfId="0" applyFont="1" applyBorder="1"/>
    <xf numFmtId="0" fontId="3" fillId="0" borderId="7" xfId="0" applyFont="1" applyBorder="1"/>
    <xf numFmtId="164" fontId="11" fillId="0" borderId="0" xfId="0" applyNumberFormat="1" applyFont="1"/>
    <xf numFmtId="164" fontId="13" fillId="0" borderId="0" xfId="0" applyNumberFormat="1" applyFont="1"/>
    <xf numFmtId="0" fontId="9" fillId="4" borderId="0" xfId="0" applyNumberFormat="1" applyFont="1" applyFill="1"/>
    <xf numFmtId="0" fontId="0" fillId="4" borderId="0" xfId="0" applyFill="1"/>
    <xf numFmtId="0" fontId="11" fillId="4" borderId="0" xfId="0" applyFont="1" applyFill="1"/>
    <xf numFmtId="0" fontId="3" fillId="4" borderId="0" xfId="0" applyFont="1" applyFill="1"/>
    <xf numFmtId="0" fontId="13" fillId="4" borderId="0" xfId="0" applyFont="1" applyFill="1"/>
    <xf numFmtId="164" fontId="0" fillId="4" borderId="0" xfId="0" applyNumberFormat="1" applyFill="1" applyAlignment="1">
      <alignment vertical="center"/>
    </xf>
    <xf numFmtId="0" fontId="12" fillId="4" borderId="0" xfId="0" applyFont="1" applyFill="1"/>
    <xf numFmtId="164" fontId="10" fillId="0" borderId="8" xfId="0" applyNumberFormat="1" applyFont="1" applyBorder="1"/>
    <xf numFmtId="164" fontId="43" fillId="0" borderId="4" xfId="0" applyNumberFormat="1" applyFont="1" applyBorder="1"/>
    <xf numFmtId="164" fontId="12" fillId="3" borderId="1" xfId="0" applyNumberFormat="1" applyFont="1" applyFill="1" applyBorder="1" applyAlignment="1">
      <alignment horizontal="right" vertical="center"/>
    </xf>
    <xf numFmtId="0" fontId="49" fillId="8" borderId="4"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46" fillId="11" borderId="1" xfId="0" applyNumberFormat="1" applyFont="1" applyFill="1" applyBorder="1" applyAlignment="1">
      <alignment horizontal="center" vertical="top" wrapText="1"/>
    </xf>
    <xf numFmtId="4" fontId="46" fillId="0" borderId="1" xfId="0" applyNumberFormat="1" applyFont="1" applyBorder="1" applyAlignment="1">
      <alignment horizontal="center" vertical="center"/>
    </xf>
    <xf numFmtId="0" fontId="50" fillId="0" borderId="4" xfId="0" applyFont="1" applyBorder="1" applyAlignment="1">
      <alignment vertical="center" wrapText="1"/>
    </xf>
    <xf numFmtId="0" fontId="49" fillId="0" borderId="1" xfId="0" applyFont="1" applyBorder="1" applyAlignment="1">
      <alignment horizontal="center" vertical="center"/>
    </xf>
    <xf numFmtId="0" fontId="6" fillId="0" borderId="1" xfId="0" applyFont="1" applyBorder="1" applyAlignment="1">
      <alignment horizontal="center" vertical="center" wrapText="1"/>
    </xf>
    <xf numFmtId="0" fontId="52" fillId="0" borderId="0" xfId="0" applyFont="1"/>
    <xf numFmtId="0" fontId="52" fillId="0" borderId="0" xfId="0" applyFont="1" applyAlignment="1">
      <alignment wrapText="1"/>
    </xf>
    <xf numFmtId="0" fontId="52" fillId="0" borderId="0" xfId="0" applyFont="1" applyAlignment="1" applyProtection="1">
      <alignment wrapText="1"/>
      <protection locked="0"/>
    </xf>
    <xf numFmtId="0" fontId="52" fillId="0" borderId="0" xfId="0" applyFont="1" applyProtection="1">
      <protection locked="0"/>
    </xf>
    <xf numFmtId="0" fontId="52" fillId="0" borderId="0" xfId="0" applyFont="1" applyAlignment="1">
      <alignment vertical="top" wrapText="1"/>
    </xf>
    <xf numFmtId="0" fontId="52" fillId="0" borderId="0" xfId="0" applyFont="1" applyAlignment="1" applyProtection="1">
      <alignment vertical="top" wrapText="1"/>
      <protection locked="0"/>
    </xf>
    <xf numFmtId="0" fontId="53" fillId="12" borderId="12" xfId="0" applyFont="1" applyFill="1" applyBorder="1" applyAlignment="1">
      <alignment horizontal="center" vertical="center" wrapText="1"/>
    </xf>
    <xf numFmtId="0" fontId="53" fillId="12" borderId="10" xfId="0" applyFont="1" applyFill="1" applyBorder="1" applyAlignment="1">
      <alignment horizontal="center" vertical="center" wrapText="1"/>
    </xf>
    <xf numFmtId="0" fontId="53" fillId="12" borderId="5" xfId="0" applyFont="1" applyFill="1" applyBorder="1" applyAlignment="1">
      <alignment horizontal="center" vertical="center" wrapText="1"/>
    </xf>
    <xf numFmtId="164" fontId="53" fillId="12" borderId="10" xfId="0" applyNumberFormat="1" applyFont="1" applyFill="1" applyBorder="1" applyAlignment="1" applyProtection="1">
      <alignment horizontal="center" vertical="center" wrapText="1"/>
      <protection locked="0"/>
    </xf>
    <xf numFmtId="164" fontId="53" fillId="12" borderId="12" xfId="0" applyNumberFormat="1" applyFont="1" applyFill="1" applyBorder="1" applyAlignment="1" applyProtection="1">
      <alignment horizontal="center" vertical="center" wrapText="1"/>
      <protection locked="0"/>
    </xf>
    <xf numFmtId="0" fontId="53" fillId="12" borderId="10" xfId="0" applyFont="1" applyFill="1" applyBorder="1" applyAlignment="1" applyProtection="1">
      <alignment horizontal="center" vertical="center" wrapText="1"/>
      <protection locked="0"/>
    </xf>
    <xf numFmtId="0" fontId="52" fillId="0" borderId="0" xfId="0" applyFont="1" applyAlignment="1" applyProtection="1">
      <alignment vertical="center"/>
      <protection locked="0"/>
    </xf>
    <xf numFmtId="0" fontId="54" fillId="0" borderId="1" xfId="0" applyFont="1" applyFill="1" applyBorder="1" applyAlignment="1">
      <alignment horizontal="left" vertical="center"/>
    </xf>
    <xf numFmtId="0" fontId="5" fillId="0" borderId="1" xfId="0" applyFont="1" applyFill="1" applyBorder="1" applyAlignment="1">
      <alignment horizontal="center" vertical="center" wrapText="1"/>
    </xf>
    <xf numFmtId="8" fontId="54" fillId="0" borderId="1" xfId="0" applyNumberFormat="1" applyFont="1" applyFill="1" applyBorder="1" applyAlignment="1">
      <alignment horizontal="center" vertical="top" wrapText="1"/>
    </xf>
    <xf numFmtId="169" fontId="52" fillId="13" borderId="2" xfId="0" applyNumberFormat="1" applyFont="1" applyFill="1" applyBorder="1" applyAlignment="1" applyProtection="1">
      <alignment vertical="top" wrapText="1"/>
      <protection locked="0"/>
    </xf>
    <xf numFmtId="169" fontId="52" fillId="13" borderId="1" xfId="0" applyNumberFormat="1" applyFont="1" applyFill="1" applyBorder="1" applyAlignment="1" applyProtection="1">
      <alignment vertical="top" wrapText="1"/>
      <protection locked="0"/>
    </xf>
    <xf numFmtId="0" fontId="52" fillId="13" borderId="7" xfId="0" applyFont="1" applyFill="1" applyBorder="1" applyProtection="1">
      <protection locked="0"/>
    </xf>
    <xf numFmtId="0" fontId="54" fillId="0" borderId="1" xfId="0" applyFont="1" applyFill="1" applyBorder="1" applyAlignment="1">
      <alignment vertical="top"/>
    </xf>
    <xf numFmtId="0" fontId="54" fillId="0" borderId="0" xfId="0" applyFont="1" applyAlignment="1">
      <alignment vertical="top" wrapText="1"/>
    </xf>
    <xf numFmtId="0" fontId="54" fillId="0" borderId="0" xfId="0" applyFont="1" applyAlignment="1">
      <alignment horizontal="center" vertical="top" wrapText="1"/>
    </xf>
    <xf numFmtId="8" fontId="55" fillId="0" borderId="10" xfId="0" applyNumberFormat="1" applyFont="1" applyBorder="1" applyAlignment="1">
      <alignment horizontal="center" vertical="top" wrapText="1"/>
    </xf>
    <xf numFmtId="169" fontId="53" fillId="0" borderId="0" xfId="0" applyNumberFormat="1" applyFont="1" applyProtection="1">
      <protection locked="0"/>
    </xf>
    <xf numFmtId="8" fontId="53" fillId="0" borderId="0" xfId="0" applyNumberFormat="1" applyFont="1" applyProtection="1">
      <protection locked="0"/>
    </xf>
    <xf numFmtId="8" fontId="8" fillId="0" borderId="16" xfId="0" applyNumberFormat="1" applyFont="1" applyBorder="1" applyAlignment="1">
      <alignment wrapText="1"/>
    </xf>
    <xf numFmtId="8" fontId="53" fillId="13" borderId="19" xfId="0" applyNumberFormat="1" applyFont="1" applyFill="1" applyBorder="1" applyAlignment="1" applyProtection="1">
      <alignment wrapText="1"/>
      <protection locked="0"/>
    </xf>
    <xf numFmtId="8" fontId="53" fillId="13" borderId="20" xfId="0" applyNumberFormat="1" applyFont="1" applyFill="1" applyBorder="1" applyAlignment="1" applyProtection="1">
      <alignment wrapText="1"/>
      <protection locked="0"/>
    </xf>
    <xf numFmtId="8" fontId="8" fillId="0" borderId="6" xfId="0" applyNumberFormat="1" applyFont="1" applyBorder="1" applyAlignment="1">
      <alignment wrapText="1"/>
    </xf>
    <xf numFmtId="8" fontId="53" fillId="13" borderId="7" xfId="0" applyNumberFormat="1" applyFont="1" applyFill="1" applyBorder="1" applyAlignment="1" applyProtection="1">
      <alignment wrapText="1"/>
      <protection locked="0"/>
    </xf>
    <xf numFmtId="8" fontId="53" fillId="13" borderId="22" xfId="0" applyNumberFormat="1" applyFont="1" applyFill="1" applyBorder="1" applyAlignment="1" applyProtection="1">
      <alignment wrapText="1"/>
      <protection locked="0"/>
    </xf>
    <xf numFmtId="8" fontId="8" fillId="0" borderId="25" xfId="0" applyNumberFormat="1" applyFont="1" applyBorder="1" applyAlignment="1">
      <alignment wrapText="1"/>
    </xf>
    <xf numFmtId="8" fontId="53" fillId="13" borderId="28" xfId="0" applyNumberFormat="1" applyFont="1" applyFill="1" applyBorder="1" applyAlignment="1" applyProtection="1">
      <alignment wrapText="1"/>
      <protection locked="0"/>
    </xf>
    <xf numFmtId="8" fontId="53" fillId="13" borderId="26" xfId="0" applyNumberFormat="1" applyFont="1" applyFill="1" applyBorder="1" applyAlignment="1" applyProtection="1">
      <alignment wrapText="1"/>
      <protection locked="0"/>
    </xf>
    <xf numFmtId="0" fontId="55" fillId="0" borderId="0" xfId="0" applyFont="1" applyAlignment="1">
      <alignment horizontal="center" vertical="center" wrapText="1"/>
    </xf>
    <xf numFmtId="8" fontId="53" fillId="0" borderId="0" xfId="0" applyNumberFormat="1" applyFont="1" applyAlignment="1">
      <alignment wrapText="1"/>
    </xf>
    <xf numFmtId="8" fontId="53" fillId="0" borderId="0" xfId="0" applyNumberFormat="1" applyFont="1" applyAlignment="1" applyProtection="1">
      <alignment wrapText="1"/>
      <protection locked="0"/>
    </xf>
    <xf numFmtId="0" fontId="55" fillId="12" borderId="15" xfId="0" applyFont="1" applyFill="1" applyBorder="1" applyAlignment="1">
      <alignment vertical="center" wrapText="1"/>
    </xf>
    <xf numFmtId="0" fontId="55" fillId="12" borderId="17" xfId="0" applyFont="1" applyFill="1" applyBorder="1" applyAlignment="1">
      <alignment vertical="center" wrapText="1"/>
    </xf>
    <xf numFmtId="0" fontId="55" fillId="12" borderId="21" xfId="0" applyFont="1" applyFill="1" applyBorder="1" applyAlignment="1">
      <alignment vertical="center" wrapText="1"/>
    </xf>
    <xf numFmtId="0" fontId="55" fillId="12" borderId="22" xfId="0" applyFont="1" applyFill="1" applyBorder="1" applyAlignment="1">
      <alignment vertical="center" wrapText="1"/>
    </xf>
    <xf numFmtId="0" fontId="55" fillId="12" borderId="24" xfId="0" applyFont="1" applyFill="1" applyBorder="1" applyAlignment="1">
      <alignment vertical="center" wrapText="1"/>
    </xf>
    <xf numFmtId="0" fontId="55" fillId="12" borderId="26" xfId="0" applyFont="1" applyFill="1" applyBorder="1" applyAlignment="1">
      <alignment vertical="center" wrapText="1"/>
    </xf>
    <xf numFmtId="8" fontId="8" fillId="0" borderId="0" xfId="0" applyNumberFormat="1" applyFont="1" applyBorder="1" applyAlignment="1">
      <alignment horizontal="center" vertical="top" wrapText="1"/>
    </xf>
    <xf numFmtId="8" fontId="55" fillId="0" borderId="0" xfId="0" applyNumberFormat="1" applyFont="1" applyBorder="1" applyAlignment="1">
      <alignment horizontal="center" vertical="top" wrapText="1"/>
    </xf>
    <xf numFmtId="0" fontId="54" fillId="0" borderId="0" xfId="0" applyFont="1" applyFill="1" applyBorder="1" applyAlignment="1">
      <alignment vertical="top"/>
    </xf>
    <xf numFmtId="0" fontId="5" fillId="0" borderId="0" xfId="0" applyFont="1" applyFill="1" applyBorder="1" applyAlignment="1">
      <alignment horizontal="center" vertical="center" wrapText="1"/>
    </xf>
    <xf numFmtId="0" fontId="54" fillId="0" borderId="0" xfId="0" applyFont="1" applyFill="1" applyBorder="1" applyAlignment="1">
      <alignment horizontal="center" vertical="top" wrapText="1"/>
    </xf>
    <xf numFmtId="8" fontId="54" fillId="0" borderId="0" xfId="0" applyNumberFormat="1" applyFont="1" applyFill="1" applyBorder="1" applyAlignment="1">
      <alignment horizontal="center" vertical="top" wrapText="1"/>
    </xf>
    <xf numFmtId="9" fontId="54" fillId="0" borderId="0" xfId="0" applyNumberFormat="1" applyFont="1" applyAlignment="1">
      <alignment horizontal="center" vertical="top" wrapText="1"/>
    </xf>
    <xf numFmtId="8" fontId="54" fillId="0" borderId="14" xfId="0" applyNumberFormat="1" applyFont="1" applyFill="1" applyBorder="1" applyAlignment="1">
      <alignment horizontal="center" vertical="center" wrapText="1"/>
    </xf>
    <xf numFmtId="8" fontId="54" fillId="0" borderId="0" xfId="0" applyNumberFormat="1" applyFont="1" applyFill="1" applyBorder="1" applyAlignment="1">
      <alignment horizontal="center" vertical="center" wrapText="1"/>
    </xf>
    <xf numFmtId="8" fontId="55" fillId="0" borderId="10" xfId="0" applyNumberFormat="1" applyFont="1" applyBorder="1" applyAlignment="1">
      <alignment horizontal="center" vertical="center" wrapText="1"/>
    </xf>
    <xf numFmtId="8" fontId="55" fillId="0" borderId="0" xfId="0" applyNumberFormat="1" applyFont="1" applyBorder="1" applyAlignment="1">
      <alignment horizontal="center" vertical="center" wrapText="1"/>
    </xf>
    <xf numFmtId="8" fontId="54" fillId="0" borderId="0" xfId="0" applyNumberFormat="1" applyFont="1" applyBorder="1" applyAlignment="1">
      <alignment horizontal="center" vertical="center" wrapText="1"/>
    </xf>
    <xf numFmtId="0" fontId="52" fillId="0" borderId="0" xfId="0" applyFont="1" applyAlignment="1" applyProtection="1">
      <alignment horizontal="center" vertical="center"/>
      <protection locked="0"/>
    </xf>
    <xf numFmtId="0" fontId="52" fillId="0" borderId="0" xfId="0" applyFont="1" applyAlignment="1">
      <alignment horizontal="center" vertical="center" wrapText="1"/>
    </xf>
    <xf numFmtId="8" fontId="52" fillId="0" borderId="0" xfId="0" applyNumberFormat="1" applyFont="1" applyAlignment="1">
      <alignment horizontal="center" vertical="center" wrapText="1"/>
    </xf>
    <xf numFmtId="8" fontId="53" fillId="0" borderId="0" xfId="0" applyNumberFormat="1" applyFont="1" applyAlignment="1">
      <alignment horizontal="center" vertical="center"/>
    </xf>
    <xf numFmtId="8" fontId="53" fillId="0" borderId="18" xfId="0" applyNumberFormat="1" applyFont="1" applyBorder="1" applyAlignment="1">
      <alignment horizontal="center" vertical="center" wrapText="1"/>
    </xf>
    <xf numFmtId="8" fontId="53" fillId="0" borderId="23" xfId="0" applyNumberFormat="1" applyFont="1" applyBorder="1" applyAlignment="1">
      <alignment horizontal="center" vertical="center" wrapText="1"/>
    </xf>
    <xf numFmtId="8" fontId="53" fillId="0" borderId="27" xfId="0" applyNumberFormat="1" applyFont="1" applyBorder="1" applyAlignment="1">
      <alignment horizontal="center" vertical="center" wrapText="1"/>
    </xf>
    <xf numFmtId="0" fontId="51" fillId="0" borderId="1" xfId="0" applyFont="1" applyFill="1" applyBorder="1" applyAlignment="1">
      <alignment horizontal="center" vertical="top" wrapText="1"/>
    </xf>
    <xf numFmtId="0" fontId="46" fillId="11" borderId="6" xfId="0" applyNumberFormat="1" applyFont="1" applyFill="1" applyBorder="1" applyAlignment="1"/>
    <xf numFmtId="0" fontId="46" fillId="11" borderId="7" xfId="0" applyNumberFormat="1" applyFont="1" applyFill="1" applyBorder="1" applyAlignment="1"/>
    <xf numFmtId="4" fontId="46" fillId="0" borderId="0" xfId="0" applyNumberFormat="1" applyFont="1" applyBorder="1" applyAlignment="1">
      <alignment horizontal="center" vertical="center"/>
    </xf>
    <xf numFmtId="8" fontId="44" fillId="0" borderId="4" xfId="0" applyNumberFormat="1" applyFont="1" applyBorder="1" applyAlignment="1">
      <alignment vertical="center" wrapText="1"/>
    </xf>
    <xf numFmtId="0" fontId="54" fillId="0" borderId="0" xfId="0" applyFont="1" applyAlignment="1">
      <alignment horizontal="center" vertical="center" wrapText="1"/>
    </xf>
    <xf numFmtId="10" fontId="54" fillId="0" borderId="0" xfId="0" applyNumberFormat="1" applyFont="1" applyAlignment="1">
      <alignment horizontal="center" vertical="center" wrapText="1"/>
    </xf>
    <xf numFmtId="0" fontId="40" fillId="0" borderId="0" xfId="0" applyFont="1" applyAlignment="1">
      <alignment horizontal="right" vertical="center" wrapText="1"/>
    </xf>
    <xf numFmtId="8" fontId="52" fillId="0" borderId="0" xfId="0" applyNumberFormat="1" applyFont="1" applyBorder="1" applyAlignment="1">
      <alignment horizontal="center" vertical="center" wrapText="1"/>
    </xf>
    <xf numFmtId="0" fontId="54" fillId="13" borderId="0" xfId="0" applyFont="1" applyFill="1" applyBorder="1" applyAlignment="1">
      <alignment vertical="top"/>
    </xf>
    <xf numFmtId="0" fontId="5" fillId="13" borderId="0" xfId="0" applyFont="1" applyFill="1" applyBorder="1" applyAlignment="1">
      <alignment horizontal="center" vertical="center" wrapText="1"/>
    </xf>
    <xf numFmtId="0" fontId="54" fillId="13" borderId="0" xfId="0" applyFont="1" applyFill="1" applyBorder="1" applyAlignment="1">
      <alignment horizontal="center" vertical="top" wrapText="1"/>
    </xf>
    <xf numFmtId="8" fontId="54" fillId="13" borderId="0" xfId="0" applyNumberFormat="1" applyFont="1" applyFill="1" applyBorder="1" applyAlignment="1">
      <alignment horizontal="center" vertical="top" wrapText="1"/>
    </xf>
    <xf numFmtId="8" fontId="55" fillId="13" borderId="0" xfId="0" applyNumberFormat="1" applyFont="1" applyFill="1" applyBorder="1" applyAlignment="1">
      <alignment horizontal="center" vertical="center" wrapText="1"/>
    </xf>
    <xf numFmtId="0" fontId="52" fillId="13" borderId="0" xfId="0" applyFont="1" applyFill="1" applyAlignment="1">
      <alignment wrapText="1"/>
    </xf>
    <xf numFmtId="0" fontId="52" fillId="13" borderId="0" xfId="0" applyFont="1" applyFill="1" applyAlignment="1">
      <alignment horizontal="center" vertical="center" wrapText="1"/>
    </xf>
    <xf numFmtId="8" fontId="53" fillId="13" borderId="0" xfId="0" applyNumberFormat="1" applyFont="1" applyFill="1" applyAlignment="1">
      <alignment horizontal="center" vertical="center" wrapText="1"/>
    </xf>
    <xf numFmtId="8" fontId="54" fillId="0" borderId="10" xfId="0" applyNumberFormat="1" applyFont="1" applyBorder="1" applyAlignment="1">
      <alignment horizontal="center" vertical="center" wrapText="1"/>
    </xf>
    <xf numFmtId="10" fontId="52" fillId="0" borderId="10" xfId="3" applyNumberFormat="1" applyFont="1" applyBorder="1" applyAlignment="1">
      <alignment horizontal="center" vertical="center" wrapText="1"/>
    </xf>
    <xf numFmtId="10" fontId="52" fillId="0" borderId="9" xfId="3" applyNumberFormat="1" applyFont="1" applyBorder="1" applyAlignment="1">
      <alignment horizontal="center" vertical="center" wrapText="1"/>
    </xf>
    <xf numFmtId="10" fontId="52" fillId="0" borderId="1" xfId="3" applyNumberFormat="1" applyFont="1" applyBorder="1" applyAlignment="1">
      <alignment horizontal="center" vertical="center" wrapText="1"/>
    </xf>
    <xf numFmtId="10" fontId="52" fillId="0" borderId="30" xfId="3" applyNumberFormat="1" applyFont="1" applyBorder="1" applyAlignment="1">
      <alignment horizontal="center" vertical="center" wrapText="1"/>
    </xf>
    <xf numFmtId="10" fontId="52" fillId="13" borderId="0" xfId="3" applyNumberFormat="1" applyFont="1" applyFill="1" applyBorder="1" applyAlignment="1">
      <alignment horizontal="center" vertical="center" wrapText="1"/>
    </xf>
    <xf numFmtId="10" fontId="52" fillId="0" borderId="0" xfId="3" applyNumberFormat="1" applyFont="1" applyBorder="1" applyAlignment="1">
      <alignment horizontal="center" vertical="center" wrapText="1"/>
    </xf>
    <xf numFmtId="8" fontId="52" fillId="0" borderId="0" xfId="0" applyNumberFormat="1" applyFont="1" applyAlignment="1">
      <alignment horizontal="center" vertical="center"/>
    </xf>
    <xf numFmtId="10" fontId="52" fillId="0" borderId="16" xfId="3" applyNumberFormat="1" applyFont="1" applyBorder="1" applyAlignment="1">
      <alignment horizontal="center" vertical="center" wrapText="1"/>
    </xf>
    <xf numFmtId="8" fontId="52" fillId="0" borderId="6" xfId="0" applyNumberFormat="1" applyFont="1" applyBorder="1" applyAlignment="1">
      <alignment horizontal="center" vertical="center" wrapText="1"/>
    </xf>
    <xf numFmtId="8" fontId="52" fillId="0" borderId="25" xfId="0" applyNumberFormat="1"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25" xfId="0" applyFont="1" applyFill="1" applyBorder="1" applyAlignment="1">
      <alignment horizontal="center" vertical="center" wrapText="1"/>
    </xf>
    <xf numFmtId="10" fontId="54" fillId="12" borderId="6" xfId="3" applyNumberFormat="1" applyFont="1" applyFill="1" applyBorder="1" applyAlignment="1">
      <alignment horizontal="center" vertical="center" wrapText="1"/>
    </xf>
    <xf numFmtId="0" fontId="52" fillId="12" borderId="5" xfId="0" applyFont="1" applyFill="1" applyBorder="1" applyAlignment="1">
      <alignment horizontal="center" vertical="center" wrapText="1"/>
    </xf>
    <xf numFmtId="8" fontId="52" fillId="0" borderId="0" xfId="0" applyNumberFormat="1" applyFont="1" applyAlignment="1">
      <alignment wrapText="1"/>
    </xf>
    <xf numFmtId="0" fontId="51" fillId="0" borderId="0" xfId="0" applyFont="1" applyAlignment="1">
      <alignment wrapText="1"/>
    </xf>
    <xf numFmtId="8" fontId="5" fillId="0" borderId="1" xfId="0" applyNumberFormat="1" applyFont="1" applyFill="1" applyBorder="1" applyAlignment="1">
      <alignment horizontal="center" vertical="top" wrapText="1"/>
    </xf>
    <xf numFmtId="8" fontId="54" fillId="0" borderId="1" xfId="0" applyNumberFormat="1" applyFont="1" applyFill="1" applyBorder="1" applyAlignment="1">
      <alignment horizontal="right" vertical="top" wrapText="1"/>
    </xf>
    <xf numFmtId="8" fontId="54" fillId="0" borderId="14" xfId="0" applyNumberFormat="1" applyFont="1" applyFill="1" applyBorder="1" applyAlignment="1">
      <alignment horizontal="right" vertical="center" wrapText="1"/>
    </xf>
    <xf numFmtId="170" fontId="52" fillId="0" borderId="0" xfId="0" applyNumberFormat="1" applyFont="1" applyProtection="1">
      <protection locked="0"/>
    </xf>
    <xf numFmtId="3" fontId="5" fillId="0" borderId="1" xfId="0" applyNumberFormat="1" applyFont="1" applyFill="1" applyBorder="1" applyAlignment="1">
      <alignment horizontal="center" vertical="top" wrapText="1"/>
    </xf>
    <xf numFmtId="2" fontId="52" fillId="0" borderId="0" xfId="0" applyNumberFormat="1" applyFont="1" applyProtection="1">
      <protection locked="0"/>
    </xf>
    <xf numFmtId="0" fontId="2" fillId="0" borderId="0" xfId="0" applyFont="1" applyFill="1" applyAlignment="1">
      <alignment horizontal="center" vertical="center"/>
    </xf>
    <xf numFmtId="0" fontId="63" fillId="0" borderId="0" xfId="0" applyFont="1" applyBorder="1" applyProtection="1">
      <protection hidden="1"/>
    </xf>
    <xf numFmtId="2" fontId="63" fillId="0" borderId="0" xfId="0" applyNumberFormat="1" applyFont="1" applyBorder="1" applyProtection="1">
      <protection hidden="1"/>
    </xf>
    <xf numFmtId="0" fontId="0" fillId="0" borderId="36" xfId="0" applyBorder="1" applyProtection="1">
      <protection hidden="1"/>
    </xf>
    <xf numFmtId="0" fontId="63" fillId="0" borderId="35" xfId="0" applyFont="1" applyBorder="1" applyProtection="1">
      <protection hidden="1"/>
    </xf>
    <xf numFmtId="0" fontId="64" fillId="17" borderId="37" xfId="0" applyFont="1" applyFill="1" applyBorder="1" applyAlignment="1" applyProtection="1">
      <alignment horizontal="center" wrapText="1"/>
      <protection hidden="1"/>
    </xf>
    <xf numFmtId="0" fontId="64" fillId="17" borderId="1" xfId="0" applyFont="1" applyFill="1" applyBorder="1" applyAlignment="1" applyProtection="1">
      <alignment vertical="center" wrapText="1"/>
      <protection hidden="1"/>
    </xf>
    <xf numFmtId="0" fontId="64" fillId="17" borderId="1" xfId="0" applyFont="1" applyFill="1" applyBorder="1" applyAlignment="1" applyProtection="1">
      <alignment horizontal="center" vertical="center" wrapText="1"/>
      <protection hidden="1"/>
    </xf>
    <xf numFmtId="2" fontId="64" fillId="17" borderId="1" xfId="0" applyNumberFormat="1" applyFont="1" applyFill="1" applyBorder="1" applyAlignment="1" applyProtection="1">
      <alignment horizontal="center" vertical="center" wrapText="1"/>
      <protection hidden="1"/>
    </xf>
    <xf numFmtId="0" fontId="0" fillId="0" borderId="0" xfId="0" applyFill="1" applyBorder="1" applyAlignment="1">
      <alignment horizontal="center"/>
    </xf>
    <xf numFmtId="171" fontId="63" fillId="18" borderId="1" xfId="0" applyNumberFormat="1" applyFont="1" applyFill="1" applyBorder="1" applyProtection="1">
      <protection locked="0" hidden="1"/>
    </xf>
    <xf numFmtId="171" fontId="65" fillId="0" borderId="1" xfId="0" applyNumberFormat="1" applyFont="1" applyBorder="1" applyProtection="1">
      <protection hidden="1"/>
    </xf>
    <xf numFmtId="0" fontId="65" fillId="3" borderId="35" xfId="0" quotePrefix="1" applyFont="1" applyFill="1" applyBorder="1" applyAlignment="1" applyProtection="1">
      <alignment wrapText="1"/>
      <protection hidden="1"/>
    </xf>
    <xf numFmtId="0" fontId="65" fillId="3" borderId="0" xfId="0" quotePrefix="1" applyFont="1" applyFill="1" applyBorder="1" applyAlignment="1" applyProtection="1">
      <alignment wrapText="1"/>
      <protection hidden="1"/>
    </xf>
    <xf numFmtId="171" fontId="64" fillId="0" borderId="7" xfId="0" applyNumberFormat="1" applyFont="1" applyBorder="1" applyProtection="1">
      <protection hidden="1"/>
    </xf>
    <xf numFmtId="171" fontId="66" fillId="6" borderId="1" xfId="0" applyNumberFormat="1" applyFont="1" applyFill="1" applyBorder="1" applyAlignment="1" applyProtection="1">
      <alignment horizontal="right"/>
      <protection hidden="1"/>
    </xf>
    <xf numFmtId="171" fontId="64" fillId="6" borderId="1" xfId="0" applyNumberFormat="1" applyFont="1" applyFill="1" applyBorder="1" applyProtection="1">
      <protection hidden="1"/>
    </xf>
    <xf numFmtId="171" fontId="64" fillId="0" borderId="0" xfId="0" applyNumberFormat="1" applyFont="1" applyBorder="1" applyAlignment="1" applyProtection="1">
      <alignment horizontal="right"/>
      <protection hidden="1"/>
    </xf>
    <xf numFmtId="171" fontId="64" fillId="0" borderId="34" xfId="0" applyNumberFormat="1" applyFont="1" applyBorder="1" applyProtection="1">
      <protection hidden="1"/>
    </xf>
    <xf numFmtId="171" fontId="66" fillId="0" borderId="0" xfId="0" applyNumberFormat="1" applyFont="1" applyBorder="1" applyAlignment="1" applyProtection="1">
      <alignment horizontal="right"/>
      <protection hidden="1"/>
    </xf>
    <xf numFmtId="171" fontId="64" fillId="0" borderId="0" xfId="0" applyNumberFormat="1" applyFont="1" applyBorder="1" applyProtection="1">
      <protection hidden="1"/>
    </xf>
    <xf numFmtId="0" fontId="64" fillId="3" borderId="35" xfId="0" quotePrefix="1" applyFont="1" applyFill="1" applyBorder="1" applyAlignment="1" applyProtection="1">
      <alignment horizontal="center" wrapText="1"/>
      <protection hidden="1"/>
    </xf>
    <xf numFmtId="171" fontId="64" fillId="0" borderId="0" xfId="0" applyNumberFormat="1" applyFont="1" applyBorder="1" applyAlignment="1" applyProtection="1">
      <alignment horizontal="center"/>
      <protection hidden="1"/>
    </xf>
    <xf numFmtId="171" fontId="0" fillId="0" borderId="0" xfId="0" applyNumberFormat="1" applyBorder="1" applyProtection="1">
      <protection hidden="1"/>
    </xf>
    <xf numFmtId="171" fontId="65" fillId="0" borderId="0" xfId="0" applyNumberFormat="1" applyFont="1" applyBorder="1" applyProtection="1">
      <protection hidden="1"/>
    </xf>
    <xf numFmtId="44" fontId="0" fillId="0" borderId="0" xfId="0" applyNumberFormat="1"/>
    <xf numFmtId="0" fontId="65" fillId="3" borderId="1" xfId="0" quotePrefix="1" applyFont="1" applyFill="1" applyBorder="1" applyAlignment="1" applyProtection="1">
      <alignment wrapText="1"/>
      <protection hidden="1"/>
    </xf>
    <xf numFmtId="171" fontId="64" fillId="0" borderId="1" xfId="0" quotePrefix="1" applyNumberFormat="1" applyFont="1" applyFill="1" applyBorder="1" applyAlignment="1" applyProtection="1">
      <alignment wrapText="1"/>
      <protection hidden="1"/>
    </xf>
    <xf numFmtId="0" fontId="0" fillId="0" borderId="35" xfId="0" applyBorder="1" applyProtection="1">
      <protection hidden="1"/>
    </xf>
    <xf numFmtId="171" fontId="63" fillId="0" borderId="0" xfId="0" applyNumberFormat="1" applyFont="1" applyBorder="1" applyProtection="1">
      <protection hidden="1"/>
    </xf>
    <xf numFmtId="0" fontId="65" fillId="0" borderId="2" xfId="0" applyFont="1" applyBorder="1" applyProtection="1">
      <protection hidden="1"/>
    </xf>
    <xf numFmtId="0" fontId="63" fillId="0" borderId="7" xfId="0" applyFont="1" applyBorder="1" applyProtection="1">
      <protection hidden="1"/>
    </xf>
    <xf numFmtId="171" fontId="65" fillId="0" borderId="1" xfId="4" applyNumberFormat="1" applyFont="1" applyBorder="1" applyProtection="1">
      <protection hidden="1"/>
    </xf>
    <xf numFmtId="171" fontId="63" fillId="0" borderId="1" xfId="0" applyNumberFormat="1" applyFont="1" applyBorder="1" applyAlignment="1" applyProtection="1">
      <alignment horizontal="left"/>
      <protection hidden="1"/>
    </xf>
    <xf numFmtId="9" fontId="65" fillId="0" borderId="1" xfId="3" applyFont="1" applyBorder="1" applyProtection="1">
      <protection hidden="1"/>
    </xf>
    <xf numFmtId="0" fontId="63" fillId="18" borderId="1" xfId="0" applyNumberFormat="1" applyFont="1" applyFill="1" applyBorder="1" applyAlignment="1" applyProtection="1">
      <alignment horizontal="right"/>
      <protection locked="0" hidden="1"/>
    </xf>
    <xf numFmtId="0" fontId="64" fillId="0" borderId="2" xfId="0" applyFont="1" applyBorder="1" applyProtection="1">
      <protection hidden="1"/>
    </xf>
    <xf numFmtId="0" fontId="66" fillId="0" borderId="7" xfId="0" applyFont="1" applyBorder="1" applyProtection="1">
      <protection hidden="1"/>
    </xf>
    <xf numFmtId="171" fontId="64" fillId="0" borderId="1" xfId="4" applyNumberFormat="1" applyFont="1" applyBorder="1" applyProtection="1">
      <protection hidden="1"/>
    </xf>
    <xf numFmtId="171" fontId="66" fillId="0" borderId="1" xfId="0" applyNumberFormat="1" applyFont="1" applyBorder="1" applyAlignment="1" applyProtection="1">
      <alignment horizontal="left"/>
      <protection hidden="1"/>
    </xf>
    <xf numFmtId="171" fontId="64" fillId="0" borderId="1" xfId="0" applyNumberFormat="1" applyFont="1" applyBorder="1" applyProtection="1">
      <protection hidden="1"/>
    </xf>
    <xf numFmtId="0" fontId="64" fillId="0" borderId="0" xfId="0" applyFont="1" applyBorder="1" applyProtection="1">
      <protection hidden="1"/>
    </xf>
    <xf numFmtId="0" fontId="66" fillId="0" borderId="0" xfId="0" applyFont="1" applyBorder="1" applyProtection="1">
      <protection hidden="1"/>
    </xf>
    <xf numFmtId="171" fontId="64" fillId="0" borderId="0" xfId="4"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0" fontId="67" fillId="0" borderId="0" xfId="0" applyFont="1" applyFill="1" applyAlignment="1">
      <alignment wrapText="1"/>
    </xf>
    <xf numFmtId="0" fontId="65" fillId="3" borderId="0" xfId="0" quotePrefix="1" applyFont="1" applyFill="1" applyBorder="1" applyAlignment="1" applyProtection="1">
      <protection hidden="1"/>
    </xf>
    <xf numFmtId="0" fontId="64" fillId="3" borderId="35" xfId="0" quotePrefix="1" applyFont="1" applyFill="1" applyBorder="1" applyAlignment="1" applyProtection="1">
      <protection hidden="1"/>
    </xf>
    <xf numFmtId="0" fontId="65" fillId="3" borderId="34" xfId="0" quotePrefix="1" applyFont="1" applyFill="1" applyBorder="1" applyAlignment="1" applyProtection="1">
      <protection hidden="1"/>
    </xf>
    <xf numFmtId="3" fontId="65" fillId="0" borderId="1" xfId="0" quotePrefix="1" applyNumberFormat="1" applyFont="1" applyFill="1" applyBorder="1" applyAlignment="1" applyProtection="1">
      <alignment wrapText="1"/>
      <protection hidden="1"/>
    </xf>
    <xf numFmtId="4" fontId="65" fillId="0" borderId="1" xfId="0" quotePrefix="1" applyNumberFormat="1" applyFont="1" applyFill="1" applyBorder="1" applyAlignment="1" applyProtection="1">
      <alignment wrapText="1"/>
      <protection hidden="1"/>
    </xf>
    <xf numFmtId="0" fontId="4" fillId="0" borderId="0" xfId="0" applyFont="1" applyAlignment="1">
      <alignment horizontal="center" vertical="center"/>
    </xf>
    <xf numFmtId="0" fontId="4" fillId="0" borderId="0" xfId="0" applyFont="1" applyFill="1" applyAlignment="1">
      <alignment horizontal="center" vertical="center" wrapText="1"/>
    </xf>
    <xf numFmtId="8" fontId="69" fillId="0" borderId="0" xfId="0" applyNumberFormat="1" applyFont="1" applyBorder="1" applyAlignment="1">
      <alignment horizontal="center" vertical="center" wrapText="1"/>
    </xf>
    <xf numFmtId="10" fontId="68" fillId="0" borderId="0" xfId="3" applyNumberFormat="1" applyFont="1" applyFill="1" applyBorder="1" applyAlignment="1">
      <alignment horizontal="center" vertical="center" wrapText="1"/>
    </xf>
    <xf numFmtId="169" fontId="52" fillId="0" borderId="0" xfId="0" applyNumberFormat="1" applyFont="1" applyFill="1" applyBorder="1" applyAlignment="1" applyProtection="1">
      <alignment vertical="top" wrapText="1"/>
      <protection locked="0"/>
    </xf>
    <xf numFmtId="0" fontId="52" fillId="0" borderId="0" xfId="0" applyFont="1" applyFill="1" applyBorder="1" applyProtection="1">
      <protection locked="0"/>
    </xf>
    <xf numFmtId="0" fontId="4" fillId="0" borderId="0" xfId="0" applyFont="1" applyFill="1" applyBorder="1" applyAlignment="1">
      <alignment vertical="center" wrapText="1"/>
    </xf>
    <xf numFmtId="0" fontId="54" fillId="0" borderId="0" xfId="0" applyFont="1" applyBorder="1" applyAlignment="1">
      <alignment horizontal="center" vertical="top" wrapText="1"/>
    </xf>
    <xf numFmtId="10" fontId="68" fillId="0" borderId="0" xfId="3" applyNumberFormat="1" applyFont="1" applyBorder="1" applyAlignment="1">
      <alignment horizontal="center" vertical="center" wrapText="1"/>
    </xf>
    <xf numFmtId="10" fontId="52" fillId="0" borderId="0" xfId="3" applyNumberFormat="1" applyFont="1" applyFill="1" applyBorder="1" applyAlignment="1">
      <alignment horizontal="center" vertical="center" wrapText="1"/>
    </xf>
    <xf numFmtId="0" fontId="59" fillId="0" borderId="0" xfId="0" applyFont="1" applyFill="1" applyAlignment="1">
      <alignment vertical="top" wrapText="1"/>
    </xf>
    <xf numFmtId="0" fontId="59" fillId="0" borderId="0" xfId="0" applyFont="1" applyFill="1" applyAlignment="1">
      <alignment horizontal="center" vertical="center" wrapText="1"/>
    </xf>
    <xf numFmtId="0" fontId="59" fillId="0" borderId="0" xfId="0" applyFont="1" applyFill="1" applyAlignment="1">
      <alignment horizontal="center" vertical="top" wrapText="1"/>
    </xf>
    <xf numFmtId="8" fontId="60" fillId="0" borderId="0" xfId="0" applyNumberFormat="1" applyFont="1" applyFill="1" applyBorder="1" applyAlignment="1">
      <alignment horizontal="center" vertical="top" wrapText="1"/>
    </xf>
    <xf numFmtId="8" fontId="60" fillId="0" borderId="0" xfId="0" applyNumberFormat="1" applyFont="1" applyFill="1" applyBorder="1" applyAlignment="1">
      <alignment horizontal="center" vertical="center" wrapText="1"/>
    </xf>
    <xf numFmtId="8" fontId="59" fillId="0" borderId="0" xfId="0" applyNumberFormat="1" applyFont="1" applyFill="1" applyBorder="1" applyAlignment="1">
      <alignment horizontal="center" vertical="center" wrapText="1"/>
    </xf>
    <xf numFmtId="0" fontId="59" fillId="0" borderId="0" xfId="0" applyFont="1" applyFill="1" applyAlignment="1">
      <alignment wrapText="1"/>
    </xf>
    <xf numFmtId="10" fontId="59" fillId="0" borderId="0" xfId="3" applyNumberFormat="1" applyFont="1" applyFill="1" applyBorder="1" applyAlignment="1">
      <alignment horizontal="center" vertical="center" wrapText="1"/>
    </xf>
    <xf numFmtId="0" fontId="59" fillId="0" borderId="0" xfId="0" applyFont="1" applyFill="1" applyAlignment="1" applyProtection="1">
      <alignment wrapText="1"/>
      <protection locked="0"/>
    </xf>
    <xf numFmtId="8" fontId="60" fillId="0" borderId="0" xfId="0" applyNumberFormat="1" applyFont="1" applyFill="1" applyAlignment="1">
      <alignment horizontal="center" vertical="center" wrapText="1"/>
    </xf>
    <xf numFmtId="0" fontId="74" fillId="0" borderId="0" xfId="6"/>
    <xf numFmtId="0" fontId="53" fillId="15" borderId="5" xfId="0" applyFont="1" applyFill="1" applyBorder="1" applyAlignment="1">
      <alignment horizontal="center" vertical="center" wrapText="1"/>
    </xf>
    <xf numFmtId="0" fontId="52" fillId="0" borderId="0" xfId="0" applyFont="1" applyFill="1" applyAlignment="1" applyProtection="1">
      <alignment horizontal="center" vertical="center"/>
      <protection locked="0"/>
    </xf>
    <xf numFmtId="0" fontId="52" fillId="0" borderId="0" xfId="0" applyFont="1" applyFill="1" applyAlignment="1">
      <alignment wrapText="1"/>
    </xf>
    <xf numFmtId="0" fontId="4" fillId="15" borderId="10" xfId="0" applyFont="1" applyFill="1" applyBorder="1" applyAlignment="1">
      <alignment horizontal="center" vertical="center" wrapText="1"/>
    </xf>
    <xf numFmtId="0" fontId="53" fillId="15" borderId="10" xfId="0" applyFont="1" applyFill="1" applyBorder="1" applyAlignment="1">
      <alignment horizontal="center" vertical="center" wrapText="1"/>
    </xf>
    <xf numFmtId="10" fontId="54" fillId="0" borderId="39" xfId="3" applyNumberFormat="1" applyFont="1" applyFill="1" applyBorder="1" applyAlignment="1">
      <alignment horizontal="center" vertical="center" wrapText="1"/>
    </xf>
    <xf numFmtId="44" fontId="55" fillId="19" borderId="1" xfId="0" applyNumberFormat="1" applyFont="1" applyFill="1" applyBorder="1" applyAlignment="1">
      <alignment horizontal="right" vertical="center" wrapText="1"/>
    </xf>
    <xf numFmtId="169" fontId="52" fillId="14" borderId="1" xfId="0" applyNumberFormat="1" applyFont="1" applyFill="1" applyBorder="1" applyAlignment="1" applyProtection="1">
      <alignment vertical="top" wrapText="1"/>
      <protection locked="0"/>
    </xf>
    <xf numFmtId="9" fontId="54" fillId="0" borderId="0" xfId="3" applyFont="1" applyBorder="1" applyAlignment="1">
      <alignment horizontal="center" vertical="center" wrapText="1"/>
    </xf>
    <xf numFmtId="0" fontId="52" fillId="0" borderId="0" xfId="0" applyFont="1" applyAlignment="1" applyProtection="1">
      <alignment horizontal="center"/>
      <protection locked="0"/>
    </xf>
    <xf numFmtId="0" fontId="53" fillId="0" borderId="0" xfId="0" applyFont="1" applyAlignment="1" applyProtection="1">
      <alignment horizontal="center" vertical="center" wrapText="1"/>
      <protection locked="0"/>
    </xf>
    <xf numFmtId="0" fontId="8" fillId="0" borderId="0" xfId="0" quotePrefix="1" applyFont="1" applyProtection="1">
      <protection locked="0"/>
    </xf>
    <xf numFmtId="0" fontId="53" fillId="0" borderId="0" xfId="0" applyFont="1" applyAlignment="1" applyProtection="1">
      <alignment horizontal="center" vertical="center"/>
      <protection locked="0"/>
    </xf>
    <xf numFmtId="10" fontId="53" fillId="0" borderId="0" xfId="3" applyNumberFormat="1" applyFont="1" applyProtection="1">
      <protection locked="0"/>
    </xf>
    <xf numFmtId="0" fontId="51" fillId="0" borderId="0" xfId="0" applyFont="1" applyAlignment="1" applyProtection="1">
      <alignment horizontal="center"/>
      <protection locked="0"/>
    </xf>
    <xf numFmtId="9" fontId="8" fillId="2" borderId="0" xfId="0" applyNumberFormat="1" applyFont="1" applyFill="1" applyAlignment="1" applyProtection="1">
      <alignment horizontal="center"/>
      <protection locked="0"/>
    </xf>
    <xf numFmtId="10" fontId="70" fillId="19" borderId="0" xfId="0" applyNumberFormat="1" applyFont="1" applyFill="1" applyBorder="1" applyAlignment="1">
      <alignment horizontal="right" vertical="center" wrapText="1"/>
    </xf>
    <xf numFmtId="0" fontId="5" fillId="19" borderId="0" xfId="0" applyFont="1" applyFill="1" applyBorder="1" applyAlignment="1">
      <alignment horizontal="center" vertical="center" wrapText="1"/>
    </xf>
    <xf numFmtId="10" fontId="70" fillId="14" borderId="0" xfId="0" applyNumberFormat="1" applyFont="1" applyFill="1" applyBorder="1" applyAlignment="1">
      <alignment horizontal="right" vertical="center" wrapText="1"/>
    </xf>
    <xf numFmtId="0" fontId="5" fillId="14" borderId="0" xfId="0" applyFont="1" applyFill="1" applyBorder="1" applyAlignment="1">
      <alignment horizontal="center" vertical="center" wrapText="1"/>
    </xf>
    <xf numFmtId="0" fontId="55" fillId="19" borderId="0" xfId="0" applyFont="1" applyFill="1" applyBorder="1" applyAlignment="1">
      <alignment horizontal="right" vertical="top"/>
    </xf>
    <xf numFmtId="0" fontId="55" fillId="0" borderId="0" xfId="0" applyFont="1" applyAlignment="1">
      <alignment horizontal="right" vertical="top" wrapText="1"/>
    </xf>
    <xf numFmtId="0" fontId="53" fillId="0" borderId="0" xfId="0" applyFont="1" applyAlignment="1">
      <alignment horizontal="right" wrapText="1"/>
    </xf>
    <xf numFmtId="0" fontId="55" fillId="14" borderId="0" xfId="0" applyFont="1" applyFill="1" applyBorder="1" applyAlignment="1">
      <alignment horizontal="right" vertical="top"/>
    </xf>
    <xf numFmtId="0" fontId="55" fillId="0" borderId="0" xfId="0" applyFont="1" applyFill="1" applyBorder="1" applyAlignment="1">
      <alignment horizontal="right" vertical="top"/>
    </xf>
    <xf numFmtId="0" fontId="53" fillId="0" borderId="0" xfId="0" applyFont="1" applyAlignment="1" applyProtection="1">
      <alignment horizontal="right"/>
      <protection locked="0"/>
    </xf>
    <xf numFmtId="0" fontId="5" fillId="15" borderId="0" xfId="0" applyFont="1" applyFill="1" applyBorder="1" applyAlignment="1">
      <alignment horizontal="center" vertical="center" wrapText="1"/>
    </xf>
    <xf numFmtId="8" fontId="72" fillId="15" borderId="10" xfId="0" applyNumberFormat="1" applyFont="1" applyFill="1" applyBorder="1" applyAlignment="1">
      <alignment horizontal="center" vertical="center" wrapText="1"/>
    </xf>
    <xf numFmtId="0" fontId="77" fillId="0" borderId="0" xfId="0" applyFont="1" applyFill="1" applyBorder="1" applyAlignment="1">
      <alignment horizontal="right" vertical="top"/>
    </xf>
    <xf numFmtId="0" fontId="55" fillId="11" borderId="15" xfId="0" applyFont="1" applyFill="1" applyBorder="1" applyAlignment="1">
      <alignment vertical="center" wrapText="1"/>
    </xf>
    <xf numFmtId="0" fontId="55" fillId="11" borderId="17" xfId="0" applyFont="1" applyFill="1" applyBorder="1" applyAlignment="1">
      <alignment horizontal="center" vertical="center" wrapText="1"/>
    </xf>
    <xf numFmtId="8" fontId="8" fillId="11" borderId="16" xfId="0" applyNumberFormat="1" applyFont="1" applyFill="1" applyBorder="1" applyAlignment="1">
      <alignment wrapText="1"/>
    </xf>
    <xf numFmtId="0" fontId="5" fillId="11" borderId="19" xfId="0" applyFont="1" applyFill="1" applyBorder="1" applyAlignment="1">
      <alignment horizontal="center" vertical="center" wrapText="1"/>
    </xf>
    <xf numFmtId="0" fontId="55" fillId="11" borderId="21" xfId="0" applyFont="1" applyFill="1" applyBorder="1" applyAlignment="1">
      <alignment vertical="center" wrapText="1"/>
    </xf>
    <xf numFmtId="10" fontId="54" fillId="11" borderId="29" xfId="3" applyNumberFormat="1" applyFont="1" applyFill="1" applyBorder="1" applyAlignment="1">
      <alignment horizontal="center" vertical="center" wrapText="1"/>
    </xf>
    <xf numFmtId="8" fontId="8" fillId="11" borderId="6" xfId="0" applyNumberFormat="1" applyFont="1" applyFill="1" applyBorder="1" applyAlignment="1">
      <alignment wrapText="1"/>
    </xf>
    <xf numFmtId="0" fontId="5" fillId="11" borderId="7" xfId="0" applyFont="1" applyFill="1" applyBorder="1" applyAlignment="1">
      <alignment horizontal="center" vertical="center" wrapText="1"/>
    </xf>
    <xf numFmtId="0" fontId="55" fillId="11" borderId="24" xfId="0" applyFont="1" applyFill="1" applyBorder="1" applyAlignment="1">
      <alignment vertical="center" wrapText="1"/>
    </xf>
    <xf numFmtId="0" fontId="55" fillId="11" borderId="26" xfId="0" applyFont="1" applyFill="1" applyBorder="1" applyAlignment="1">
      <alignment horizontal="center" vertical="center" wrapText="1"/>
    </xf>
    <xf numFmtId="8" fontId="8" fillId="11" borderId="25" xfId="0" applyNumberFormat="1" applyFont="1" applyFill="1" applyBorder="1" applyAlignment="1">
      <alignment wrapText="1"/>
    </xf>
    <xf numFmtId="0" fontId="5" fillId="11" borderId="28" xfId="0" applyFont="1" applyFill="1" applyBorder="1" applyAlignment="1">
      <alignment horizontal="center" vertical="center" wrapText="1"/>
    </xf>
    <xf numFmtId="8" fontId="52" fillId="0" borderId="0" xfId="0" applyNumberFormat="1" applyFont="1" applyBorder="1" applyAlignment="1">
      <alignment horizontal="center" vertical="center"/>
    </xf>
    <xf numFmtId="8" fontId="53" fillId="0" borderId="0" xfId="0" applyNumberFormat="1" applyFont="1" applyBorder="1" applyAlignment="1">
      <alignment wrapText="1"/>
    </xf>
    <xf numFmtId="0" fontId="52" fillId="0" borderId="0" xfId="0" applyFont="1" applyBorder="1" applyAlignment="1">
      <alignment wrapText="1"/>
    </xf>
    <xf numFmtId="0" fontId="52" fillId="0" borderId="0" xfId="0" applyFont="1" applyBorder="1" applyAlignment="1" applyProtection="1">
      <alignment wrapText="1"/>
      <protection locked="0"/>
    </xf>
    <xf numFmtId="8" fontId="71" fillId="11" borderId="23" xfId="0" applyNumberFormat="1" applyFont="1" applyFill="1" applyBorder="1" applyAlignment="1">
      <alignment horizontal="center" vertical="center" wrapText="1"/>
    </xf>
    <xf numFmtId="44" fontId="6" fillId="0" borderId="1" xfId="5" applyFont="1" applyFill="1" applyBorder="1" applyAlignment="1">
      <alignment vertical="center" wrapText="1"/>
    </xf>
    <xf numFmtId="0" fontId="4" fillId="0" borderId="0" xfId="0" applyFont="1" applyFill="1" applyBorder="1" applyAlignment="1">
      <alignment horizontal="center" vertical="center" wrapText="1"/>
    </xf>
    <xf numFmtId="44" fontId="2" fillId="2" borderId="0" xfId="5" applyFont="1" applyFill="1"/>
    <xf numFmtId="9" fontId="0" fillId="0" borderId="0" xfId="0" applyNumberFormat="1"/>
    <xf numFmtId="44" fontId="2" fillId="0" borderId="0" xfId="0" applyNumberFormat="1" applyFont="1"/>
    <xf numFmtId="9" fontId="78" fillId="0" borderId="0" xfId="3" applyFont="1" applyFill="1" applyAlignment="1"/>
    <xf numFmtId="9" fontId="78" fillId="2" borderId="0" xfId="3" applyFont="1" applyFill="1" applyAlignment="1">
      <alignment horizontal="center"/>
    </xf>
    <xf numFmtId="44" fontId="8" fillId="2" borderId="2" xfId="5" applyFont="1" applyFill="1" applyBorder="1" applyAlignment="1">
      <alignment vertical="center" wrapText="1"/>
    </xf>
    <xf numFmtId="44" fontId="8" fillId="2" borderId="0" xfId="5" applyFont="1" applyFill="1" applyBorder="1" applyAlignment="1">
      <alignment vertical="center" wrapText="1"/>
    </xf>
    <xf numFmtId="44" fontId="8" fillId="2" borderId="1" xfId="5" applyFont="1" applyFill="1" applyBorder="1" applyAlignment="1">
      <alignment vertical="center" wrapText="1"/>
    </xf>
    <xf numFmtId="44" fontId="73" fillId="0" borderId="10" xfId="0" applyNumberFormat="1" applyFont="1" applyBorder="1" applyAlignment="1">
      <alignment horizontal="center" vertical="center" wrapText="1"/>
    </xf>
    <xf numFmtId="0" fontId="53" fillId="0" borderId="0" xfId="0" applyFont="1" applyFill="1" applyBorder="1" applyAlignment="1">
      <alignment horizontal="center" vertical="center" wrapText="1"/>
    </xf>
    <xf numFmtId="0" fontId="52" fillId="0" borderId="0" xfId="0" applyFont="1" applyBorder="1" applyAlignment="1">
      <alignment vertical="top" wrapText="1"/>
    </xf>
    <xf numFmtId="0" fontId="54" fillId="0" borderId="14" xfId="0" applyFont="1" applyFill="1" applyBorder="1" applyAlignment="1">
      <alignment horizontal="left" vertical="center"/>
    </xf>
    <xf numFmtId="0" fontId="5" fillId="0" borderId="14" xfId="0" applyFont="1" applyFill="1" applyBorder="1" applyAlignment="1">
      <alignment horizontal="center" vertical="center" wrapText="1"/>
    </xf>
    <xf numFmtId="0" fontId="4" fillId="19" borderId="14" xfId="0" applyFont="1" applyFill="1" applyBorder="1" applyAlignment="1">
      <alignment horizontal="center" vertical="top" wrapText="1"/>
    </xf>
    <xf numFmtId="44" fontId="55" fillId="19" borderId="14" xfId="0" applyNumberFormat="1" applyFont="1" applyFill="1" applyBorder="1" applyAlignment="1">
      <alignment horizontal="right" vertical="center" wrapText="1"/>
    </xf>
    <xf numFmtId="44" fontId="8" fillId="2" borderId="14" xfId="5" applyFont="1" applyFill="1" applyBorder="1" applyAlignment="1">
      <alignment vertical="center" wrapText="1"/>
    </xf>
    <xf numFmtId="44" fontId="6" fillId="0" borderId="14" xfId="5" applyFont="1" applyFill="1" applyBorder="1" applyAlignment="1">
      <alignment vertical="center" wrapText="1"/>
    </xf>
    <xf numFmtId="169" fontId="52" fillId="14" borderId="14" xfId="0" applyNumberFormat="1" applyFont="1" applyFill="1" applyBorder="1" applyAlignment="1" applyProtection="1">
      <alignment vertical="top" wrapText="1"/>
      <protection locked="0"/>
    </xf>
    <xf numFmtId="0" fontId="53" fillId="0" borderId="5" xfId="0" applyFont="1" applyFill="1" applyBorder="1" applyAlignment="1">
      <alignment horizontal="center" vertical="center" wrapText="1"/>
    </xf>
    <xf numFmtId="0" fontId="43" fillId="15" borderId="5" xfId="0" applyFont="1" applyFill="1" applyBorder="1" applyAlignment="1">
      <alignment horizontal="center" vertical="center" wrapText="1"/>
    </xf>
    <xf numFmtId="164" fontId="53" fillId="0" borderId="10" xfId="0" applyNumberFormat="1" applyFont="1" applyFill="1" applyBorder="1" applyAlignment="1" applyProtection="1">
      <alignment horizontal="center" vertical="center" wrapText="1"/>
      <protection locked="0"/>
    </xf>
    <xf numFmtId="0" fontId="55" fillId="11" borderId="16" xfId="0" applyFont="1" applyFill="1" applyBorder="1" applyAlignment="1">
      <alignment horizontal="center" vertical="center" wrapText="1"/>
    </xf>
    <xf numFmtId="10" fontId="54" fillId="11" borderId="30" xfId="3" applyNumberFormat="1" applyFont="1" applyFill="1" applyBorder="1" applyAlignment="1">
      <alignment horizontal="center" vertical="center" wrapText="1"/>
    </xf>
    <xf numFmtId="0" fontId="55" fillId="11" borderId="25" xfId="0" applyFont="1" applyFill="1" applyBorder="1" applyAlignment="1">
      <alignment horizontal="center" vertical="center" wrapText="1"/>
    </xf>
    <xf numFmtId="0" fontId="53" fillId="2" borderId="10" xfId="0" applyFont="1" applyFill="1" applyBorder="1" applyAlignment="1">
      <alignment horizontal="center" vertical="center" wrapText="1"/>
    </xf>
    <xf numFmtId="44" fontId="5" fillId="0" borderId="14" xfId="0" applyNumberFormat="1" applyFont="1" applyFill="1" applyBorder="1" applyAlignment="1">
      <alignment horizontal="center" vertical="center" wrapText="1"/>
    </xf>
    <xf numFmtId="8" fontId="54" fillId="2" borderId="10" xfId="0" applyNumberFormat="1" applyFont="1" applyFill="1" applyBorder="1" applyAlignment="1">
      <alignment horizontal="center" vertical="center" wrapText="1"/>
    </xf>
    <xf numFmtId="9" fontId="78" fillId="0" borderId="0" xfId="3" applyFont="1" applyFill="1" applyBorder="1" applyAlignment="1" applyProtection="1">
      <alignment horizontal="left" vertical="center"/>
      <protection locked="0"/>
    </xf>
    <xf numFmtId="8" fontId="55" fillId="2" borderId="25" xfId="0" applyNumberFormat="1" applyFont="1" applyFill="1" applyBorder="1" applyAlignment="1">
      <alignment horizontal="center" vertical="center" wrapText="1"/>
    </xf>
    <xf numFmtId="8" fontId="55" fillId="6" borderId="16" xfId="0" applyNumberFormat="1" applyFont="1" applyFill="1" applyBorder="1" applyAlignment="1">
      <alignment horizontal="center" vertical="center" wrapText="1"/>
    </xf>
    <xf numFmtId="8" fontId="53" fillId="15" borderId="18" xfId="0" applyNumberFormat="1" applyFont="1" applyFill="1" applyBorder="1" applyAlignment="1">
      <alignment horizontal="center" vertical="center" wrapText="1"/>
    </xf>
    <xf numFmtId="8" fontId="53" fillId="15" borderId="27" xfId="0" applyNumberFormat="1" applyFont="1" applyFill="1" applyBorder="1" applyAlignment="1">
      <alignment horizontal="center" vertical="center" wrapText="1"/>
    </xf>
    <xf numFmtId="0" fontId="5" fillId="0" borderId="0" xfId="0" applyFont="1" applyFill="1" applyAlignment="1">
      <alignment wrapText="1"/>
    </xf>
    <xf numFmtId="10" fontId="5" fillId="0" borderId="0" xfId="3" applyNumberFormat="1" applyFont="1" applyFill="1" applyBorder="1" applyAlignment="1">
      <alignment horizontal="center" vertical="center" wrapText="1"/>
    </xf>
    <xf numFmtId="8" fontId="5" fillId="0" borderId="0" xfId="0" applyNumberFormat="1" applyFont="1" applyFill="1" applyBorder="1" applyAlignment="1">
      <alignment horizontal="center" vertical="center" wrapText="1"/>
    </xf>
    <xf numFmtId="8" fontId="5" fillId="0" borderId="0" xfId="0" applyNumberFormat="1" applyFont="1" applyBorder="1" applyAlignment="1">
      <alignment horizontal="center" vertical="center"/>
    </xf>
    <xf numFmtId="10" fontId="5" fillId="0" borderId="0" xfId="3" applyNumberFormat="1" applyFont="1" applyBorder="1" applyAlignment="1">
      <alignment horizontal="center" vertical="center" wrapText="1"/>
    </xf>
    <xf numFmtId="8" fontId="13" fillId="2" borderId="0" xfId="3" applyNumberFormat="1" applyFont="1" applyFill="1" applyBorder="1" applyAlignment="1">
      <alignment horizontal="center" vertical="center" wrapText="1"/>
    </xf>
    <xf numFmtId="44" fontId="14" fillId="0" borderId="0" xfId="5" applyFont="1"/>
    <xf numFmtId="44" fontId="14" fillId="16" borderId="0" xfId="5" applyFont="1" applyFill="1"/>
    <xf numFmtId="0" fontId="81" fillId="0" borderId="0" xfId="0" applyFont="1" applyAlignment="1">
      <alignment horizontal="center"/>
    </xf>
    <xf numFmtId="44" fontId="14" fillId="7" borderId="0" xfId="5" applyFont="1" applyFill="1"/>
    <xf numFmtId="17" fontId="14" fillId="2" borderId="0" xfId="0" applyNumberFormat="1" applyFont="1" applyFill="1" applyAlignment="1">
      <alignment horizontal="center"/>
    </xf>
    <xf numFmtId="0" fontId="16" fillId="0" borderId="0" xfId="0" applyFont="1" applyAlignment="1">
      <alignment horizontal="center"/>
    </xf>
    <xf numFmtId="10" fontId="14" fillId="0" borderId="0" xfId="3" applyNumberFormat="1" applyFont="1"/>
    <xf numFmtId="0" fontId="74" fillId="0" borderId="0" xfId="6" applyAlignment="1">
      <alignment horizontal="center"/>
    </xf>
    <xf numFmtId="0" fontId="14" fillId="2" borderId="0" xfId="0" applyFont="1" applyFill="1" applyAlignment="1">
      <alignment horizontal="right"/>
    </xf>
    <xf numFmtId="44" fontId="14" fillId="0" borderId="0" xfId="0" applyNumberFormat="1" applyFont="1"/>
    <xf numFmtId="10" fontId="14" fillId="2" borderId="0" xfId="3" applyNumberFormat="1" applyFont="1" applyFill="1"/>
    <xf numFmtId="44" fontId="14" fillId="0" borderId="0" xfId="5" applyFont="1" applyFill="1"/>
    <xf numFmtId="0" fontId="0" fillId="0" borderId="0" xfId="0" applyAlignment="1"/>
    <xf numFmtId="44" fontId="2" fillId="2" borderId="0" xfId="5" applyFont="1" applyFill="1" applyAlignment="1"/>
    <xf numFmtId="0" fontId="56" fillId="0" borderId="0" xfId="0" applyFont="1"/>
    <xf numFmtId="9" fontId="6" fillId="2" borderId="0" xfId="3" applyFont="1" applyFill="1" applyAlignment="1">
      <alignment horizontal="center"/>
    </xf>
    <xf numFmtId="173" fontId="0" fillId="0" borderId="0" xfId="5" applyNumberFormat="1" applyFont="1"/>
    <xf numFmtId="9" fontId="6" fillId="2" borderId="0" xfId="3" applyNumberFormat="1" applyFont="1" applyFill="1" applyAlignment="1">
      <alignment horizontal="center"/>
    </xf>
    <xf numFmtId="0" fontId="3" fillId="0" borderId="0" xfId="0" applyFont="1" applyFill="1" applyAlignment="1"/>
    <xf numFmtId="44" fontId="55" fillId="0" borderId="10" xfId="0" applyNumberFormat="1" applyFont="1" applyBorder="1" applyAlignment="1">
      <alignment horizontal="center" vertical="center" wrapText="1"/>
    </xf>
    <xf numFmtId="0" fontId="4" fillId="0" borderId="1" xfId="0" applyFont="1" applyFill="1" applyBorder="1" applyAlignment="1">
      <alignment horizontal="center" vertical="top" wrapText="1"/>
    </xf>
    <xf numFmtId="44" fontId="55" fillId="0" borderId="1" xfId="0" applyNumberFormat="1" applyFont="1" applyFill="1" applyBorder="1" applyAlignment="1">
      <alignment horizontal="right" vertical="center" wrapText="1"/>
    </xf>
    <xf numFmtId="44" fontId="8" fillId="0" borderId="39" xfId="5" applyFont="1" applyFill="1" applyBorder="1" applyAlignment="1">
      <alignment vertical="center" wrapText="1"/>
    </xf>
    <xf numFmtId="44" fontId="8" fillId="0" borderId="1" xfId="5" applyFont="1" applyFill="1" applyBorder="1" applyAlignment="1">
      <alignment vertical="center" wrapText="1"/>
    </xf>
    <xf numFmtId="44" fontId="53" fillId="0" borderId="0" xfId="5" applyNumberFormat="1" applyFont="1" applyFill="1" applyBorder="1" applyAlignment="1">
      <alignment horizontal="left" wrapText="1"/>
    </xf>
    <xf numFmtId="169" fontId="52" fillId="0" borderId="1" xfId="0" applyNumberFormat="1" applyFont="1" applyFill="1" applyBorder="1" applyAlignment="1" applyProtection="1">
      <alignment vertical="top" wrapText="1"/>
      <protection locked="0"/>
    </xf>
    <xf numFmtId="44" fontId="8" fillId="0" borderId="30" xfId="5" applyFont="1" applyFill="1" applyBorder="1" applyAlignment="1">
      <alignment vertical="center" wrapText="1"/>
    </xf>
    <xf numFmtId="44" fontId="53" fillId="14" borderId="0" xfId="5" applyFont="1" applyFill="1" applyBorder="1" applyAlignment="1">
      <alignment vertical="center" wrapText="1"/>
    </xf>
    <xf numFmtId="10" fontId="68" fillId="20" borderId="0" xfId="3" applyNumberFormat="1" applyFont="1" applyFill="1" applyBorder="1" applyAlignment="1">
      <alignment horizontal="center" vertical="center" wrapText="1"/>
    </xf>
    <xf numFmtId="0" fontId="52" fillId="20" borderId="0" xfId="0" applyFont="1" applyFill="1" applyBorder="1" applyProtection="1">
      <protection locked="0"/>
    </xf>
    <xf numFmtId="8" fontId="51" fillId="20" borderId="0" xfId="0" applyNumberFormat="1" applyFont="1" applyFill="1" applyBorder="1" applyAlignment="1">
      <alignment horizontal="center" vertical="top" wrapText="1"/>
    </xf>
    <xf numFmtId="10" fontId="52" fillId="19" borderId="31" xfId="3" applyNumberFormat="1" applyFont="1" applyFill="1" applyBorder="1" applyAlignment="1">
      <alignment horizontal="center" vertical="center" wrapText="1"/>
    </xf>
    <xf numFmtId="8" fontId="53" fillId="19" borderId="9" xfId="5" applyNumberFormat="1" applyFont="1" applyFill="1" applyBorder="1" applyAlignment="1">
      <alignment horizontal="center" vertical="center" wrapText="1"/>
    </xf>
    <xf numFmtId="10" fontId="52" fillId="20" borderId="35" xfId="3" applyNumberFormat="1" applyFont="1" applyFill="1" applyBorder="1" applyAlignment="1">
      <alignment horizontal="center" vertical="center" wrapText="1"/>
    </xf>
    <xf numFmtId="0" fontId="52" fillId="20" borderId="36" xfId="0" applyFont="1" applyFill="1" applyBorder="1" applyProtection="1">
      <protection locked="0"/>
    </xf>
    <xf numFmtId="10" fontId="52" fillId="14" borderId="35" xfId="3" applyNumberFormat="1" applyFont="1" applyFill="1" applyBorder="1" applyAlignment="1">
      <alignment horizontal="center" vertical="center" wrapText="1"/>
    </xf>
    <xf numFmtId="0" fontId="4" fillId="20" borderId="35" xfId="0" applyFont="1" applyFill="1" applyBorder="1" applyAlignment="1">
      <alignment vertical="center" wrapText="1"/>
    </xf>
    <xf numFmtId="10" fontId="68" fillId="20" borderId="36" xfId="3" applyNumberFormat="1" applyFont="1" applyFill="1" applyBorder="1" applyAlignment="1">
      <alignment horizontal="center" vertical="center" wrapText="1"/>
    </xf>
    <xf numFmtId="0" fontId="52" fillId="20" borderId="35" xfId="0" applyFont="1" applyFill="1" applyBorder="1" applyProtection="1">
      <protection locked="0"/>
    </xf>
    <xf numFmtId="0" fontId="52" fillId="20" borderId="0" xfId="0" applyFont="1" applyFill="1" applyBorder="1" applyAlignment="1" applyProtection="1">
      <alignment horizontal="center" vertical="center"/>
      <protection locked="0"/>
    </xf>
    <xf numFmtId="0" fontId="52" fillId="20" borderId="36" xfId="0" applyFont="1" applyFill="1" applyBorder="1" applyAlignment="1" applyProtection="1">
      <alignment horizontal="center" vertical="center"/>
      <protection locked="0"/>
    </xf>
    <xf numFmtId="0" fontId="54" fillId="20" borderId="33" xfId="0" applyFont="1" applyFill="1" applyBorder="1" applyAlignment="1">
      <alignment horizontal="center" vertical="top" wrapText="1"/>
    </xf>
    <xf numFmtId="8" fontId="54" fillId="20" borderId="8" xfId="0" applyNumberFormat="1" applyFont="1" applyFill="1" applyBorder="1" applyAlignment="1">
      <alignment horizontal="center" vertical="top" wrapText="1"/>
    </xf>
    <xf numFmtId="8" fontId="54" fillId="20" borderId="8" xfId="0" applyNumberFormat="1" applyFont="1" applyFill="1" applyBorder="1" applyAlignment="1">
      <alignment horizontal="center" vertical="center" wrapText="1"/>
    </xf>
    <xf numFmtId="8" fontId="54" fillId="20" borderId="11" xfId="0" applyNumberFormat="1" applyFont="1" applyFill="1" applyBorder="1" applyAlignment="1">
      <alignment horizontal="center" vertical="center" wrapText="1"/>
    </xf>
    <xf numFmtId="10" fontId="52" fillId="15" borderId="3" xfId="3" applyNumberFormat="1" applyFont="1" applyFill="1" applyBorder="1" applyAlignment="1">
      <alignment horizontal="center" vertical="center" wrapText="1"/>
    </xf>
    <xf numFmtId="8" fontId="72" fillId="15" borderId="4" xfId="0" applyNumberFormat="1" applyFont="1" applyFill="1" applyBorder="1" applyAlignment="1">
      <alignment horizontal="center" vertical="center" wrapText="1"/>
    </xf>
    <xf numFmtId="0" fontId="2" fillId="2" borderId="0" xfId="0" applyFont="1" applyFill="1" applyAlignment="1">
      <alignment horizontal="center"/>
    </xf>
    <xf numFmtId="0" fontId="0" fillId="20" borderId="0" xfId="0" applyFill="1"/>
    <xf numFmtId="0" fontId="3" fillId="20" borderId="0" xfId="0" applyFont="1" applyFill="1"/>
    <xf numFmtId="174" fontId="85" fillId="15" borderId="0" xfId="5" applyNumberFormat="1" applyFont="1" applyFill="1" applyBorder="1" applyAlignment="1">
      <alignment horizontal="left" wrapText="1"/>
    </xf>
    <xf numFmtId="164" fontId="39" fillId="0" borderId="0" xfId="0" applyNumberFormat="1" applyFont="1" applyFill="1" applyAlignment="1">
      <alignment horizontal="center"/>
    </xf>
    <xf numFmtId="171" fontId="2" fillId="0" borderId="0" xfId="0" applyNumberFormat="1" applyFont="1" applyFill="1" applyAlignment="1">
      <alignment horizontal="center" vertical="center"/>
    </xf>
    <xf numFmtId="0" fontId="62" fillId="0" borderId="35" xfId="0" applyFont="1" applyFill="1" applyBorder="1" applyProtection="1">
      <protection hidden="1"/>
    </xf>
    <xf numFmtId="0" fontId="0" fillId="0" borderId="0" xfId="0" applyFont="1" applyFill="1" applyBorder="1" applyAlignment="1" applyProtection="1">
      <alignment vertical="center" wrapText="1"/>
      <protection hidden="1"/>
    </xf>
    <xf numFmtId="0" fontId="0" fillId="0" borderId="0" xfId="0" applyBorder="1" applyAlignment="1" applyProtection="1">
      <alignment vertical="center" wrapText="1"/>
      <protection hidden="1"/>
    </xf>
    <xf numFmtId="0" fontId="67" fillId="0" borderId="0" xfId="0" applyFont="1" applyFill="1" applyAlignment="1" applyProtection="1">
      <alignment wrapText="1"/>
      <protection hidden="1"/>
    </xf>
    <xf numFmtId="164" fontId="39" fillId="0" borderId="0" xfId="0" applyNumberFormat="1" applyFont="1" applyFill="1" applyAlignment="1" applyProtection="1">
      <alignment horizontal="center"/>
      <protection hidden="1"/>
    </xf>
    <xf numFmtId="0" fontId="4" fillId="0" borderId="35" xfId="0" applyFont="1" applyBorder="1" applyAlignment="1" applyProtection="1">
      <protection hidden="1"/>
    </xf>
    <xf numFmtId="10" fontId="61" fillId="0" borderId="0" xfId="0" applyNumberFormat="1" applyFont="1" applyBorder="1" applyProtection="1">
      <protection hidden="1"/>
    </xf>
    <xf numFmtId="0" fontId="3" fillId="0" borderId="0" xfId="0" applyFont="1" applyBorder="1" applyProtection="1">
      <protection hidden="1"/>
    </xf>
    <xf numFmtId="0" fontId="61" fillId="0" borderId="35" xfId="0" applyFont="1" applyBorder="1" applyAlignment="1" applyProtection="1">
      <protection hidden="1"/>
    </xf>
    <xf numFmtId="0" fontId="11" fillId="0" borderId="37" xfId="0" applyFont="1" applyBorder="1" applyAlignment="1" applyProtection="1">
      <alignment horizontal="center" vertical="center" wrapText="1"/>
      <protection hidden="1"/>
    </xf>
    <xf numFmtId="0" fontId="42" fillId="0" borderId="38" xfId="0" applyFont="1" applyBorder="1" applyAlignment="1" applyProtection="1">
      <alignment horizontal="center" vertical="center" wrapText="1"/>
      <protection hidden="1"/>
    </xf>
    <xf numFmtId="0" fontId="0" fillId="0" borderId="35" xfId="0" applyFill="1" applyBorder="1" applyProtection="1">
      <protection hidden="1"/>
    </xf>
    <xf numFmtId="0" fontId="0" fillId="0" borderId="0" xfId="0" applyFill="1" applyBorder="1" applyProtection="1">
      <protection hidden="1"/>
    </xf>
    <xf numFmtId="0" fontId="0" fillId="0" borderId="33" xfId="0" applyFill="1" applyBorder="1" applyProtection="1">
      <protection hidden="1"/>
    </xf>
    <xf numFmtId="0" fontId="0" fillId="0" borderId="8" xfId="0" applyFill="1" applyBorder="1" applyProtection="1">
      <protection hidden="1"/>
    </xf>
    <xf numFmtId="0" fontId="0" fillId="0" borderId="11" xfId="0" applyBorder="1" applyProtection="1">
      <protection hidden="1"/>
    </xf>
    <xf numFmtId="0" fontId="0" fillId="0" borderId="0" xfId="0" applyBorder="1" applyProtection="1">
      <protection locked="0" hidden="1"/>
    </xf>
    <xf numFmtId="164" fontId="39" fillId="2" borderId="0" xfId="0" applyNumberFormat="1" applyFont="1" applyFill="1" applyAlignment="1">
      <alignment horizontal="center" vertical="center"/>
    </xf>
    <xf numFmtId="0" fontId="12" fillId="0" borderId="1" xfId="0" applyFont="1" applyBorder="1" applyAlignment="1">
      <alignment horizontal="right" vertical="center" wrapText="1"/>
    </xf>
    <xf numFmtId="0" fontId="79" fillId="0" borderId="0" xfId="0" applyFont="1" applyFill="1" applyAlignment="1" applyProtection="1">
      <alignment horizontal="center" wrapText="1"/>
      <protection hidden="1"/>
    </xf>
    <xf numFmtId="0" fontId="4" fillId="0" borderId="31" xfId="0" applyFont="1" applyBorder="1" applyAlignment="1" applyProtection="1">
      <alignment horizontal="center"/>
      <protection hidden="1"/>
    </xf>
    <xf numFmtId="0" fontId="4" fillId="0" borderId="9" xfId="0" applyFont="1" applyBorder="1" applyAlignment="1" applyProtection="1">
      <alignment horizontal="center"/>
      <protection hidden="1"/>
    </xf>
    <xf numFmtId="0" fontId="4" fillId="0" borderId="32" xfId="0" applyFont="1" applyBorder="1" applyAlignment="1" applyProtection="1">
      <alignment horizontal="center"/>
      <protection hidden="1"/>
    </xf>
    <xf numFmtId="164" fontId="39" fillId="0" borderId="0" xfId="0" applyNumberFormat="1" applyFont="1" applyFill="1" applyAlignment="1" applyProtection="1">
      <alignment horizontal="center"/>
      <protection hidden="1"/>
    </xf>
    <xf numFmtId="171" fontId="64" fillId="0" borderId="2" xfId="0" applyNumberFormat="1" applyFont="1" applyBorder="1" applyAlignment="1" applyProtection="1">
      <alignment horizontal="right"/>
      <protection hidden="1"/>
    </xf>
    <xf numFmtId="171" fontId="64" fillId="0" borderId="7" xfId="0" applyNumberFormat="1" applyFont="1" applyBorder="1" applyAlignment="1" applyProtection="1">
      <alignment horizontal="right"/>
      <protection hidden="1"/>
    </xf>
    <xf numFmtId="0" fontId="2" fillId="0" borderId="35" xfId="0" applyFont="1" applyBorder="1" applyAlignment="1" applyProtection="1">
      <alignment horizontal="center" vertical="center"/>
      <protection hidden="1"/>
    </xf>
    <xf numFmtId="0" fontId="2" fillId="0" borderId="0" xfId="0" applyFont="1" applyBorder="1" applyAlignment="1" applyProtection="1">
      <alignment horizontal="center" vertical="center"/>
      <protection hidden="1"/>
    </xf>
    <xf numFmtId="0" fontId="0" fillId="0" borderId="35" xfId="0" applyBorder="1" applyAlignment="1" applyProtection="1">
      <alignment horizontal="center" vertical="center" wrapText="1"/>
      <protection hidden="1"/>
    </xf>
    <xf numFmtId="0" fontId="0" fillId="0" borderId="0" xfId="0" applyBorder="1" applyAlignment="1" applyProtection="1">
      <alignment horizontal="center" vertical="center" wrapText="1"/>
      <protection hidden="1"/>
    </xf>
    <xf numFmtId="0" fontId="57" fillId="2" borderId="0" xfId="0" applyFont="1" applyFill="1" applyAlignment="1">
      <alignment horizontal="center"/>
    </xf>
    <xf numFmtId="0" fontId="74" fillId="0" borderId="0" xfId="6" applyAlignment="1">
      <alignment horizontal="left" vertical="top" wrapText="1"/>
    </xf>
    <xf numFmtId="0" fontId="0" fillId="0" borderId="0" xfId="0" applyAlignment="1">
      <alignment horizontal="left" vertical="top" wrapText="1"/>
    </xf>
    <xf numFmtId="0" fontId="75" fillId="15" borderId="0" xfId="0" applyFont="1" applyFill="1" applyAlignment="1">
      <alignment horizontal="center" wrapText="1"/>
    </xf>
    <xf numFmtId="0" fontId="4" fillId="2" borderId="0" xfId="0" applyFont="1" applyFill="1" applyAlignment="1">
      <alignment horizontal="center" vertical="center"/>
    </xf>
    <xf numFmtId="44" fontId="4" fillId="0" borderId="0" xfId="0" applyNumberFormat="1" applyFont="1" applyAlignment="1">
      <alignment horizontal="center" vertical="center"/>
    </xf>
    <xf numFmtId="0" fontId="4" fillId="0" borderId="0" xfId="0" applyFont="1" applyAlignment="1">
      <alignment horizontal="center" vertical="center"/>
    </xf>
    <xf numFmtId="172" fontId="84" fillId="2" borderId="0" xfId="3" applyNumberFormat="1" applyFont="1" applyFill="1" applyAlignment="1">
      <alignment horizontal="center" vertical="center"/>
    </xf>
    <xf numFmtId="0" fontId="6" fillId="2" borderId="0" xfId="0" applyFont="1" applyFill="1" applyAlignment="1">
      <alignment horizontal="center"/>
    </xf>
    <xf numFmtId="0" fontId="81" fillId="0" borderId="0" xfId="0" applyFont="1" applyAlignment="1">
      <alignment horizontal="center"/>
    </xf>
    <xf numFmtId="17" fontId="80" fillId="7" borderId="0" xfId="0" quotePrefix="1" applyNumberFormat="1" applyFont="1" applyFill="1" applyAlignment="1">
      <alignment horizontal="center" vertical="center"/>
    </xf>
    <xf numFmtId="0" fontId="80" fillId="7" borderId="0" xfId="0" applyFont="1" applyFill="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17" fontId="80" fillId="2" borderId="0" xfId="0" quotePrefix="1" applyNumberFormat="1" applyFont="1" applyFill="1" applyAlignment="1">
      <alignment horizontal="center" vertical="center"/>
    </xf>
    <xf numFmtId="0" fontId="80" fillId="2" borderId="0" xfId="0" applyFont="1" applyFill="1" applyAlignment="1">
      <alignment horizontal="center" vertical="center"/>
    </xf>
    <xf numFmtId="0" fontId="16" fillId="7" borderId="0" xfId="0" applyFont="1" applyFill="1" applyAlignment="1">
      <alignment horizontal="center" vertical="center" wrapText="1"/>
    </xf>
    <xf numFmtId="0" fontId="14" fillId="7" borderId="0" xfId="0" applyFont="1" applyFill="1" applyAlignment="1">
      <alignment horizontal="center" vertical="center" wrapText="1"/>
    </xf>
    <xf numFmtId="0" fontId="83" fillId="20" borderId="4" xfId="0" applyFont="1" applyFill="1" applyBorder="1" applyAlignment="1">
      <alignment horizontal="center" wrapText="1"/>
    </xf>
    <xf numFmtId="0" fontId="83" fillId="20" borderId="5" xfId="0" applyFont="1" applyFill="1" applyBorder="1" applyAlignment="1">
      <alignment horizontal="center" wrapText="1"/>
    </xf>
    <xf numFmtId="8" fontId="78" fillId="20" borderId="8" xfId="0" applyNumberFormat="1" applyFont="1" applyFill="1" applyBorder="1" applyAlignment="1">
      <alignment horizontal="center" vertical="center" wrapText="1"/>
    </xf>
    <xf numFmtId="0" fontId="79" fillId="15" borderId="0" xfId="0" applyFont="1" applyFill="1" applyAlignment="1">
      <alignment horizontal="center" wrapText="1"/>
    </xf>
    <xf numFmtId="0" fontId="53" fillId="2" borderId="0" xfId="0" applyFont="1" applyFill="1" applyBorder="1" applyAlignment="1">
      <alignment horizontal="center" vertical="center"/>
    </xf>
    <xf numFmtId="0" fontId="53" fillId="2" borderId="8" xfId="0" applyFont="1" applyFill="1" applyBorder="1" applyAlignment="1">
      <alignment horizontal="center" vertical="center"/>
    </xf>
    <xf numFmtId="0" fontId="53" fillId="0" borderId="0" xfId="0" applyFont="1" applyFill="1" applyBorder="1" applyAlignment="1">
      <alignment horizontal="center" vertical="top" wrapText="1"/>
    </xf>
    <xf numFmtId="0" fontId="76" fillId="6" borderId="4" xfId="0" applyFont="1" applyFill="1" applyBorder="1" applyAlignment="1">
      <alignment horizontal="center" vertical="center" wrapText="1"/>
    </xf>
    <xf numFmtId="0" fontId="53" fillId="20" borderId="0" xfId="0" applyFont="1" applyFill="1" applyBorder="1" applyAlignment="1" applyProtection="1">
      <alignment horizontal="center"/>
      <protection locked="0"/>
    </xf>
    <xf numFmtId="0" fontId="53" fillId="20" borderId="36" xfId="0" applyFont="1" applyFill="1" applyBorder="1" applyAlignment="1" applyProtection="1">
      <alignment horizontal="center"/>
      <protection locked="0"/>
    </xf>
    <xf numFmtId="0" fontId="53" fillId="20" borderId="9" xfId="0" applyFont="1" applyFill="1" applyBorder="1" applyAlignment="1" applyProtection="1">
      <alignment horizontal="center"/>
      <protection locked="0"/>
    </xf>
    <xf numFmtId="0" fontId="53" fillId="20" borderId="32" xfId="0" applyFont="1" applyFill="1" applyBorder="1" applyAlignment="1" applyProtection="1">
      <alignment horizontal="center"/>
      <protection locked="0"/>
    </xf>
  </cellXfs>
  <cellStyles count="7">
    <cellStyle name="Coma" xfId="4" builtinId="3"/>
    <cellStyle name="Enllaç" xfId="6" builtinId="8"/>
    <cellStyle name="Moneda" xfId="5" builtinId="4"/>
    <cellStyle name="Normal" xfId="0" builtinId="0"/>
    <cellStyle name="Normal 2" xfId="1"/>
    <cellStyle name="Percentatge" xfId="3" builtinId="5"/>
    <cellStyle name="Percentatge 2" xfId="2"/>
  </cellStyles>
  <dxfs count="9">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6"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66"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66" formatCode="#,##0_);\(#,##0\)"/>
    </dxf>
  </dxfs>
  <tableStyles count="0" defaultTableStyle="TableStyleMedium9" defaultPivotStyle="PivotStyleLight16"/>
  <colors>
    <mruColors>
      <color rgb="FFFF99FF"/>
      <color rgb="FF00FF00"/>
      <color rgb="FFFFFFCC"/>
      <color rgb="FFBFBF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8" Type="http://schemas.openxmlformats.org/officeDocument/2006/relationships/image" Target="../media/image16.png"/><Relationship Id="rId3" Type="http://schemas.openxmlformats.org/officeDocument/2006/relationships/image" Target="../media/image11.png"/><Relationship Id="rId7" Type="http://schemas.openxmlformats.org/officeDocument/2006/relationships/image" Target="../media/image15.png"/><Relationship Id="rId2" Type="http://schemas.openxmlformats.org/officeDocument/2006/relationships/image" Target="../media/image10.png"/><Relationship Id="rId1" Type="http://schemas.openxmlformats.org/officeDocument/2006/relationships/image" Target="../media/image9.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 Id="rId9" Type="http://schemas.openxmlformats.org/officeDocument/2006/relationships/image" Target="../media/image17.png"/></Relationships>
</file>

<file path=xl/drawings/_rels/drawing4.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 Id="rId6" Type="http://schemas.openxmlformats.org/officeDocument/2006/relationships/image" Target="../media/image23.png"/><Relationship Id="rId5" Type="http://schemas.openxmlformats.org/officeDocument/2006/relationships/image" Target="../media/image22.png"/><Relationship Id="rId4" Type="http://schemas.openxmlformats.org/officeDocument/2006/relationships/image" Target="../media/image21.png"/></Relationships>
</file>

<file path=xl/drawings/_rels/drawing5.xml.rels><?xml version="1.0" encoding="UTF-8" standalone="yes"?>
<Relationships xmlns="http://schemas.openxmlformats.org/package/2006/relationships"><Relationship Id="rId3" Type="http://schemas.openxmlformats.org/officeDocument/2006/relationships/image" Target="../media/image26.png"/><Relationship Id="rId2" Type="http://schemas.openxmlformats.org/officeDocument/2006/relationships/image" Target="../media/image25.png"/><Relationship Id="rId1" Type="http://schemas.openxmlformats.org/officeDocument/2006/relationships/image" Target="../media/image24.png"/><Relationship Id="rId4"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114300</xdr:rowOff>
    </xdr:from>
    <xdr:to>
      <xdr:col>13</xdr:col>
      <xdr:colOff>518160</xdr:colOff>
      <xdr:row>38</xdr:row>
      <xdr:rowOff>30480</xdr:rowOff>
    </xdr:to>
    <xdr:pic>
      <xdr:nvPicPr>
        <xdr:cNvPr id="2" name="Imatge 1">
          <a:extLst>
            <a:ext uri="{FF2B5EF4-FFF2-40B4-BE49-F238E27FC236}">
              <a16:creationId xmlns:a16="http://schemas.microsoft.com/office/drawing/2014/main" xmlns="" id="{00000000-0008-0000-0100-000002000000}"/>
            </a:ext>
          </a:extLst>
        </xdr:cNvPr>
        <xdr:cNvPicPr/>
      </xdr:nvPicPr>
      <xdr:blipFill rotWithShape="1">
        <a:blip xmlns:r="http://schemas.openxmlformats.org/officeDocument/2006/relationships" r:embed="rId1"/>
        <a:srcRect l="12334" t="16532" r="10852" b="8916"/>
        <a:stretch/>
      </xdr:blipFill>
      <xdr:spPr bwMode="auto">
        <a:xfrm>
          <a:off x="0" y="449580"/>
          <a:ext cx="8442960" cy="595122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581025</xdr:colOff>
      <xdr:row>3</xdr:row>
      <xdr:rowOff>28575</xdr:rowOff>
    </xdr:from>
    <xdr:to>
      <xdr:col>15</xdr:col>
      <xdr:colOff>239268</xdr:colOff>
      <xdr:row>25</xdr:row>
      <xdr:rowOff>153002</xdr:rowOff>
    </xdr:to>
    <xdr:pic>
      <xdr:nvPicPr>
        <xdr:cNvPr id="11" name="Imatge 10"/>
        <xdr:cNvPicPr>
          <a:picLocks noChangeAspect="1"/>
        </xdr:cNvPicPr>
      </xdr:nvPicPr>
      <xdr:blipFill>
        <a:blip xmlns:r="http://schemas.openxmlformats.org/officeDocument/2006/relationships" r:embed="rId1"/>
        <a:stretch>
          <a:fillRect/>
        </a:stretch>
      </xdr:blipFill>
      <xdr:spPr>
        <a:xfrm>
          <a:off x="1190625" y="581025"/>
          <a:ext cx="8192643" cy="4175727"/>
        </a:xfrm>
        <a:prstGeom prst="rect">
          <a:avLst/>
        </a:prstGeom>
      </xdr:spPr>
    </xdr:pic>
    <xdr:clientData/>
  </xdr:twoCellAnchor>
  <xdr:twoCellAnchor editAs="oneCell">
    <xdr:from>
      <xdr:col>2</xdr:col>
      <xdr:colOff>0</xdr:colOff>
      <xdr:row>25</xdr:row>
      <xdr:rowOff>0</xdr:rowOff>
    </xdr:from>
    <xdr:to>
      <xdr:col>15</xdr:col>
      <xdr:colOff>267843</xdr:colOff>
      <xdr:row>42</xdr:row>
      <xdr:rowOff>19505</xdr:rowOff>
    </xdr:to>
    <xdr:pic>
      <xdr:nvPicPr>
        <xdr:cNvPr id="12" name="Imatge 11"/>
        <xdr:cNvPicPr>
          <a:picLocks noChangeAspect="1"/>
        </xdr:cNvPicPr>
      </xdr:nvPicPr>
      <xdr:blipFill>
        <a:blip xmlns:r="http://schemas.openxmlformats.org/officeDocument/2006/relationships" r:embed="rId2"/>
        <a:stretch>
          <a:fillRect/>
        </a:stretch>
      </xdr:blipFill>
      <xdr:spPr>
        <a:xfrm>
          <a:off x="1219200" y="4603750"/>
          <a:ext cx="8192643" cy="3150055"/>
        </a:xfrm>
        <a:prstGeom prst="rect">
          <a:avLst/>
        </a:prstGeom>
      </xdr:spPr>
    </xdr:pic>
    <xdr:clientData/>
  </xdr:twoCellAnchor>
  <xdr:twoCellAnchor>
    <xdr:from>
      <xdr:col>3</xdr:col>
      <xdr:colOff>561975</xdr:colOff>
      <xdr:row>37</xdr:row>
      <xdr:rowOff>104775</xdr:rowOff>
    </xdr:from>
    <xdr:to>
      <xdr:col>9</xdr:col>
      <xdr:colOff>352425</xdr:colOff>
      <xdr:row>39</xdr:row>
      <xdr:rowOff>38100</xdr:rowOff>
    </xdr:to>
    <xdr:sp macro="" textlink="">
      <xdr:nvSpPr>
        <xdr:cNvPr id="13" name="Rectangle 12"/>
        <xdr:cNvSpPr/>
      </xdr:nvSpPr>
      <xdr:spPr>
        <a:xfrm>
          <a:off x="2390775" y="6918325"/>
          <a:ext cx="3448050" cy="3016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a-ES" sz="1100"/>
        </a:p>
      </xdr:txBody>
    </xdr:sp>
    <xdr:clientData/>
  </xdr:twoCellAnchor>
  <xdr:twoCellAnchor>
    <xdr:from>
      <xdr:col>5</xdr:col>
      <xdr:colOff>104775</xdr:colOff>
      <xdr:row>14</xdr:row>
      <xdr:rowOff>47625</xdr:rowOff>
    </xdr:from>
    <xdr:to>
      <xdr:col>10</xdr:col>
      <xdr:colOff>504825</xdr:colOff>
      <xdr:row>15</xdr:row>
      <xdr:rowOff>171450</xdr:rowOff>
    </xdr:to>
    <xdr:sp macro="" textlink="">
      <xdr:nvSpPr>
        <xdr:cNvPr id="14" name="Rectangle 13"/>
        <xdr:cNvSpPr/>
      </xdr:nvSpPr>
      <xdr:spPr>
        <a:xfrm>
          <a:off x="3152775" y="2625725"/>
          <a:ext cx="3448050" cy="30797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a-ES" sz="1100"/>
        </a:p>
      </xdr:txBody>
    </xdr:sp>
    <xdr:clientData/>
  </xdr:twoCellAnchor>
  <xdr:twoCellAnchor editAs="oneCell">
    <xdr:from>
      <xdr:col>17</xdr:col>
      <xdr:colOff>1</xdr:colOff>
      <xdr:row>3</xdr:row>
      <xdr:rowOff>0</xdr:rowOff>
    </xdr:from>
    <xdr:to>
      <xdr:col>31</xdr:col>
      <xdr:colOff>19051</xdr:colOff>
      <xdr:row>19</xdr:row>
      <xdr:rowOff>156023</xdr:rowOff>
    </xdr:to>
    <xdr:pic>
      <xdr:nvPicPr>
        <xdr:cNvPr id="15" name="Imatge 14"/>
        <xdr:cNvPicPr>
          <a:picLocks noChangeAspect="1"/>
        </xdr:cNvPicPr>
      </xdr:nvPicPr>
      <xdr:blipFill>
        <a:blip xmlns:r="http://schemas.openxmlformats.org/officeDocument/2006/relationships" r:embed="rId3"/>
        <a:stretch>
          <a:fillRect/>
        </a:stretch>
      </xdr:blipFill>
      <xdr:spPr>
        <a:xfrm>
          <a:off x="10363201" y="552450"/>
          <a:ext cx="8553450" cy="3108773"/>
        </a:xfrm>
        <a:prstGeom prst="rect">
          <a:avLst/>
        </a:prstGeom>
      </xdr:spPr>
    </xdr:pic>
    <xdr:clientData/>
  </xdr:twoCellAnchor>
  <xdr:twoCellAnchor editAs="oneCell">
    <xdr:from>
      <xdr:col>17</xdr:col>
      <xdr:colOff>1</xdr:colOff>
      <xdr:row>24</xdr:row>
      <xdr:rowOff>0</xdr:rowOff>
    </xdr:from>
    <xdr:to>
      <xdr:col>31</xdr:col>
      <xdr:colOff>28575</xdr:colOff>
      <xdr:row>52</xdr:row>
      <xdr:rowOff>48376</xdr:rowOff>
    </xdr:to>
    <xdr:pic>
      <xdr:nvPicPr>
        <xdr:cNvPr id="16" name="Imatge 15"/>
        <xdr:cNvPicPr>
          <a:picLocks noChangeAspect="1"/>
        </xdr:cNvPicPr>
      </xdr:nvPicPr>
      <xdr:blipFill>
        <a:blip xmlns:r="http://schemas.openxmlformats.org/officeDocument/2006/relationships" r:embed="rId4"/>
        <a:stretch>
          <a:fillRect/>
        </a:stretch>
      </xdr:blipFill>
      <xdr:spPr>
        <a:xfrm>
          <a:off x="10363201" y="4419600"/>
          <a:ext cx="8562974" cy="5204576"/>
        </a:xfrm>
        <a:prstGeom prst="rect">
          <a:avLst/>
        </a:prstGeom>
      </xdr:spPr>
    </xdr:pic>
    <xdr:clientData/>
  </xdr:twoCellAnchor>
  <xdr:twoCellAnchor editAs="oneCell">
    <xdr:from>
      <xdr:col>17</xdr:col>
      <xdr:colOff>0</xdr:colOff>
      <xdr:row>53</xdr:row>
      <xdr:rowOff>0</xdr:rowOff>
    </xdr:from>
    <xdr:to>
      <xdr:col>31</xdr:col>
      <xdr:colOff>29770</xdr:colOff>
      <xdr:row>96</xdr:row>
      <xdr:rowOff>134055</xdr:rowOff>
    </xdr:to>
    <xdr:pic>
      <xdr:nvPicPr>
        <xdr:cNvPr id="17" name="Imatge 16"/>
        <xdr:cNvPicPr>
          <a:picLocks noChangeAspect="1"/>
        </xdr:cNvPicPr>
      </xdr:nvPicPr>
      <xdr:blipFill>
        <a:blip xmlns:r="http://schemas.openxmlformats.org/officeDocument/2006/relationships" r:embed="rId5"/>
        <a:stretch>
          <a:fillRect/>
        </a:stretch>
      </xdr:blipFill>
      <xdr:spPr>
        <a:xfrm>
          <a:off x="10315222" y="8600722"/>
          <a:ext cx="8524659" cy="7112000"/>
        </a:xfrm>
        <a:prstGeom prst="rect">
          <a:avLst/>
        </a:prstGeom>
      </xdr:spPr>
    </xdr:pic>
    <xdr:clientData/>
  </xdr:twoCellAnchor>
  <xdr:twoCellAnchor editAs="oneCell">
    <xdr:from>
      <xdr:col>1</xdr:col>
      <xdr:colOff>0</xdr:colOff>
      <xdr:row>43</xdr:row>
      <xdr:rowOff>0</xdr:rowOff>
    </xdr:from>
    <xdr:to>
      <xdr:col>14</xdr:col>
      <xdr:colOff>384283</xdr:colOff>
      <xdr:row>79</xdr:row>
      <xdr:rowOff>58115</xdr:rowOff>
    </xdr:to>
    <xdr:pic>
      <xdr:nvPicPr>
        <xdr:cNvPr id="18" name="Imatge 17"/>
        <xdr:cNvPicPr>
          <a:picLocks noChangeAspect="1"/>
        </xdr:cNvPicPr>
      </xdr:nvPicPr>
      <xdr:blipFill>
        <a:blip xmlns:r="http://schemas.openxmlformats.org/officeDocument/2006/relationships" r:embed="rId6"/>
        <a:stretch>
          <a:fillRect/>
        </a:stretch>
      </xdr:blipFill>
      <xdr:spPr>
        <a:xfrm>
          <a:off x="609600" y="7918450"/>
          <a:ext cx="8309083" cy="6687515"/>
        </a:xfrm>
        <a:prstGeom prst="rect">
          <a:avLst/>
        </a:prstGeom>
      </xdr:spPr>
    </xdr:pic>
    <xdr:clientData/>
  </xdr:twoCellAnchor>
  <xdr:twoCellAnchor editAs="oneCell">
    <xdr:from>
      <xdr:col>1</xdr:col>
      <xdr:colOff>0</xdr:colOff>
      <xdr:row>80</xdr:row>
      <xdr:rowOff>0</xdr:rowOff>
    </xdr:from>
    <xdr:to>
      <xdr:col>15</xdr:col>
      <xdr:colOff>18135</xdr:colOff>
      <xdr:row>99</xdr:row>
      <xdr:rowOff>10032</xdr:rowOff>
    </xdr:to>
    <xdr:pic>
      <xdr:nvPicPr>
        <xdr:cNvPr id="19" name="Imatge 18"/>
        <xdr:cNvPicPr>
          <a:picLocks noChangeAspect="1"/>
        </xdr:cNvPicPr>
      </xdr:nvPicPr>
      <xdr:blipFill>
        <a:blip xmlns:r="http://schemas.openxmlformats.org/officeDocument/2006/relationships" r:embed="rId7"/>
        <a:stretch>
          <a:fillRect/>
        </a:stretch>
      </xdr:blipFill>
      <xdr:spPr>
        <a:xfrm>
          <a:off x="609600" y="14732000"/>
          <a:ext cx="8552535" cy="35088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3</xdr:row>
      <xdr:rowOff>31750</xdr:rowOff>
    </xdr:from>
    <xdr:to>
      <xdr:col>21</xdr:col>
      <xdr:colOff>6350</xdr:colOff>
      <xdr:row>38</xdr:row>
      <xdr:rowOff>134140</xdr:rowOff>
    </xdr:to>
    <xdr:pic>
      <xdr:nvPicPr>
        <xdr:cNvPr id="2" name="Imatge 1"/>
        <xdr:cNvPicPr>
          <a:picLocks noChangeAspect="1"/>
        </xdr:cNvPicPr>
      </xdr:nvPicPr>
      <xdr:blipFill>
        <a:blip xmlns:r="http://schemas.openxmlformats.org/officeDocument/2006/relationships" r:embed="rId1"/>
        <a:stretch>
          <a:fillRect/>
        </a:stretch>
      </xdr:blipFill>
      <xdr:spPr>
        <a:xfrm>
          <a:off x="57150" y="508000"/>
          <a:ext cx="12750800" cy="5658640"/>
        </a:xfrm>
        <a:prstGeom prst="rect">
          <a:avLst/>
        </a:prstGeom>
      </xdr:spPr>
    </xdr:pic>
    <xdr:clientData/>
  </xdr:twoCellAnchor>
  <xdr:twoCellAnchor editAs="oneCell">
    <xdr:from>
      <xdr:col>0</xdr:col>
      <xdr:colOff>0</xdr:colOff>
      <xdr:row>43</xdr:row>
      <xdr:rowOff>0</xdr:rowOff>
    </xdr:from>
    <xdr:to>
      <xdr:col>21</xdr:col>
      <xdr:colOff>6350</xdr:colOff>
      <xdr:row>73</xdr:row>
      <xdr:rowOff>86402</xdr:rowOff>
    </xdr:to>
    <xdr:pic>
      <xdr:nvPicPr>
        <xdr:cNvPr id="3" name="Imatge 2"/>
        <xdr:cNvPicPr>
          <a:picLocks noChangeAspect="1"/>
        </xdr:cNvPicPr>
      </xdr:nvPicPr>
      <xdr:blipFill>
        <a:blip xmlns:r="http://schemas.openxmlformats.org/officeDocument/2006/relationships" r:embed="rId2"/>
        <a:stretch>
          <a:fillRect/>
        </a:stretch>
      </xdr:blipFill>
      <xdr:spPr>
        <a:xfrm>
          <a:off x="0" y="6826250"/>
          <a:ext cx="12807950" cy="4848902"/>
        </a:xfrm>
        <a:prstGeom prst="rect">
          <a:avLst/>
        </a:prstGeom>
      </xdr:spPr>
    </xdr:pic>
    <xdr:clientData/>
  </xdr:twoCellAnchor>
  <xdr:twoCellAnchor editAs="oneCell">
    <xdr:from>
      <xdr:col>0</xdr:col>
      <xdr:colOff>1</xdr:colOff>
      <xdr:row>78</xdr:row>
      <xdr:rowOff>0</xdr:rowOff>
    </xdr:from>
    <xdr:to>
      <xdr:col>21</xdr:col>
      <xdr:colOff>0</xdr:colOff>
      <xdr:row>118</xdr:row>
      <xdr:rowOff>23114</xdr:rowOff>
    </xdr:to>
    <xdr:pic>
      <xdr:nvPicPr>
        <xdr:cNvPr id="4" name="Imatge 3"/>
        <xdr:cNvPicPr>
          <a:picLocks noChangeAspect="1"/>
        </xdr:cNvPicPr>
      </xdr:nvPicPr>
      <xdr:blipFill>
        <a:blip xmlns:r="http://schemas.openxmlformats.org/officeDocument/2006/relationships" r:embed="rId3"/>
        <a:stretch>
          <a:fillRect/>
        </a:stretch>
      </xdr:blipFill>
      <xdr:spPr>
        <a:xfrm>
          <a:off x="1" y="12382500"/>
          <a:ext cx="12801599" cy="6373114"/>
        </a:xfrm>
        <a:prstGeom prst="rect">
          <a:avLst/>
        </a:prstGeom>
      </xdr:spPr>
    </xdr:pic>
    <xdr:clientData/>
  </xdr:twoCellAnchor>
  <xdr:twoCellAnchor editAs="oneCell">
    <xdr:from>
      <xdr:col>0</xdr:col>
      <xdr:colOff>1</xdr:colOff>
      <xdr:row>154</xdr:row>
      <xdr:rowOff>0</xdr:rowOff>
    </xdr:from>
    <xdr:to>
      <xdr:col>21</xdr:col>
      <xdr:colOff>6350</xdr:colOff>
      <xdr:row>174</xdr:row>
      <xdr:rowOff>6794</xdr:rowOff>
    </xdr:to>
    <xdr:pic>
      <xdr:nvPicPr>
        <xdr:cNvPr id="5" name="Imatge 4"/>
        <xdr:cNvPicPr>
          <a:picLocks noChangeAspect="1"/>
        </xdr:cNvPicPr>
      </xdr:nvPicPr>
      <xdr:blipFill>
        <a:blip xmlns:r="http://schemas.openxmlformats.org/officeDocument/2006/relationships" r:embed="rId4"/>
        <a:stretch>
          <a:fillRect/>
        </a:stretch>
      </xdr:blipFill>
      <xdr:spPr>
        <a:xfrm>
          <a:off x="1" y="19843750"/>
          <a:ext cx="12807949" cy="3181794"/>
        </a:xfrm>
        <a:prstGeom prst="rect">
          <a:avLst/>
        </a:prstGeom>
      </xdr:spPr>
    </xdr:pic>
    <xdr:clientData/>
  </xdr:twoCellAnchor>
  <xdr:twoCellAnchor editAs="oneCell">
    <xdr:from>
      <xdr:col>0</xdr:col>
      <xdr:colOff>0</xdr:colOff>
      <xdr:row>175</xdr:row>
      <xdr:rowOff>0</xdr:rowOff>
    </xdr:from>
    <xdr:to>
      <xdr:col>21</xdr:col>
      <xdr:colOff>63500</xdr:colOff>
      <xdr:row>220</xdr:row>
      <xdr:rowOff>58155</xdr:rowOff>
    </xdr:to>
    <xdr:pic>
      <xdr:nvPicPr>
        <xdr:cNvPr id="6" name="Imatge 5"/>
        <xdr:cNvPicPr>
          <a:picLocks noChangeAspect="1"/>
        </xdr:cNvPicPr>
      </xdr:nvPicPr>
      <xdr:blipFill>
        <a:blip xmlns:r="http://schemas.openxmlformats.org/officeDocument/2006/relationships" r:embed="rId5"/>
        <a:stretch>
          <a:fillRect/>
        </a:stretch>
      </xdr:blipFill>
      <xdr:spPr>
        <a:xfrm>
          <a:off x="0" y="23177500"/>
          <a:ext cx="12865100" cy="7201905"/>
        </a:xfrm>
        <a:prstGeom prst="rect">
          <a:avLst/>
        </a:prstGeom>
      </xdr:spPr>
    </xdr:pic>
    <xdr:clientData/>
  </xdr:twoCellAnchor>
  <xdr:twoCellAnchor editAs="oneCell">
    <xdr:from>
      <xdr:col>0</xdr:col>
      <xdr:colOff>0</xdr:colOff>
      <xdr:row>222</xdr:row>
      <xdr:rowOff>0</xdr:rowOff>
    </xdr:from>
    <xdr:to>
      <xdr:col>21</xdr:col>
      <xdr:colOff>50800</xdr:colOff>
      <xdr:row>267</xdr:row>
      <xdr:rowOff>70866</xdr:rowOff>
    </xdr:to>
    <xdr:pic>
      <xdr:nvPicPr>
        <xdr:cNvPr id="7" name="Imatge 6"/>
        <xdr:cNvPicPr>
          <a:picLocks noChangeAspect="1"/>
        </xdr:cNvPicPr>
      </xdr:nvPicPr>
      <xdr:blipFill>
        <a:blip xmlns:r="http://schemas.openxmlformats.org/officeDocument/2006/relationships" r:embed="rId6"/>
        <a:stretch>
          <a:fillRect/>
        </a:stretch>
      </xdr:blipFill>
      <xdr:spPr>
        <a:xfrm>
          <a:off x="0" y="30638750"/>
          <a:ext cx="12852400" cy="7278116"/>
        </a:xfrm>
        <a:prstGeom prst="rect">
          <a:avLst/>
        </a:prstGeom>
      </xdr:spPr>
    </xdr:pic>
    <xdr:clientData/>
  </xdr:twoCellAnchor>
  <xdr:twoCellAnchor editAs="oneCell">
    <xdr:from>
      <xdr:col>0</xdr:col>
      <xdr:colOff>1</xdr:colOff>
      <xdr:row>120</xdr:row>
      <xdr:rowOff>0</xdr:rowOff>
    </xdr:from>
    <xdr:to>
      <xdr:col>10</xdr:col>
      <xdr:colOff>101601</xdr:colOff>
      <xdr:row>149</xdr:row>
      <xdr:rowOff>6350</xdr:rowOff>
    </xdr:to>
    <xdr:pic>
      <xdr:nvPicPr>
        <xdr:cNvPr id="8" name="Imatge 7"/>
        <xdr:cNvPicPr>
          <a:picLocks noChangeAspect="1"/>
        </xdr:cNvPicPr>
      </xdr:nvPicPr>
      <xdr:blipFill>
        <a:blip xmlns:r="http://schemas.openxmlformats.org/officeDocument/2006/relationships" r:embed="rId7"/>
        <a:stretch>
          <a:fillRect/>
        </a:stretch>
      </xdr:blipFill>
      <xdr:spPr>
        <a:xfrm>
          <a:off x="1" y="19094450"/>
          <a:ext cx="6197600" cy="4610100"/>
        </a:xfrm>
        <a:prstGeom prst="rect">
          <a:avLst/>
        </a:prstGeom>
      </xdr:spPr>
    </xdr:pic>
    <xdr:clientData/>
  </xdr:twoCellAnchor>
  <xdr:twoCellAnchor editAs="oneCell">
    <xdr:from>
      <xdr:col>10</xdr:col>
      <xdr:colOff>148393</xdr:colOff>
      <xdr:row>119</xdr:row>
      <xdr:rowOff>82551</xdr:rowOff>
    </xdr:from>
    <xdr:to>
      <xdr:col>21</xdr:col>
      <xdr:colOff>19051</xdr:colOff>
      <xdr:row>149</xdr:row>
      <xdr:rowOff>19050</xdr:rowOff>
    </xdr:to>
    <xdr:pic>
      <xdr:nvPicPr>
        <xdr:cNvPr id="9" name="Imatge 8"/>
        <xdr:cNvPicPr>
          <a:picLocks noChangeAspect="1"/>
        </xdr:cNvPicPr>
      </xdr:nvPicPr>
      <xdr:blipFill>
        <a:blip xmlns:r="http://schemas.openxmlformats.org/officeDocument/2006/relationships" r:embed="rId8"/>
        <a:stretch>
          <a:fillRect/>
        </a:stretch>
      </xdr:blipFill>
      <xdr:spPr>
        <a:xfrm>
          <a:off x="6244393" y="19018251"/>
          <a:ext cx="6576258" cy="4698999"/>
        </a:xfrm>
        <a:prstGeom prst="rect">
          <a:avLst/>
        </a:prstGeom>
      </xdr:spPr>
    </xdr:pic>
    <xdr:clientData/>
  </xdr:twoCellAnchor>
  <xdr:twoCellAnchor editAs="oneCell">
    <xdr:from>
      <xdr:col>21</xdr:col>
      <xdr:colOff>1</xdr:colOff>
      <xdr:row>120</xdr:row>
      <xdr:rowOff>1</xdr:rowOff>
    </xdr:from>
    <xdr:to>
      <xdr:col>35</xdr:col>
      <xdr:colOff>22578</xdr:colOff>
      <xdr:row>149</xdr:row>
      <xdr:rowOff>21168</xdr:rowOff>
    </xdr:to>
    <xdr:pic>
      <xdr:nvPicPr>
        <xdr:cNvPr id="10" name="Imatge 9"/>
        <xdr:cNvPicPr>
          <a:picLocks noChangeAspect="1"/>
        </xdr:cNvPicPr>
      </xdr:nvPicPr>
      <xdr:blipFill>
        <a:blip xmlns:r="http://schemas.openxmlformats.org/officeDocument/2006/relationships" r:embed="rId9"/>
        <a:stretch>
          <a:fillRect/>
        </a:stretch>
      </xdr:blipFill>
      <xdr:spPr>
        <a:xfrm>
          <a:off x="12742334" y="19515668"/>
          <a:ext cx="9687278" cy="47272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6350</xdr:colOff>
      <xdr:row>21</xdr:row>
      <xdr:rowOff>31750</xdr:rowOff>
    </xdr:from>
    <xdr:to>
      <xdr:col>25</xdr:col>
      <xdr:colOff>577850</xdr:colOff>
      <xdr:row>51</xdr:row>
      <xdr:rowOff>48320</xdr:rowOff>
    </xdr:to>
    <xdr:pic>
      <xdr:nvPicPr>
        <xdr:cNvPr id="2" name="Imatge 1"/>
        <xdr:cNvPicPr>
          <a:picLocks noChangeAspect="1"/>
        </xdr:cNvPicPr>
      </xdr:nvPicPr>
      <xdr:blipFill>
        <a:blip xmlns:r="http://schemas.openxmlformats.org/officeDocument/2006/relationships" r:embed="rId1"/>
        <a:stretch>
          <a:fillRect/>
        </a:stretch>
      </xdr:blipFill>
      <xdr:spPr>
        <a:xfrm>
          <a:off x="7931150" y="4178300"/>
          <a:ext cx="7886700" cy="4982270"/>
        </a:xfrm>
        <a:prstGeom prst="rect">
          <a:avLst/>
        </a:prstGeom>
      </xdr:spPr>
    </xdr:pic>
    <xdr:clientData/>
  </xdr:twoCellAnchor>
  <xdr:twoCellAnchor editAs="oneCell">
    <xdr:from>
      <xdr:col>12</xdr:col>
      <xdr:colOff>558800</xdr:colOff>
      <xdr:row>0</xdr:row>
      <xdr:rowOff>19050</xdr:rowOff>
    </xdr:from>
    <xdr:to>
      <xdr:col>26</xdr:col>
      <xdr:colOff>74148</xdr:colOff>
      <xdr:row>23</xdr:row>
      <xdr:rowOff>29153</xdr:rowOff>
    </xdr:to>
    <xdr:pic>
      <xdr:nvPicPr>
        <xdr:cNvPr id="3" name="Imatge 2"/>
        <xdr:cNvPicPr>
          <a:picLocks noChangeAspect="1"/>
        </xdr:cNvPicPr>
      </xdr:nvPicPr>
      <xdr:blipFill>
        <a:blip xmlns:r="http://schemas.openxmlformats.org/officeDocument/2006/relationships" r:embed="rId2"/>
        <a:stretch>
          <a:fillRect/>
        </a:stretch>
      </xdr:blipFill>
      <xdr:spPr>
        <a:xfrm>
          <a:off x="7874000" y="19050"/>
          <a:ext cx="8049748" cy="4143953"/>
        </a:xfrm>
        <a:prstGeom prst="rect">
          <a:avLst/>
        </a:prstGeom>
      </xdr:spPr>
    </xdr:pic>
    <xdr:clientData/>
  </xdr:twoCellAnchor>
  <xdr:twoCellAnchor editAs="oneCell">
    <xdr:from>
      <xdr:col>13</xdr:col>
      <xdr:colOff>1</xdr:colOff>
      <xdr:row>55</xdr:row>
      <xdr:rowOff>0</xdr:rowOff>
    </xdr:from>
    <xdr:to>
      <xdr:col>26</xdr:col>
      <xdr:colOff>38101</xdr:colOff>
      <xdr:row>92</xdr:row>
      <xdr:rowOff>138113</xdr:rowOff>
    </xdr:to>
    <xdr:pic>
      <xdr:nvPicPr>
        <xdr:cNvPr id="4" name="Imatge 3"/>
        <xdr:cNvPicPr>
          <a:picLocks noChangeAspect="1"/>
        </xdr:cNvPicPr>
      </xdr:nvPicPr>
      <xdr:blipFill>
        <a:blip xmlns:r="http://schemas.openxmlformats.org/officeDocument/2006/relationships" r:embed="rId3"/>
        <a:stretch>
          <a:fillRect/>
        </a:stretch>
      </xdr:blipFill>
      <xdr:spPr>
        <a:xfrm>
          <a:off x="7924801" y="9385300"/>
          <a:ext cx="7962900" cy="6030913"/>
        </a:xfrm>
        <a:prstGeom prst="rect">
          <a:avLst/>
        </a:prstGeom>
      </xdr:spPr>
    </xdr:pic>
    <xdr:clientData/>
  </xdr:twoCellAnchor>
  <xdr:twoCellAnchor>
    <xdr:from>
      <xdr:col>1</xdr:col>
      <xdr:colOff>12700</xdr:colOff>
      <xdr:row>11</xdr:row>
      <xdr:rowOff>177800</xdr:rowOff>
    </xdr:from>
    <xdr:to>
      <xdr:col>10</xdr:col>
      <xdr:colOff>19050</xdr:colOff>
      <xdr:row>13</xdr:row>
      <xdr:rowOff>38100</xdr:rowOff>
    </xdr:to>
    <xdr:sp macro="" textlink="">
      <xdr:nvSpPr>
        <xdr:cNvPr id="5" name="Clau de tancament 4"/>
        <xdr:cNvSpPr/>
      </xdr:nvSpPr>
      <xdr:spPr>
        <a:xfrm rot="5400000">
          <a:off x="3263900" y="-412750"/>
          <a:ext cx="203200" cy="5486400"/>
        </a:xfrm>
        <a:prstGeom prst="rightBrac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ca-ES" sz="1100"/>
        </a:p>
      </xdr:txBody>
    </xdr:sp>
    <xdr:clientData/>
  </xdr:twoCellAnchor>
  <xdr:twoCellAnchor editAs="oneCell">
    <xdr:from>
      <xdr:col>2</xdr:col>
      <xdr:colOff>0</xdr:colOff>
      <xdr:row>48</xdr:row>
      <xdr:rowOff>0</xdr:rowOff>
    </xdr:from>
    <xdr:to>
      <xdr:col>6</xdr:col>
      <xdr:colOff>384615</xdr:colOff>
      <xdr:row>56</xdr:row>
      <xdr:rowOff>28760</xdr:rowOff>
    </xdr:to>
    <xdr:pic>
      <xdr:nvPicPr>
        <xdr:cNvPr id="7" name="Imatge 6"/>
        <xdr:cNvPicPr>
          <a:picLocks noChangeAspect="1"/>
        </xdr:cNvPicPr>
      </xdr:nvPicPr>
      <xdr:blipFill>
        <a:blip xmlns:r="http://schemas.openxmlformats.org/officeDocument/2006/relationships" r:embed="rId4"/>
        <a:stretch>
          <a:fillRect/>
        </a:stretch>
      </xdr:blipFill>
      <xdr:spPr>
        <a:xfrm>
          <a:off x="1219200" y="8255000"/>
          <a:ext cx="3153215" cy="1324160"/>
        </a:xfrm>
        <a:prstGeom prst="rect">
          <a:avLst/>
        </a:prstGeom>
      </xdr:spPr>
    </xdr:pic>
    <xdr:clientData/>
  </xdr:twoCellAnchor>
  <xdr:twoCellAnchor editAs="oneCell">
    <xdr:from>
      <xdr:col>7</xdr:col>
      <xdr:colOff>0</xdr:colOff>
      <xdr:row>38</xdr:row>
      <xdr:rowOff>0</xdr:rowOff>
    </xdr:from>
    <xdr:to>
      <xdr:col>12</xdr:col>
      <xdr:colOff>13141</xdr:colOff>
      <xdr:row>46</xdr:row>
      <xdr:rowOff>136723</xdr:rowOff>
    </xdr:to>
    <xdr:pic>
      <xdr:nvPicPr>
        <xdr:cNvPr id="8" name="Imatge 7"/>
        <xdr:cNvPicPr>
          <a:picLocks noChangeAspect="1"/>
        </xdr:cNvPicPr>
      </xdr:nvPicPr>
      <xdr:blipFill>
        <a:blip xmlns:r="http://schemas.openxmlformats.org/officeDocument/2006/relationships" r:embed="rId5"/>
        <a:stretch>
          <a:fillRect/>
        </a:stretch>
      </xdr:blipFill>
      <xdr:spPr>
        <a:xfrm>
          <a:off x="4597400" y="6667500"/>
          <a:ext cx="3162741" cy="1419423"/>
        </a:xfrm>
        <a:prstGeom prst="rect">
          <a:avLst/>
        </a:prstGeom>
      </xdr:spPr>
    </xdr:pic>
    <xdr:clientData/>
  </xdr:twoCellAnchor>
  <xdr:twoCellAnchor>
    <xdr:from>
      <xdr:col>6</xdr:col>
      <xdr:colOff>444500</xdr:colOff>
      <xdr:row>46</xdr:row>
      <xdr:rowOff>152400</xdr:rowOff>
    </xdr:from>
    <xdr:to>
      <xdr:col>8</xdr:col>
      <xdr:colOff>152400</xdr:colOff>
      <xdr:row>56</xdr:row>
      <xdr:rowOff>120650</xdr:rowOff>
    </xdr:to>
    <xdr:sp macro="" textlink="">
      <xdr:nvSpPr>
        <xdr:cNvPr id="9" name="Fletxa esquerra i cap amunt 8"/>
        <xdr:cNvSpPr/>
      </xdr:nvSpPr>
      <xdr:spPr>
        <a:xfrm>
          <a:off x="4432300" y="8089900"/>
          <a:ext cx="927100" cy="1574800"/>
        </a:xfrm>
        <a:prstGeom prst="leftUp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a-ES" sz="1100"/>
        </a:p>
      </xdr:txBody>
    </xdr:sp>
    <xdr:clientData/>
  </xdr:twoCellAnchor>
  <xdr:twoCellAnchor>
    <xdr:from>
      <xdr:col>1</xdr:col>
      <xdr:colOff>260350</xdr:colOff>
      <xdr:row>40</xdr:row>
      <xdr:rowOff>133350</xdr:rowOff>
    </xdr:from>
    <xdr:to>
      <xdr:col>1</xdr:col>
      <xdr:colOff>425450</xdr:colOff>
      <xdr:row>46</xdr:row>
      <xdr:rowOff>95250</xdr:rowOff>
    </xdr:to>
    <xdr:sp macro="" textlink="">
      <xdr:nvSpPr>
        <xdr:cNvPr id="10" name="Fletxa cap avall 9"/>
        <xdr:cNvSpPr/>
      </xdr:nvSpPr>
      <xdr:spPr>
        <a:xfrm>
          <a:off x="869950" y="7131050"/>
          <a:ext cx="165100" cy="914400"/>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a-ES" sz="1100"/>
        </a:p>
      </xdr:txBody>
    </xdr:sp>
    <xdr:clientData/>
  </xdr:twoCellAnchor>
  <xdr:twoCellAnchor editAs="oneCell">
    <xdr:from>
      <xdr:col>2</xdr:col>
      <xdr:colOff>95250</xdr:colOff>
      <xdr:row>38</xdr:row>
      <xdr:rowOff>44450</xdr:rowOff>
    </xdr:from>
    <xdr:to>
      <xdr:col>6</xdr:col>
      <xdr:colOff>460812</xdr:colOff>
      <xdr:row>46</xdr:row>
      <xdr:rowOff>143068</xdr:rowOff>
    </xdr:to>
    <xdr:pic>
      <xdr:nvPicPr>
        <xdr:cNvPr id="11" name="Imatge 10"/>
        <xdr:cNvPicPr>
          <a:picLocks noChangeAspect="1"/>
        </xdr:cNvPicPr>
      </xdr:nvPicPr>
      <xdr:blipFill>
        <a:blip xmlns:r="http://schemas.openxmlformats.org/officeDocument/2006/relationships" r:embed="rId6"/>
        <a:stretch>
          <a:fillRect/>
        </a:stretch>
      </xdr:blipFill>
      <xdr:spPr>
        <a:xfrm>
          <a:off x="1314450" y="6711950"/>
          <a:ext cx="3134162" cy="138131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27214</xdr:colOff>
      <xdr:row>13</xdr:row>
      <xdr:rowOff>7937</xdr:rowOff>
    </xdr:from>
    <xdr:to>
      <xdr:col>15</xdr:col>
      <xdr:colOff>1206500</xdr:colOff>
      <xdr:row>21</xdr:row>
      <xdr:rowOff>0</xdr:rowOff>
    </xdr:to>
    <xdr:sp macro="" textlink="">
      <xdr:nvSpPr>
        <xdr:cNvPr id="2" name="Fletxa esquerra i cap amunt 1"/>
        <xdr:cNvSpPr/>
      </xdr:nvSpPr>
      <xdr:spPr>
        <a:xfrm>
          <a:off x="16718643" y="3681866"/>
          <a:ext cx="3120571" cy="1742848"/>
        </a:xfrm>
        <a:prstGeom prst="leftUpArrow">
          <a:avLst>
            <a:gd name="adj1" fmla="val 0"/>
            <a:gd name="adj2" fmla="val 25000"/>
            <a:gd name="adj3" fmla="val 25000"/>
          </a:avLst>
        </a:prstGeom>
        <a:ln>
          <a:solidFill>
            <a:srgbClr val="FF99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a-ES" sz="1100"/>
        </a:p>
      </xdr:txBody>
    </xdr:sp>
    <xdr:clientData/>
  </xdr:twoCellAnchor>
  <xdr:twoCellAnchor editAs="oneCell">
    <xdr:from>
      <xdr:col>1</xdr:col>
      <xdr:colOff>3262313</xdr:colOff>
      <xdr:row>28</xdr:row>
      <xdr:rowOff>23814</xdr:rowOff>
    </xdr:from>
    <xdr:to>
      <xdr:col>7</xdr:col>
      <xdr:colOff>955128</xdr:colOff>
      <xdr:row>33</xdr:row>
      <xdr:rowOff>79521</xdr:rowOff>
    </xdr:to>
    <xdr:pic>
      <xdr:nvPicPr>
        <xdr:cNvPr id="3" name="Imatge 2"/>
        <xdr:cNvPicPr>
          <a:picLocks noChangeAspect="1"/>
        </xdr:cNvPicPr>
      </xdr:nvPicPr>
      <xdr:blipFill>
        <a:blip xmlns:r="http://schemas.openxmlformats.org/officeDocument/2006/relationships" r:embed="rId1"/>
        <a:stretch>
          <a:fillRect/>
        </a:stretch>
      </xdr:blipFill>
      <xdr:spPr>
        <a:xfrm>
          <a:off x="3433763" y="6704014"/>
          <a:ext cx="7408315" cy="1039957"/>
        </a:xfrm>
        <a:prstGeom prst="rect">
          <a:avLst/>
        </a:prstGeom>
      </xdr:spPr>
    </xdr:pic>
    <xdr:clientData/>
  </xdr:twoCellAnchor>
  <xdr:twoCellAnchor editAs="oneCell">
    <xdr:from>
      <xdr:col>4</xdr:col>
      <xdr:colOff>182562</xdr:colOff>
      <xdr:row>33</xdr:row>
      <xdr:rowOff>166687</xdr:rowOff>
    </xdr:from>
    <xdr:to>
      <xdr:col>10</xdr:col>
      <xdr:colOff>1082917</xdr:colOff>
      <xdr:row>42</xdr:row>
      <xdr:rowOff>57385</xdr:rowOff>
    </xdr:to>
    <xdr:pic>
      <xdr:nvPicPr>
        <xdr:cNvPr id="4" name="Imatge 3"/>
        <xdr:cNvPicPr>
          <a:picLocks noChangeAspect="1"/>
        </xdr:cNvPicPr>
      </xdr:nvPicPr>
      <xdr:blipFill>
        <a:blip xmlns:r="http://schemas.openxmlformats.org/officeDocument/2006/relationships" r:embed="rId2"/>
        <a:stretch>
          <a:fillRect/>
        </a:stretch>
      </xdr:blipFill>
      <xdr:spPr>
        <a:xfrm>
          <a:off x="7065962" y="7831137"/>
          <a:ext cx="7358305" cy="1662348"/>
        </a:xfrm>
        <a:prstGeom prst="rect">
          <a:avLst/>
        </a:prstGeom>
      </xdr:spPr>
    </xdr:pic>
    <xdr:clientData/>
  </xdr:twoCellAnchor>
  <xdr:twoCellAnchor>
    <xdr:from>
      <xdr:col>10</xdr:col>
      <xdr:colOff>674689</xdr:colOff>
      <xdr:row>26</xdr:row>
      <xdr:rowOff>15875</xdr:rowOff>
    </xdr:from>
    <xdr:to>
      <xdr:col>10</xdr:col>
      <xdr:colOff>698500</xdr:colOff>
      <xdr:row>35</xdr:row>
      <xdr:rowOff>0</xdr:rowOff>
    </xdr:to>
    <xdr:cxnSp macro="">
      <xdr:nvCxnSpPr>
        <xdr:cNvPr id="5" name="Connector de fletxa recta 4"/>
        <xdr:cNvCxnSpPr/>
      </xdr:nvCxnSpPr>
      <xdr:spPr>
        <a:xfrm flipH="1">
          <a:off x="14016039" y="6302375"/>
          <a:ext cx="23811" cy="1755775"/>
        </a:xfrm>
        <a:prstGeom prst="straightConnector1">
          <a:avLst/>
        </a:prstGeom>
        <a:ln w="254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612776</xdr:colOff>
      <xdr:row>26</xdr:row>
      <xdr:rowOff>7938</xdr:rowOff>
    </xdr:from>
    <xdr:to>
      <xdr:col>7</xdr:col>
      <xdr:colOff>619125</xdr:colOff>
      <xdr:row>29</xdr:row>
      <xdr:rowOff>1587</xdr:rowOff>
    </xdr:to>
    <xdr:cxnSp macro="">
      <xdr:nvCxnSpPr>
        <xdr:cNvPr id="6" name="Connector de fletxa recta 5"/>
        <xdr:cNvCxnSpPr/>
      </xdr:nvCxnSpPr>
      <xdr:spPr>
        <a:xfrm flipH="1">
          <a:off x="10499726" y="6294438"/>
          <a:ext cx="6349" cy="584199"/>
        </a:xfrm>
        <a:prstGeom prst="straightConnector1">
          <a:avLst/>
        </a:prstGeom>
        <a:ln w="254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11</xdr:col>
      <xdr:colOff>190501</xdr:colOff>
      <xdr:row>24</xdr:row>
      <xdr:rowOff>190500</xdr:rowOff>
    </xdr:from>
    <xdr:to>
      <xdr:col>17</xdr:col>
      <xdr:colOff>975261</xdr:colOff>
      <xdr:row>34</xdr:row>
      <xdr:rowOff>114562</xdr:rowOff>
    </xdr:to>
    <xdr:pic>
      <xdr:nvPicPr>
        <xdr:cNvPr id="7" name="Imatge 6"/>
        <xdr:cNvPicPr>
          <a:picLocks noChangeAspect="1"/>
        </xdr:cNvPicPr>
      </xdr:nvPicPr>
      <xdr:blipFill>
        <a:blip xmlns:r="http://schemas.openxmlformats.org/officeDocument/2006/relationships" r:embed="rId3"/>
        <a:stretch>
          <a:fillRect/>
        </a:stretch>
      </xdr:blipFill>
      <xdr:spPr>
        <a:xfrm>
          <a:off x="14719301" y="6070600"/>
          <a:ext cx="7407810" cy="1905262"/>
        </a:xfrm>
        <a:prstGeom prst="rect">
          <a:avLst/>
        </a:prstGeom>
      </xdr:spPr>
    </xdr:pic>
    <xdr:clientData/>
  </xdr:twoCellAnchor>
  <xdr:twoCellAnchor>
    <xdr:from>
      <xdr:col>15</xdr:col>
      <xdr:colOff>321469</xdr:colOff>
      <xdr:row>14</xdr:row>
      <xdr:rowOff>9071</xdr:rowOff>
    </xdr:from>
    <xdr:to>
      <xdr:col>15</xdr:col>
      <xdr:colOff>326572</xdr:colOff>
      <xdr:row>25</xdr:row>
      <xdr:rowOff>154781</xdr:rowOff>
    </xdr:to>
    <xdr:cxnSp macro="">
      <xdr:nvCxnSpPr>
        <xdr:cNvPr id="8" name="Connector de fletxa recta 7"/>
        <xdr:cNvCxnSpPr/>
      </xdr:nvCxnSpPr>
      <xdr:spPr>
        <a:xfrm flipH="1">
          <a:off x="18954183" y="3946071"/>
          <a:ext cx="5103" cy="2522424"/>
        </a:xfrm>
        <a:prstGeom prst="straightConnector1">
          <a:avLst/>
        </a:prstGeom>
        <a:ln w="254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16</xdr:col>
      <xdr:colOff>246063</xdr:colOff>
      <xdr:row>0</xdr:row>
      <xdr:rowOff>15876</xdr:rowOff>
    </xdr:from>
    <xdr:to>
      <xdr:col>18</xdr:col>
      <xdr:colOff>20895</xdr:colOff>
      <xdr:row>1</xdr:row>
      <xdr:rowOff>93715</xdr:rowOff>
    </xdr:to>
    <xdr:pic>
      <xdr:nvPicPr>
        <xdr:cNvPr id="9" name="Imatge 8"/>
        <xdr:cNvPicPr>
          <a:picLocks noChangeAspect="1"/>
        </xdr:cNvPicPr>
      </xdr:nvPicPr>
      <xdr:blipFill>
        <a:blip xmlns:r="http://schemas.openxmlformats.org/officeDocument/2006/relationships" r:embed="rId4"/>
        <a:stretch>
          <a:fillRect/>
        </a:stretch>
      </xdr:blipFill>
      <xdr:spPr>
        <a:xfrm>
          <a:off x="20343813" y="15876"/>
          <a:ext cx="1838582" cy="369939"/>
        </a:xfrm>
        <a:prstGeom prst="rect">
          <a:avLst/>
        </a:prstGeom>
      </xdr:spPr>
    </xdr:pic>
    <xdr:clientData/>
  </xdr:twoCellAnchor>
</xdr:wsDr>
</file>

<file path=xl/tables/table1.xml><?xml version="1.0" encoding="utf-8"?>
<table xmlns="http://schemas.openxmlformats.org/spreadsheetml/2006/main" id="1" name="Tabla145152751" displayName="Tabla145152751" ref="B5:H13" totalsRowShown="0" headerRowDxfId="8" dataDxfId="7" headerRowCellStyle="Normal 2" dataCellStyle="Normal 2">
  <autoFilter ref="B5:H13"/>
  <tableColumns count="7">
    <tableColumn id="1" name="ANUALITAT" dataDxfId="6" dataCellStyle="Normal 2"/>
    <tableColumn id="2" name="Columna2" dataDxfId="5" dataCellStyle="Normal 2"/>
    <tableColumn id="3" name="increment" dataDxfId="4" dataCellStyle="Normal 2"/>
    <tableColumn id="4" name="PAGAMENT" dataDxfId="3" dataCellStyle="Normal 2"/>
    <tableColumn id="5" name="COST" dataDxfId="2" dataCellStyle="Normal 2"/>
    <tableColumn id="6" name="diferencia" dataDxfId="1" dataCellStyle="Normal 2"/>
    <tableColumn id="7" name="SUPOSIT increment %" dataDxfId="0"/>
  </tableColumns>
  <tableStyleInfo name="TableStyleLight2" showFirstColumn="0" showLastColumn="0" showRowStripes="1" showColumnStripes="0"/>
</table>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11.bin"/><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customProperty" Target="../customProperty12.bin"/></Relationships>
</file>

<file path=xl/worksheets/_rels/sheet13.xml.rels><?xml version="1.0" encoding="UTF-8" standalone="yes"?>
<Relationships xmlns="http://schemas.openxmlformats.org/package/2006/relationships"><Relationship Id="rId1" Type="http://schemas.openxmlformats.org/officeDocument/2006/relationships/customProperty" Target="../customProperty13.bin"/></Relationships>
</file>

<file path=xl/worksheets/_rels/sheet14.xml.rels><?xml version="1.0" encoding="UTF-8" standalone="yes"?>
<Relationships xmlns="http://schemas.openxmlformats.org/package/2006/relationships"><Relationship Id="rId1" Type="http://schemas.openxmlformats.org/officeDocument/2006/relationships/customProperty" Target="../customProperty14.bin"/></Relationships>
</file>

<file path=xl/worksheets/_rels/sheet15.xml.rels><?xml version="1.0" encoding="UTF-8" standalone="yes"?>
<Relationships xmlns="http://schemas.openxmlformats.org/package/2006/relationships"><Relationship Id="rId1" Type="http://schemas.openxmlformats.org/officeDocument/2006/relationships/customProperty" Target="../customProperty15.bin"/></Relationships>
</file>

<file path=xl/worksheets/_rels/sheet16.xml.rels><?xml version="1.0" encoding="UTF-8" standalone="yes"?>
<Relationships xmlns="http://schemas.openxmlformats.org/package/2006/relationships"><Relationship Id="rId1" Type="http://schemas.openxmlformats.org/officeDocument/2006/relationships/customProperty" Target="../customProperty16.bin"/></Relationships>
</file>

<file path=xl/worksheets/_rels/sheet17.xml.rels><?xml version="1.0" encoding="UTF-8" standalone="yes"?>
<Relationships xmlns="http://schemas.openxmlformats.org/package/2006/relationships"><Relationship Id="rId2" Type="http://schemas.openxmlformats.org/officeDocument/2006/relationships/customProperty" Target="../customProperty17.bin"/><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18.bin"/><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customProperty" Target="../customProperty19.bin"/></Relationships>
</file>

<file path=xl/worksheets/_rels/sheet20.xml.rels><?xml version="1.0" encoding="UTF-8" standalone="yes"?>
<Relationships xmlns="http://schemas.openxmlformats.org/package/2006/relationships"><Relationship Id="rId3" Type="http://schemas.openxmlformats.org/officeDocument/2006/relationships/hyperlink" Target="https://es.targus.com/products/15-6-ecosmart-mobile-tech-traveler-rolling-backpack-black-tbr040gl" TargetMode="External"/><Relationship Id="rId2" Type="http://schemas.openxmlformats.org/officeDocument/2006/relationships/hyperlink" Target="https://www.amazon.es/NGS-Crew-Red-Ordenador-%20Ambidiestro/dp/B08ZNBK4ZV/ref=sr_1_5?__mk_es_ES=%C3%85M%C3%85%C5%BD%C3%95%C3%91&amp;crid=3QQUK6TTRGQ4P&amp;keywords=raton%2Bnilox%2Bcon%2Bcable&amp;qid=1648557960&amp;sprefix=raton%2Bnilox%2Bcon%2Bcable%2Caps%2C97&amp;sr=8-5&amp;th=1" TargetMode="External"/><Relationship Id="rId1" Type="http://schemas.openxmlformats.org/officeDocument/2006/relationships/hyperlink" Target="https://www.onedirect.es/productos/epos/epos-adapt-165-ii" TargetMode="External"/><Relationship Id="rId6" Type="http://schemas.openxmlformats.org/officeDocument/2006/relationships/drawing" Target="../drawings/drawing3.xml"/><Relationship Id="rId5" Type="http://schemas.openxmlformats.org/officeDocument/2006/relationships/customProperty" Target="../customProperty20.bin"/><Relationship Id="rId4"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3" Type="http://schemas.openxmlformats.org/officeDocument/2006/relationships/hyperlink" Target="https://www.amazon.es/gp/product/B089QVZBWM/ref=ppx_yo_dt_b_asin_title_o08_s00?ie=UTF8&amp;psc=1" TargetMode="External"/><Relationship Id="rId2" Type="http://schemas.openxmlformats.org/officeDocument/2006/relationships/hyperlink" Target="https://www.onedirect.es/productos/epos/epos-adapt-165-ii" TargetMode="External"/><Relationship Id="rId1" Type="http://schemas.openxmlformats.org/officeDocument/2006/relationships/hyperlink" Target="https://www.onedirect.es/productos/onedirect/cleyver-hc65-usb-jack?gclid=EAIaIQobChMI86GXhcTX9gIVE9d3Ch0J6AnTEAQYBCABEgJD8_D_BwE" TargetMode="External"/><Relationship Id="rId6" Type="http://schemas.openxmlformats.org/officeDocument/2006/relationships/drawing" Target="../drawings/drawing4.xml"/><Relationship Id="rId5" Type="http://schemas.openxmlformats.org/officeDocument/2006/relationships/printerSettings" Target="../printerSettings/printerSettings15.bin"/><Relationship Id="rId4" Type="http://schemas.openxmlformats.org/officeDocument/2006/relationships/hyperlink" Target="https://www.amazon.es/PC-5-2-QWERTY-Ingl%C3%A9s-Teclado/dp/B07VR16HF9/ref=sr_1_3?__mk_es_ES=%C3%85M%C3%85%C5%BD%C3%95%C3%91&amp;crid=3GM43UHABBBJ8&amp;keywords=EPOS+Adapt+165+II&amp;qid=1648050119&amp;sprefix=epos+adapt+165+ii%2Caps%2C71&amp;sr=8-3" TargetMode="Externa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H9" sqref="H9"/>
    </sheetView>
  </sheetViews>
  <sheetFormatPr defaultColWidth="8.85546875" defaultRowHeight="12.75"/>
  <cols>
    <col min="1" max="1" width="14.5703125" customWidth="1"/>
    <col min="4" max="4" width="13.85546875" customWidth="1"/>
    <col min="5" max="6" width="15.42578125" bestFit="1" customWidth="1"/>
    <col min="7" max="7" width="11.5703125" bestFit="1" customWidth="1"/>
    <col min="8" max="8" width="23.85546875" bestFit="1" customWidth="1"/>
  </cols>
  <sheetData>
    <row r="1" spans="1:8" s="1" customFormat="1">
      <c r="A1" s="1" t="s">
        <v>44</v>
      </c>
    </row>
    <row r="3" spans="1:8" ht="15">
      <c r="B3" s="75" t="s">
        <v>33</v>
      </c>
      <c r="C3" s="75"/>
      <c r="D3" s="75" t="s">
        <v>43</v>
      </c>
      <c r="E3" s="75"/>
      <c r="F3" s="75"/>
      <c r="G3" s="76"/>
      <c r="H3" s="75" t="s">
        <v>34</v>
      </c>
    </row>
    <row r="4" spans="1:8" ht="15">
      <c r="B4" s="77"/>
      <c r="G4" s="9"/>
      <c r="H4" s="78"/>
    </row>
    <row r="5" spans="1:8" ht="15">
      <c r="B5" s="79" t="s">
        <v>35</v>
      </c>
      <c r="C5" s="80" t="s">
        <v>36</v>
      </c>
      <c r="D5" s="81" t="s">
        <v>37</v>
      </c>
      <c r="E5" s="81" t="s">
        <v>38</v>
      </c>
      <c r="F5" s="81" t="s">
        <v>39</v>
      </c>
      <c r="G5" s="82" t="s">
        <v>40</v>
      </c>
      <c r="H5" s="83" t="s">
        <v>41</v>
      </c>
    </row>
    <row r="6" spans="1:8" ht="15">
      <c r="B6" s="79"/>
      <c r="C6" s="80"/>
      <c r="D6" s="81">
        <v>0</v>
      </c>
      <c r="E6" s="81">
        <v>1000</v>
      </c>
      <c r="F6" s="81">
        <v>1000</v>
      </c>
      <c r="G6" s="82">
        <f>+E6-F6</f>
        <v>0</v>
      </c>
      <c r="H6" s="83">
        <v>0</v>
      </c>
    </row>
    <row r="7" spans="1:8" ht="19.5">
      <c r="B7" s="84">
        <v>2019</v>
      </c>
      <c r="C7" s="85"/>
      <c r="D7" s="86">
        <f>(F12-5000)/5/1000</f>
        <v>6.5823508000000031E-2</v>
      </c>
      <c r="E7" s="87">
        <f>+E6+E6*$D$7</f>
        <v>1065.8235079999999</v>
      </c>
      <c r="F7" s="88">
        <f>+F6+F6*H7</f>
        <v>1010</v>
      </c>
      <c r="G7" s="82">
        <f t="shared" ref="G7:G12" si="0">+E7-F7</f>
        <v>55.823507999999947</v>
      </c>
      <c r="H7" s="100">
        <v>0.01</v>
      </c>
    </row>
    <row r="8" spans="1:8" ht="15">
      <c r="B8" s="84">
        <v>2020</v>
      </c>
      <c r="C8" s="85"/>
      <c r="D8" s="89"/>
      <c r="E8" s="87">
        <f>+E7</f>
        <v>1065.8235079999999</v>
      </c>
      <c r="F8" s="88">
        <f>+F7+F7*H8</f>
        <v>1040.3</v>
      </c>
      <c r="G8" s="82">
        <f t="shared" si="0"/>
        <v>25.523507999999993</v>
      </c>
      <c r="H8" s="100">
        <v>0.03</v>
      </c>
    </row>
    <row r="9" spans="1:8" ht="15">
      <c r="B9" s="84">
        <v>2021</v>
      </c>
      <c r="C9" s="85"/>
      <c r="D9" s="90"/>
      <c r="E9" s="87">
        <f>+E7</f>
        <v>1065.8235079999999</v>
      </c>
      <c r="F9" s="88">
        <f>+F8+F8*H9</f>
        <v>1071.509</v>
      </c>
      <c r="G9" s="82">
        <f t="shared" si="0"/>
        <v>-5.6854920000000675</v>
      </c>
      <c r="H9" s="100">
        <v>0.03</v>
      </c>
    </row>
    <row r="10" spans="1:8" ht="15">
      <c r="B10" s="84">
        <v>2022</v>
      </c>
      <c r="C10" s="85"/>
      <c r="D10" s="90"/>
      <c r="E10" s="87">
        <f>+E9</f>
        <v>1065.8235079999999</v>
      </c>
      <c r="F10" s="88">
        <f>+F9+F9*H10</f>
        <v>1103.65427</v>
      </c>
      <c r="G10" s="82">
        <f t="shared" si="0"/>
        <v>-37.83076200000005</v>
      </c>
      <c r="H10" s="100">
        <v>0.03</v>
      </c>
    </row>
    <row r="11" spans="1:8" ht="15">
      <c r="B11" s="84">
        <v>2023</v>
      </c>
      <c r="C11" s="85"/>
      <c r="D11" s="90"/>
      <c r="E11" s="87">
        <f>+E7</f>
        <v>1065.8235079999999</v>
      </c>
      <c r="F11" s="88">
        <f>+F10+F10*H11</f>
        <v>1103.65427</v>
      </c>
      <c r="G11" s="82">
        <f t="shared" si="0"/>
        <v>-37.83076200000005</v>
      </c>
      <c r="H11" s="100">
        <v>0</v>
      </c>
    </row>
    <row r="12" spans="1:8" ht="19.5">
      <c r="B12" s="91" t="s">
        <v>42</v>
      </c>
      <c r="C12" s="92"/>
      <c r="D12" s="93"/>
      <c r="E12" s="94">
        <f>SUM(E7:E11)</f>
        <v>5329.1175399999993</v>
      </c>
      <c r="F12" s="95">
        <f>SUM(F7:F11)</f>
        <v>5329.1175400000002</v>
      </c>
      <c r="G12" s="96">
        <f t="shared" si="0"/>
        <v>0</v>
      </c>
      <c r="H12" s="97"/>
    </row>
    <row r="13" spans="1:8" ht="13.5">
      <c r="B13" s="84"/>
      <c r="C13" s="85"/>
      <c r="D13" s="90"/>
      <c r="E13" s="90"/>
      <c r="F13" s="90"/>
      <c r="G13" s="98"/>
      <c r="H13" s="99"/>
    </row>
  </sheetData>
  <pageMargins left="0.23622047244094491" right="0.23622047244094491" top="0.74803149606299213" bottom="0.74803149606299213" header="0.31496062992125984" footer="0.31496062992125984"/>
  <pageSetup paperSize="9" orientation="landscape" verticalDpi="0" r:id="rId1"/>
  <headerFooter>
    <oddFooter>&amp;L&amp;F&amp;R&amp;A</oddFooter>
  </headerFooter>
  <customProperties>
    <customPr name="EpmWorksheetKeyString_GUID" r:id="rId2"/>
  </customProperties>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O15:Q32"/>
  <sheetViews>
    <sheetView workbookViewId="0">
      <selection activeCell="P43" sqref="P43"/>
    </sheetView>
  </sheetViews>
  <sheetFormatPr defaultColWidth="8.85546875" defaultRowHeight="12.75"/>
  <cols>
    <col min="15" max="15" width="11.5703125" bestFit="1" customWidth="1"/>
    <col min="16" max="16" width="11.5703125" style="5" bestFit="1" customWidth="1"/>
    <col min="17" max="17" width="7.140625" bestFit="1" customWidth="1"/>
  </cols>
  <sheetData>
    <row r="15" spans="15:16">
      <c r="O15" s="5">
        <v>5665.24</v>
      </c>
      <c r="P15" s="5">
        <v>7430.99</v>
      </c>
    </row>
    <row r="16" spans="15:16">
      <c r="O16" s="5">
        <v>13830.84</v>
      </c>
      <c r="P16" s="5">
        <v>18173.32</v>
      </c>
    </row>
    <row r="17" spans="15:17">
      <c r="O17" s="5">
        <v>13579.56</v>
      </c>
      <c r="P17" s="5">
        <v>17775.599999999999</v>
      </c>
    </row>
    <row r="18" spans="15:17">
      <c r="O18" s="5">
        <v>19599.240000000002</v>
      </c>
      <c r="P18" s="5">
        <v>25753.4</v>
      </c>
    </row>
    <row r="19" spans="15:17">
      <c r="O19" s="5">
        <v>20565.240000000002</v>
      </c>
      <c r="P19" s="5">
        <v>27022.73</v>
      </c>
    </row>
    <row r="20" spans="15:17">
      <c r="O20" s="5">
        <v>17205.64</v>
      </c>
      <c r="P20" s="5">
        <v>22608.47</v>
      </c>
    </row>
    <row r="21" spans="15:17">
      <c r="O21" s="5">
        <v>11738.64</v>
      </c>
      <c r="P21" s="5">
        <v>15424.68</v>
      </c>
    </row>
    <row r="22" spans="15:17">
      <c r="O22" s="5">
        <v>19599.240000000002</v>
      </c>
      <c r="P22" s="5">
        <v>25753.4</v>
      </c>
    </row>
    <row r="23" spans="15:17">
      <c r="O23" s="5">
        <v>19599.240000000002</v>
      </c>
      <c r="P23" s="5">
        <v>25753.4</v>
      </c>
    </row>
    <row r="24" spans="15:17">
      <c r="O24" s="5">
        <v>31110.12</v>
      </c>
      <c r="P24" s="5">
        <v>40878.839999999997</v>
      </c>
    </row>
    <row r="25" spans="15:17">
      <c r="O25" s="5">
        <v>13830.84</v>
      </c>
      <c r="P25" s="5">
        <v>18713.72</v>
      </c>
    </row>
    <row r="26" spans="15:17">
      <c r="O26" s="5">
        <v>13830.84</v>
      </c>
      <c r="P26" s="5">
        <v>18713.72</v>
      </c>
    </row>
    <row r="27" spans="15:17">
      <c r="O27" s="5">
        <v>14467.56</v>
      </c>
      <c r="P27" s="5">
        <v>19010.37</v>
      </c>
    </row>
    <row r="28" spans="15:17">
      <c r="O28" s="5">
        <v>5297.04</v>
      </c>
      <c r="P28" s="5">
        <v>6980.31</v>
      </c>
    </row>
    <row r="29" spans="15:17">
      <c r="O29" s="5">
        <v>13037.64</v>
      </c>
      <c r="P29" s="5">
        <v>17066.28</v>
      </c>
    </row>
    <row r="30" spans="15:17">
      <c r="O30" s="5">
        <v>15521.04</v>
      </c>
      <c r="P30" s="5">
        <v>20394.650000000001</v>
      </c>
    </row>
    <row r="31" spans="15:17">
      <c r="O31" s="2">
        <f>SUM(O15:O30)</f>
        <v>248477.96</v>
      </c>
      <c r="P31" s="2">
        <f>SUM(P15:P30)</f>
        <v>327453.88</v>
      </c>
      <c r="Q31" s="4">
        <f>P31/O31-1</f>
        <v>0.31783873306107324</v>
      </c>
    </row>
    <row r="32" spans="15:17">
      <c r="Q32" s="5"/>
    </row>
  </sheetData>
  <pageMargins left="0.70866141732283472" right="0.70866141732283472" top="0.74803149606299213" bottom="0.74803149606299213" header="0.31496062992125984" footer="0.31496062992125984"/>
  <pageSetup paperSize="9" scale="86" orientation="landscape" verticalDpi="0"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zoomScale="130" zoomScaleNormal="130" workbookViewId="0">
      <selection activeCell="G20" sqref="G20"/>
    </sheetView>
  </sheetViews>
  <sheetFormatPr defaultColWidth="8.85546875" defaultRowHeight="12.75"/>
  <cols>
    <col min="1" max="1" width="6.5703125" customWidth="1"/>
    <col min="2" max="2" width="7" hidden="1" customWidth="1"/>
    <col min="3" max="4" width="5.5703125" hidden="1" customWidth="1"/>
    <col min="5" max="5" width="38.140625" bestFit="1" customWidth="1"/>
    <col min="6" max="6" width="12.85546875" bestFit="1" customWidth="1"/>
    <col min="7" max="7" width="12" customWidth="1"/>
    <col min="8" max="8" width="13.140625" bestFit="1" customWidth="1"/>
    <col min="9" max="9" width="8.85546875" customWidth="1"/>
    <col min="10" max="10" width="11.5703125" bestFit="1" customWidth="1"/>
  </cols>
  <sheetData>
    <row r="1" spans="1:10">
      <c r="A1" s="476"/>
      <c r="B1" s="476"/>
      <c r="C1" s="476"/>
      <c r="D1" s="476"/>
      <c r="E1" s="476"/>
      <c r="F1" s="476"/>
      <c r="G1" s="476"/>
      <c r="H1" s="476"/>
    </row>
    <row r="2" spans="1:10" ht="13.5" thickBot="1">
      <c r="A2" s="128"/>
      <c r="B2" s="128"/>
      <c r="C2" s="128"/>
      <c r="D2" s="128"/>
      <c r="E2" s="129"/>
      <c r="F2" s="129"/>
      <c r="G2" s="130"/>
      <c r="H2" s="131"/>
      <c r="I2" s="129"/>
    </row>
    <row r="3" spans="1:10" ht="13.5" thickBot="1">
      <c r="A3" s="128"/>
      <c r="B3" s="7"/>
      <c r="C3" s="7"/>
      <c r="D3" s="7"/>
      <c r="E3" s="101"/>
      <c r="F3" s="102" t="s">
        <v>46</v>
      </c>
      <c r="G3" s="138">
        <v>2022</v>
      </c>
      <c r="H3" s="139" t="s">
        <v>45</v>
      </c>
      <c r="I3" s="129"/>
    </row>
    <row r="4" spans="1:10" ht="15.75" thickBot="1">
      <c r="A4" s="128"/>
      <c r="B4" s="208"/>
      <c r="C4" s="208"/>
      <c r="D4" s="209"/>
      <c r="E4" s="142" t="s">
        <v>75</v>
      </c>
      <c r="F4" s="211" t="e">
        <f>#REF!*(1+#REF!+#REF!)</f>
        <v>#REF!</v>
      </c>
      <c r="G4" s="105" t="e">
        <f>F4*#REF!</f>
        <v>#REF!</v>
      </c>
      <c r="H4" s="119" t="e">
        <f>SUM(G4:G4)</f>
        <v>#REF!</v>
      </c>
      <c r="I4" s="129"/>
    </row>
    <row r="5" spans="1:10" ht="21.75" thickBot="1">
      <c r="A5" s="128"/>
      <c r="B5" s="140" t="s">
        <v>51</v>
      </c>
      <c r="C5" s="140">
        <v>2023</v>
      </c>
      <c r="D5" s="140">
        <v>2024</v>
      </c>
      <c r="E5" s="142" t="s">
        <v>76</v>
      </c>
      <c r="F5" s="211" t="e">
        <f>#REF!*(1+#REF!+#REF!)</f>
        <v>#REF!</v>
      </c>
      <c r="G5" s="105" t="e">
        <f>F5*#REF!</f>
        <v>#REF!</v>
      </c>
      <c r="H5" s="119" t="e">
        <f>SUM(G5:G5)</f>
        <v>#REF!</v>
      </c>
      <c r="I5" s="129"/>
    </row>
    <row r="6" spans="1:10" ht="15.75" thickBot="1">
      <c r="A6" s="128"/>
      <c r="B6" s="141">
        <v>3</v>
      </c>
      <c r="C6" s="141">
        <v>10</v>
      </c>
      <c r="D6" s="141">
        <v>7</v>
      </c>
      <c r="E6" s="142" t="s">
        <v>77</v>
      </c>
      <c r="F6" s="211" t="e">
        <f>#REF!*(1+#REF!+#REF!)</f>
        <v>#REF!</v>
      </c>
      <c r="G6" s="105" t="e">
        <f>F6*#REF!</f>
        <v>#REF!</v>
      </c>
      <c r="H6" s="119" t="e">
        <f>SUM(G6:G6)</f>
        <v>#REF!</v>
      </c>
      <c r="I6" s="129"/>
    </row>
    <row r="7" spans="1:10" ht="15.75" thickBot="1">
      <c r="A7" s="128"/>
      <c r="B7" s="141">
        <v>5</v>
      </c>
      <c r="C7" s="141">
        <v>15</v>
      </c>
      <c r="D7" s="141">
        <v>10</v>
      </c>
      <c r="E7" s="142" t="s">
        <v>78</v>
      </c>
      <c r="F7" s="211" t="e">
        <f>#REF!*(1+#REF!+#REF!)</f>
        <v>#REF!</v>
      </c>
      <c r="G7" s="105" t="e">
        <f>F7*#REF!</f>
        <v>#REF!</v>
      </c>
      <c r="H7" s="119" t="e">
        <f>SUM(G7:G7)</f>
        <v>#REF!</v>
      </c>
      <c r="I7" s="133"/>
    </row>
    <row r="8" spans="1:10" ht="15.75" thickBot="1">
      <c r="A8" s="128"/>
      <c r="B8" s="210"/>
      <c r="C8" s="210"/>
      <c r="D8" s="210"/>
      <c r="E8" s="214" t="s">
        <v>74</v>
      </c>
      <c r="F8" s="103"/>
      <c r="G8" s="135" t="e">
        <f>SUM(G4:G7)</f>
        <v>#REF!</v>
      </c>
      <c r="H8" s="136" t="e">
        <f>SUM(H4:H7)</f>
        <v>#REF!</v>
      </c>
      <c r="I8" s="133"/>
      <c r="J8" s="6"/>
    </row>
    <row r="9" spans="1:10" ht="15.75" thickBot="1">
      <c r="A9" s="128"/>
      <c r="B9" s="106"/>
      <c r="C9" s="106"/>
      <c r="D9" s="106"/>
      <c r="E9" s="104"/>
      <c r="F9" s="107"/>
      <c r="G9" s="107"/>
      <c r="H9" s="108"/>
      <c r="I9" s="129"/>
    </row>
    <row r="10" spans="1:10" ht="13.5" thickBot="1">
      <c r="A10" s="128"/>
      <c r="B10" s="7"/>
      <c r="C10" s="7"/>
      <c r="D10" s="7"/>
      <c r="E10" s="109" t="s">
        <v>47</v>
      </c>
      <c r="F10" s="109"/>
      <c r="G10" s="110" t="e">
        <f>G8</f>
        <v>#REF!</v>
      </c>
      <c r="H10" s="120" t="e">
        <f>H8</f>
        <v>#REF!</v>
      </c>
      <c r="I10" s="129"/>
    </row>
    <row r="11" spans="1:10" ht="13.5" thickBot="1">
      <c r="A11" s="128"/>
      <c r="B11" s="7"/>
      <c r="C11" s="7"/>
      <c r="D11" s="7"/>
      <c r="E11" s="111" t="s">
        <v>79</v>
      </c>
      <c r="F11" s="112"/>
      <c r="G11" s="113" t="e">
        <f>G10*#REF!</f>
        <v>#REF!</v>
      </c>
      <c r="H11" s="121" t="e">
        <f>H10*#REF!</f>
        <v>#REF!</v>
      </c>
      <c r="I11" s="129"/>
    </row>
    <row r="12" spans="1:10" ht="13.5" thickBot="1">
      <c r="A12" s="128"/>
      <c r="B12" s="7"/>
      <c r="C12" s="7"/>
      <c r="D12" s="7"/>
      <c r="E12" s="114" t="s">
        <v>48</v>
      </c>
      <c r="F12" s="114"/>
      <c r="G12" s="115" t="e">
        <f t="shared" ref="G12" si="0">SUM(G10:G11)</f>
        <v>#REF!</v>
      </c>
      <c r="H12" s="116" t="e">
        <f>SUM(H10:H11)</f>
        <v>#REF!</v>
      </c>
      <c r="I12" s="129"/>
    </row>
    <row r="13" spans="1:10" s="118" customFormat="1">
      <c r="A13" s="129"/>
      <c r="B13" s="129"/>
      <c r="C13" s="129"/>
      <c r="D13" s="129"/>
      <c r="E13" s="129"/>
      <c r="F13" s="129"/>
      <c r="G13" s="129"/>
      <c r="H13" s="129"/>
      <c r="I13" s="129"/>
      <c r="J13"/>
    </row>
    <row r="19" spans="1:10" s="18" customFormat="1" ht="38.25">
      <c r="A19"/>
      <c r="B19"/>
      <c r="C19"/>
      <c r="D19"/>
      <c r="G19" s="143">
        <v>2022</v>
      </c>
      <c r="H19" s="144" t="s">
        <v>3</v>
      </c>
      <c r="I19"/>
      <c r="J19"/>
    </row>
    <row r="20" spans="1:10" s="8" customFormat="1">
      <c r="A20"/>
      <c r="B20"/>
      <c r="C20"/>
      <c r="D20"/>
      <c r="E20" s="122" t="s">
        <v>80</v>
      </c>
      <c r="F20" s="122"/>
      <c r="G20" s="10" t="e">
        <f>G10*#REF!</f>
        <v>#REF!</v>
      </c>
      <c r="H20" s="15" t="e">
        <f>SUM(G20:G20)</f>
        <v>#REF!</v>
      </c>
      <c r="I20"/>
      <c r="J20"/>
    </row>
    <row r="21" spans="1:10" s="8" customFormat="1">
      <c r="A21"/>
      <c r="B21"/>
      <c r="C21"/>
      <c r="D21"/>
      <c r="E21" s="123" t="s">
        <v>0</v>
      </c>
      <c r="F21" s="122"/>
      <c r="G21" s="13" t="e">
        <f>SUM(G20:G20)</f>
        <v>#REF!</v>
      </c>
      <c r="H21" s="16" t="e">
        <f>SUM(H20:H20)+0.001</f>
        <v>#REF!</v>
      </c>
      <c r="I21"/>
      <c r="J21"/>
    </row>
    <row r="22" spans="1:10" s="8" customFormat="1">
      <c r="A22"/>
      <c r="B22"/>
      <c r="C22"/>
      <c r="D22"/>
      <c r="E22" s="124"/>
      <c r="F22" s="117"/>
      <c r="G22" s="11"/>
      <c r="H22" s="125"/>
      <c r="I22"/>
      <c r="J22"/>
    </row>
    <row r="23" spans="1:10" s="8" customFormat="1">
      <c r="A23"/>
      <c r="B23"/>
      <c r="C23"/>
      <c r="D23"/>
      <c r="E23" s="122" t="s">
        <v>49</v>
      </c>
      <c r="F23" s="122"/>
      <c r="G23" s="10" t="e">
        <f>G10*#REF!</f>
        <v>#REF!</v>
      </c>
      <c r="H23" s="15" t="e">
        <f>SUM(G23:G23)</f>
        <v>#REF!</v>
      </c>
      <c r="I23"/>
      <c r="J23"/>
    </row>
    <row r="24" spans="1:10" s="8" customFormat="1">
      <c r="A24"/>
      <c r="B24"/>
      <c r="C24"/>
      <c r="D24"/>
      <c r="E24" s="122" t="s">
        <v>50</v>
      </c>
      <c r="F24" s="122"/>
      <c r="G24" s="10" t="e">
        <f>G10*#REF!</f>
        <v>#REF!</v>
      </c>
      <c r="H24" s="15" t="e">
        <f>SUM(G24:G24)</f>
        <v>#REF!</v>
      </c>
      <c r="I24"/>
      <c r="J24"/>
    </row>
    <row r="25" spans="1:10" s="8" customFormat="1">
      <c r="E25" s="122"/>
      <c r="F25" s="122"/>
      <c r="G25" s="10"/>
      <c r="H25" s="15"/>
      <c r="I25"/>
      <c r="J25"/>
    </row>
    <row r="26" spans="1:10" s="8" customFormat="1">
      <c r="E26" s="123" t="s">
        <v>1</v>
      </c>
      <c r="F26" s="123"/>
      <c r="G26" s="13" t="e">
        <f>SUM(G23:G24)+0.001</f>
        <v>#REF!</v>
      </c>
      <c r="H26" s="16" t="e">
        <f>SUM(H23:H24)</f>
        <v>#REF!</v>
      </c>
      <c r="I26"/>
      <c r="J26"/>
    </row>
    <row r="27" spans="1:10" s="12" customFormat="1">
      <c r="E27" s="124"/>
      <c r="F27" s="117"/>
      <c r="G27" s="11"/>
      <c r="H27" s="125"/>
      <c r="I27"/>
      <c r="J27"/>
    </row>
    <row r="28" spans="1:10">
      <c r="E28" s="477" t="s">
        <v>2</v>
      </c>
      <c r="F28" s="477"/>
      <c r="G28" s="137" t="e">
        <f>ROUND(G21+G26,2)</f>
        <v>#REF!</v>
      </c>
      <c r="H28" s="17" t="e">
        <f>ROUND(H21+H26,2)</f>
        <v>#REF!</v>
      </c>
    </row>
    <row r="29" spans="1:10" ht="14.25">
      <c r="E29" s="130"/>
      <c r="F29" s="134"/>
      <c r="G29" s="132"/>
      <c r="H29" s="130"/>
    </row>
    <row r="30" spans="1:10">
      <c r="E30" s="8"/>
      <c r="F30" s="14"/>
      <c r="G30" s="14"/>
      <c r="H30" s="14"/>
    </row>
    <row r="31" spans="1:10">
      <c r="E31" s="8"/>
      <c r="F31" s="14"/>
      <c r="G31" s="14"/>
      <c r="H31" s="14"/>
    </row>
    <row r="39" spans="5:8" ht="14.25">
      <c r="E39" s="8"/>
      <c r="F39" s="14"/>
      <c r="G39" s="126"/>
      <c r="H39" s="127"/>
    </row>
  </sheetData>
  <mergeCells count="2">
    <mergeCell ref="A1:H1"/>
    <mergeCell ref="E28:F28"/>
  </mergeCells>
  <pageMargins left="0.70866141732283472" right="0.70866141732283472" top="0.74803149606299213" bottom="0.74803149606299213" header="0.31496062992125984" footer="0.31496062992125984"/>
  <pageSetup paperSize="9" scale="87" orientation="landscape" r:id="rId1"/>
  <headerFooter>
    <oddFooter>&amp;L&amp;F&amp;R&amp;A</oddFooter>
  </headerFooter>
  <customProperties>
    <customPr name="EpmWorksheetKeyString_GUI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31"/>
  <sheetViews>
    <sheetView workbookViewId="0">
      <selection activeCell="G34" sqref="G34"/>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0.140625" style="146" bestFit="1" customWidth="1"/>
    <col min="8" max="9" width="14.42578125" style="147" customWidth="1"/>
    <col min="10" max="10" width="21.42578125" style="148" customWidth="1"/>
    <col min="11" max="11" width="19.85546875" style="148" customWidth="1"/>
    <col min="12" max="16384" width="11.42578125" style="148"/>
  </cols>
  <sheetData>
    <row r="1" spans="2:11">
      <c r="B1" s="240" t="s">
        <v>82</v>
      </c>
    </row>
    <row r="2" spans="2:11" ht="15.75" thickBot="1">
      <c r="B2" s="149"/>
      <c r="D2" s="149"/>
      <c r="E2" s="149"/>
      <c r="F2" s="149"/>
      <c r="G2" s="149"/>
      <c r="H2" s="150"/>
      <c r="I2" s="150"/>
    </row>
    <row r="3" spans="2:11" s="157" customFormat="1" ht="63.75" thickBot="1">
      <c r="B3" s="151" t="s">
        <v>73</v>
      </c>
      <c r="C3" s="152" t="s">
        <v>52</v>
      </c>
      <c r="D3" s="152" t="s">
        <v>53</v>
      </c>
      <c r="E3" s="153" t="s">
        <v>54</v>
      </c>
      <c r="F3" s="153" t="s">
        <v>55</v>
      </c>
      <c r="G3" s="238"/>
      <c r="H3" s="154" t="s">
        <v>56</v>
      </c>
      <c r="I3" s="155" t="s">
        <v>57</v>
      </c>
      <c r="J3" s="156" t="s">
        <v>58</v>
      </c>
      <c r="K3" s="156" t="s">
        <v>59</v>
      </c>
    </row>
    <row r="4" spans="2:11">
      <c r="B4" s="158" t="s">
        <v>72</v>
      </c>
      <c r="C4" s="159" t="s">
        <v>65</v>
      </c>
      <c r="D4" s="207">
        <v>1600</v>
      </c>
      <c r="E4" s="160">
        <v>32.28</v>
      </c>
      <c r="F4" s="195">
        <f t="shared" ref="F4:F5" si="0">D4*E4</f>
        <v>51648</v>
      </c>
      <c r="G4" s="226">
        <f t="shared" ref="G4:G9" si="1">F4/$F$28</f>
        <v>0.423122383160142</v>
      </c>
      <c r="H4" s="161"/>
      <c r="I4" s="162">
        <f t="shared" ref="I4" si="2">D4*H4</f>
        <v>0</v>
      </c>
      <c r="J4" s="163"/>
      <c r="K4" s="163"/>
    </row>
    <row r="5" spans="2:11">
      <c r="B5" s="158" t="s">
        <v>71</v>
      </c>
      <c r="C5" s="159" t="s">
        <v>65</v>
      </c>
      <c r="D5" s="207">
        <v>1600</v>
      </c>
      <c r="E5" s="160">
        <v>4.7300000000000004</v>
      </c>
      <c r="F5" s="195">
        <f t="shared" si="0"/>
        <v>7568.0000000000009</v>
      </c>
      <c r="G5" s="227">
        <f t="shared" si="1"/>
        <v>6.200027485586964E-2</v>
      </c>
      <c r="H5" s="161"/>
      <c r="I5" s="162"/>
      <c r="J5" s="163"/>
      <c r="K5" s="163"/>
    </row>
    <row r="6" spans="2:11">
      <c r="B6" s="164" t="s">
        <v>63</v>
      </c>
      <c r="C6" s="159" t="s">
        <v>65</v>
      </c>
      <c r="D6" s="207">
        <v>1600</v>
      </c>
      <c r="E6" s="160">
        <v>29.51</v>
      </c>
      <c r="F6" s="195">
        <f>D6*E6</f>
        <v>47216</v>
      </c>
      <c r="G6" s="227">
        <f t="shared" si="1"/>
        <v>0.38681355412192664</v>
      </c>
      <c r="H6" s="161"/>
      <c r="I6" s="162">
        <f>D6*H6</f>
        <v>0</v>
      </c>
      <c r="J6" s="163"/>
      <c r="K6" s="163"/>
    </row>
    <row r="7" spans="2:11">
      <c r="B7" s="164" t="s">
        <v>83</v>
      </c>
      <c r="C7" s="159" t="s">
        <v>65</v>
      </c>
      <c r="D7" s="207">
        <v>1600</v>
      </c>
      <c r="E7" s="160">
        <v>2</v>
      </c>
      <c r="F7" s="195">
        <f>D7*E7</f>
        <v>3200</v>
      </c>
      <c r="G7" s="228">
        <f t="shared" si="1"/>
        <v>2.6215761038422679E-2</v>
      </c>
      <c r="H7" s="161"/>
      <c r="I7" s="162">
        <f>D7*H7</f>
        <v>0</v>
      </c>
      <c r="J7" s="163"/>
      <c r="K7" s="163"/>
    </row>
    <row r="8" spans="2:11">
      <c r="B8" s="164" t="s">
        <v>67</v>
      </c>
      <c r="C8" s="159" t="s">
        <v>65</v>
      </c>
      <c r="D8" s="207">
        <v>25</v>
      </c>
      <c r="E8" s="160">
        <v>51.41</v>
      </c>
      <c r="F8" s="195">
        <f>D8*E8</f>
        <v>1285.25</v>
      </c>
      <c r="G8" s="228">
        <f t="shared" si="1"/>
        <v>1.0529314648322734E-2</v>
      </c>
      <c r="H8" s="161"/>
      <c r="I8" s="162">
        <f>D8*H8</f>
        <v>0</v>
      </c>
      <c r="J8" s="163"/>
      <c r="K8" s="163"/>
    </row>
    <row r="9" spans="2:11">
      <c r="B9" s="164" t="s">
        <v>84</v>
      </c>
      <c r="C9" s="159" t="s">
        <v>65</v>
      </c>
      <c r="D9" s="207">
        <v>25</v>
      </c>
      <c r="E9" s="160">
        <v>2</v>
      </c>
      <c r="F9" s="195">
        <f>D9*E9</f>
        <v>50</v>
      </c>
      <c r="G9" s="228">
        <f t="shared" si="1"/>
        <v>4.0962126622535436E-4</v>
      </c>
      <c r="H9" s="161"/>
      <c r="I9" s="162">
        <f>D9*H9</f>
        <v>0</v>
      </c>
      <c r="J9" s="163"/>
      <c r="K9" s="163"/>
    </row>
    <row r="10" spans="2:11" ht="15.75" thickBot="1">
      <c r="B10" s="190"/>
      <c r="C10" s="191"/>
      <c r="D10" s="192"/>
      <c r="E10" s="193"/>
      <c r="F10" s="196"/>
      <c r="G10" s="196"/>
      <c r="H10" s="193"/>
      <c r="I10" s="193"/>
      <c r="J10" s="193"/>
      <c r="K10" s="193"/>
    </row>
    <row r="11" spans="2:11" ht="16.5" thickBot="1">
      <c r="B11" s="165" t="s">
        <v>64</v>
      </c>
      <c r="C11" s="212"/>
      <c r="D11" s="166"/>
      <c r="E11" s="166"/>
      <c r="F11" s="197">
        <f>SUM(F4:F9)</f>
        <v>110967.25</v>
      </c>
      <c r="G11" s="225">
        <f>F11/$F$28</f>
        <v>0.90909090909090906</v>
      </c>
      <c r="H11" s="167">
        <f>SUM(H4:H6)</f>
        <v>0</v>
      </c>
      <c r="I11" s="167">
        <f>SUM(I4:I6)</f>
        <v>0</v>
      </c>
    </row>
    <row r="12" spans="2:11" ht="15.75">
      <c r="B12" s="165"/>
      <c r="C12" s="212"/>
      <c r="D12" s="166"/>
      <c r="E12" s="166"/>
      <c r="F12" s="198"/>
      <c r="G12" s="230"/>
      <c r="H12" s="189"/>
      <c r="I12" s="189"/>
    </row>
    <row r="13" spans="2:11" ht="15.75">
      <c r="B13" s="165" t="s">
        <v>86</v>
      </c>
      <c r="C13" s="212"/>
      <c r="D13" s="166">
        <v>1</v>
      </c>
      <c r="E13" s="166">
        <v>500</v>
      </c>
      <c r="F13" s="198"/>
      <c r="G13" s="230"/>
      <c r="H13" s="189"/>
      <c r="I13" s="189"/>
    </row>
    <row r="14" spans="2:11" ht="15.75">
      <c r="B14" s="165" t="s">
        <v>87</v>
      </c>
      <c r="C14" s="212"/>
      <c r="D14" s="166">
        <v>1</v>
      </c>
      <c r="E14" s="166">
        <v>500</v>
      </c>
      <c r="F14" s="198"/>
      <c r="G14" s="230"/>
      <c r="H14" s="189"/>
      <c r="I14" s="189"/>
    </row>
    <row r="15" spans="2:11" ht="15.75">
      <c r="B15" s="165"/>
      <c r="C15" s="212"/>
      <c r="D15" s="166"/>
      <c r="E15" s="166"/>
      <c r="F15" s="198"/>
      <c r="G15" s="230"/>
      <c r="H15" s="189"/>
      <c r="I15" s="189"/>
    </row>
    <row r="16" spans="2:11" ht="15.75">
      <c r="B16" s="165" t="s">
        <v>88</v>
      </c>
      <c r="C16" s="212"/>
      <c r="D16" s="166"/>
      <c r="E16" s="166"/>
      <c r="F16" s="198"/>
      <c r="G16" s="230"/>
      <c r="H16" s="189"/>
      <c r="I16" s="189"/>
    </row>
    <row r="17" spans="2:10" ht="15.75">
      <c r="B17" s="165"/>
      <c r="C17" s="212"/>
      <c r="D17" s="166"/>
      <c r="E17" s="166"/>
      <c r="F17" s="198"/>
      <c r="G17" s="230"/>
      <c r="H17" s="189"/>
      <c r="I17" s="189"/>
    </row>
    <row r="18" spans="2:10" ht="15.75">
      <c r="B18" s="148" t="s">
        <v>89</v>
      </c>
      <c r="C18" s="212"/>
      <c r="D18" s="166">
        <v>1</v>
      </c>
      <c r="E18" s="160">
        <v>650</v>
      </c>
      <c r="F18" s="198"/>
      <c r="G18" s="230"/>
      <c r="H18" s="189"/>
      <c r="I18" s="189"/>
    </row>
    <row r="19" spans="2:10" ht="15.75">
      <c r="B19" s="190"/>
      <c r="C19" s="191"/>
      <c r="D19" s="192"/>
      <c r="E19" s="193"/>
      <c r="F19" s="196"/>
      <c r="G19" s="196"/>
      <c r="H19" s="189"/>
      <c r="I19" s="189"/>
    </row>
    <row r="20" spans="2:10" ht="15.75">
      <c r="B20" s="216" t="s">
        <v>69</v>
      </c>
      <c r="C20" s="217"/>
      <c r="D20" s="218"/>
      <c r="E20" s="219"/>
      <c r="F20" s="220">
        <f>F11</f>
        <v>110967.25</v>
      </c>
      <c r="G20" s="229">
        <f>F20/$F$28</f>
        <v>0.90909090909090906</v>
      </c>
      <c r="H20" s="189"/>
      <c r="I20" s="189"/>
    </row>
    <row r="21" spans="2:10" ht="15.75">
      <c r="B21" s="165"/>
      <c r="C21" s="212"/>
      <c r="D21" s="166"/>
      <c r="E21" s="188"/>
      <c r="F21" s="198"/>
      <c r="G21" s="199"/>
      <c r="H21" s="189"/>
      <c r="I21" s="189"/>
    </row>
    <row r="22" spans="2:10" ht="15.75">
      <c r="B22" s="165" t="s">
        <v>68</v>
      </c>
      <c r="C22" s="213">
        <v>0.06</v>
      </c>
      <c r="E22" s="188"/>
      <c r="F22" s="199">
        <f>F20*C22</f>
        <v>6658.0349999999999</v>
      </c>
      <c r="G22" s="230">
        <f>F22/$F$28</f>
        <v>5.4545454545454543E-2</v>
      </c>
      <c r="H22" s="189"/>
      <c r="I22" s="189"/>
    </row>
    <row r="23" spans="2:10" ht="15.75">
      <c r="B23" s="165"/>
      <c r="C23" s="212"/>
      <c r="E23" s="188"/>
      <c r="F23" s="198"/>
      <c r="G23" s="199"/>
      <c r="H23" s="189"/>
      <c r="I23" s="189"/>
    </row>
    <row r="24" spans="2:10">
      <c r="B24" s="146" t="s">
        <v>50</v>
      </c>
      <c r="C24" s="213">
        <v>0.04</v>
      </c>
      <c r="F24" s="202">
        <f>F20*C24</f>
        <v>4438.6900000000005</v>
      </c>
      <c r="G24" s="230">
        <f>F24/$F$28</f>
        <v>3.6363636363636369E-2</v>
      </c>
    </row>
    <row r="25" spans="2:10">
      <c r="D25" s="194"/>
      <c r="F25" s="202"/>
      <c r="G25" s="215"/>
    </row>
    <row r="26" spans="2:10" ht="15.75">
      <c r="B26" s="221" t="s">
        <v>70</v>
      </c>
      <c r="C26" s="222"/>
      <c r="D26" s="221"/>
      <c r="E26" s="221"/>
      <c r="F26" s="223">
        <f>F22+F24</f>
        <v>11096.725</v>
      </c>
      <c r="G26" s="229">
        <f>F26/$F$28</f>
        <v>9.0909090909090912E-2</v>
      </c>
    </row>
    <row r="27" spans="2:10" ht="16.5" thickBot="1">
      <c r="D27" s="145"/>
      <c r="E27" s="145"/>
      <c r="F27" s="203"/>
      <c r="G27" s="231"/>
      <c r="H27" s="168"/>
      <c r="I27" s="168"/>
      <c r="J27" s="169"/>
    </row>
    <row r="28" spans="2:10" ht="15.75" customHeight="1">
      <c r="B28" s="182" t="s">
        <v>60</v>
      </c>
      <c r="C28" s="235"/>
      <c r="D28" s="183"/>
      <c r="E28" s="170"/>
      <c r="F28" s="204">
        <f>F20+F22+F24</f>
        <v>122063.97500000001</v>
      </c>
      <c r="G28" s="232">
        <f>F28/$F$28</f>
        <v>1</v>
      </c>
      <c r="H28" s="171">
        <f>H11</f>
        <v>0</v>
      </c>
      <c r="I28" s="172">
        <f>I11</f>
        <v>0</v>
      </c>
    </row>
    <row r="29" spans="2:10" ht="15.75" customHeight="1">
      <c r="B29" s="184" t="s">
        <v>61</v>
      </c>
      <c r="C29" s="237">
        <v>0.21</v>
      </c>
      <c r="D29" s="185"/>
      <c r="E29" s="173"/>
      <c r="F29" s="205">
        <f>F28*C29</f>
        <v>25633.43475</v>
      </c>
      <c r="G29" s="233"/>
      <c r="H29" s="174">
        <f>H28*21/100</f>
        <v>0</v>
      </c>
      <c r="I29" s="175">
        <f>I28*21/100</f>
        <v>0</v>
      </c>
    </row>
    <row r="30" spans="2:10" ht="16.5" customHeight="1" thickBot="1">
      <c r="B30" s="186" t="s">
        <v>62</v>
      </c>
      <c r="C30" s="236"/>
      <c r="D30" s="187"/>
      <c r="E30" s="176"/>
      <c r="F30" s="206">
        <f>SUM(F28,F29)</f>
        <v>147697.40974999999</v>
      </c>
      <c r="G30" s="234"/>
      <c r="H30" s="177">
        <f>SUM(H28,H29)</f>
        <v>0</v>
      </c>
      <c r="I30" s="178">
        <f>SUM(I28,I29)</f>
        <v>0</v>
      </c>
    </row>
    <row r="31" spans="2:10" ht="15.75">
      <c r="B31" s="179"/>
      <c r="C31" s="179"/>
      <c r="D31" s="179"/>
      <c r="E31" s="180"/>
      <c r="F31" s="180"/>
      <c r="G31" s="239"/>
      <c r="H31" s="181"/>
      <c r="I31" s="181"/>
    </row>
  </sheetData>
  <pageMargins left="0.7" right="0.7" top="0.75" bottom="0.75" header="0.3" footer="0.3"/>
  <pageSetup paperSize="9" scale="55" orientation="landscape" r:id="rId1"/>
  <customProperties>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zoomScale="130" zoomScaleNormal="130" workbookViewId="0">
      <selection activeCell="C6" sqref="C6"/>
    </sheetView>
  </sheetViews>
  <sheetFormatPr defaultColWidth="8.85546875" defaultRowHeight="12.75"/>
  <cols>
    <col min="1" max="1" width="6.5703125" customWidth="1"/>
    <col min="2" max="2" width="38.140625" bestFit="1" customWidth="1"/>
    <col min="3" max="3" width="12.85546875" bestFit="1" customWidth="1"/>
    <col min="4" max="4" width="12" customWidth="1"/>
    <col min="5" max="5" width="13.140625" bestFit="1" customWidth="1"/>
    <col min="6" max="6" width="8.85546875" customWidth="1"/>
    <col min="7" max="7" width="11.5703125" bestFit="1" customWidth="1"/>
    <col min="10" max="10" width="9.5703125" bestFit="1" customWidth="1"/>
  </cols>
  <sheetData>
    <row r="1" spans="1:10">
      <c r="A1" s="476"/>
      <c r="B1" s="476"/>
      <c r="C1" s="476"/>
      <c r="D1" s="476"/>
      <c r="E1" s="476"/>
    </row>
    <row r="2" spans="1:10" ht="13.5" thickBot="1">
      <c r="A2" s="128"/>
      <c r="B2" s="129"/>
      <c r="C2" s="129"/>
      <c r="D2" s="130"/>
      <c r="E2" s="131"/>
      <c r="F2" s="129"/>
    </row>
    <row r="3" spans="1:10" ht="13.5" thickBot="1">
      <c r="A3" s="128"/>
      <c r="B3" s="101"/>
      <c r="C3" s="102" t="s">
        <v>46</v>
      </c>
      <c r="D3" s="138">
        <v>2022</v>
      </c>
      <c r="E3" s="139" t="s">
        <v>45</v>
      </c>
      <c r="F3" s="129"/>
    </row>
    <row r="4" spans="1:10" ht="15.75" thickBot="1">
      <c r="A4" s="128"/>
      <c r="B4" s="142" t="s">
        <v>75</v>
      </c>
      <c r="C4" s="211">
        <f>'KIT 2 AMB PACK'!E4*(1+'KIT 2 AMB PACK'!$C$22+'KIT 2 AMB PACK'!$C$24)</f>
        <v>35.508000000000003</v>
      </c>
      <c r="D4" s="105">
        <f>C4*'KIT 2 AMB PACK'!D4</f>
        <v>56812.800000000003</v>
      </c>
      <c r="E4" s="119">
        <f>SUM(D4:D4)</f>
        <v>56812.800000000003</v>
      </c>
      <c r="F4" s="129"/>
    </row>
    <row r="5" spans="1:10" ht="15.75" thickBot="1">
      <c r="A5" s="128"/>
      <c r="B5" s="142" t="s">
        <v>76</v>
      </c>
      <c r="C5" s="211">
        <f>'KIT 2 AMB PACK'!E5*(1+'KIT 2 AMB PACK'!$C$22+'KIT 2 AMB PACK'!$C$24)</f>
        <v>5.2030000000000012</v>
      </c>
      <c r="D5" s="105">
        <f>C5*'KIT 2 AMB PACK'!D5</f>
        <v>8324.8000000000011</v>
      </c>
      <c r="E5" s="119">
        <f>SUM(D5:D5)</f>
        <v>8324.8000000000011</v>
      </c>
      <c r="F5" s="129"/>
    </row>
    <row r="6" spans="1:10" ht="15.75" thickBot="1">
      <c r="A6" s="128"/>
      <c r="B6" s="142" t="s">
        <v>81</v>
      </c>
      <c r="C6" s="211">
        <f>('KIT 2 AMB PACK'!E6+'KIT 2 AMB PACK'!E7)*(1+'KIT 2 AMB PACK'!$C$22+'KIT 2 AMB PACK'!$C$24)</f>
        <v>34.661000000000001</v>
      </c>
      <c r="D6" s="105">
        <f>C6*'KIT 2 AMB PACK'!D6</f>
        <v>55457.600000000006</v>
      </c>
      <c r="E6" s="119">
        <f>SUM(D6:D6)</f>
        <v>55457.600000000006</v>
      </c>
      <c r="F6" s="129"/>
    </row>
    <row r="7" spans="1:10" ht="23.25" thickBot="1">
      <c r="A7" s="128"/>
      <c r="B7" s="142" t="s">
        <v>85</v>
      </c>
      <c r="C7" s="211">
        <f>('KIT 2 AMB PACK'!E8+'KIT 2 AMB PACK'!E9)*(1+'KIT 2 AMB PACK'!$C$22+'KIT 2 AMB PACK'!$C$24)</f>
        <v>58.750999999999998</v>
      </c>
      <c r="D7" s="105">
        <f>C7*'KIT 2 AMB PACK'!D8</f>
        <v>1468.7749999999999</v>
      </c>
      <c r="E7" s="119">
        <f>SUM(D7:D7)</f>
        <v>1468.7749999999999</v>
      </c>
      <c r="F7" s="129"/>
    </row>
    <row r="8" spans="1:10" ht="15.75" thickBot="1">
      <c r="A8" s="128"/>
      <c r="B8" s="214" t="s">
        <v>74</v>
      </c>
      <c r="C8" s="103"/>
      <c r="D8" s="135">
        <f>SUM(D4:D6)</f>
        <v>120595.20000000001</v>
      </c>
      <c r="E8" s="136">
        <f>SUM(E4:E6)</f>
        <v>120595.20000000001</v>
      </c>
      <c r="F8" s="133"/>
      <c r="G8" s="6"/>
    </row>
    <row r="9" spans="1:10" ht="15.75" thickBot="1">
      <c r="A9" s="128"/>
      <c r="B9" s="104"/>
      <c r="C9" s="107"/>
      <c r="D9" s="107"/>
      <c r="E9" s="108"/>
      <c r="F9" s="129"/>
      <c r="J9" s="9"/>
    </row>
    <row r="10" spans="1:10" ht="13.5" thickBot="1">
      <c r="A10" s="128"/>
      <c r="B10" s="109" t="s">
        <v>47</v>
      </c>
      <c r="C10" s="109"/>
      <c r="D10" s="110">
        <f>D8</f>
        <v>120595.20000000001</v>
      </c>
      <c r="E10" s="120">
        <f>E8</f>
        <v>120595.20000000001</v>
      </c>
      <c r="F10" s="129"/>
    </row>
    <row r="11" spans="1:10" ht="13.5" thickBot="1">
      <c r="A11" s="128"/>
      <c r="B11" s="111" t="s">
        <v>79</v>
      </c>
      <c r="C11" s="112"/>
      <c r="D11" s="113">
        <f>D10*'KIT 2 AMB PACK'!C29</f>
        <v>25324.992000000002</v>
      </c>
      <c r="E11" s="121" t="e">
        <f>E10*#REF!</f>
        <v>#REF!</v>
      </c>
      <c r="F11" s="129"/>
    </row>
    <row r="12" spans="1:10" ht="13.5" thickBot="1">
      <c r="A12" s="128"/>
      <c r="B12" s="114" t="s">
        <v>48</v>
      </c>
      <c r="C12" s="114"/>
      <c r="D12" s="115">
        <f t="shared" ref="D12" si="0">SUM(D10:D11)</f>
        <v>145920.19200000001</v>
      </c>
      <c r="E12" s="116" t="e">
        <f>SUM(E10:E11)</f>
        <v>#REF!</v>
      </c>
      <c r="F12" s="129"/>
    </row>
    <row r="13" spans="1:10" s="118" customFormat="1">
      <c r="A13" s="129"/>
      <c r="B13" s="129"/>
      <c r="C13" s="129"/>
      <c r="D13" s="129"/>
      <c r="E13" s="129"/>
      <c r="F13" s="129"/>
      <c r="G13"/>
    </row>
    <row r="19" spans="1:7" s="18" customFormat="1" ht="38.25">
      <c r="A19"/>
      <c r="D19" s="143">
        <v>2022</v>
      </c>
      <c r="E19" s="144" t="s">
        <v>3</v>
      </c>
      <c r="F19"/>
      <c r="G19"/>
    </row>
    <row r="20" spans="1:7" s="8" customFormat="1">
      <c r="A20"/>
      <c r="B20" s="122" t="s">
        <v>80</v>
      </c>
      <c r="C20" s="122"/>
      <c r="D20" s="10">
        <f>D10*'KIT 2 AMB PACK'!G20</f>
        <v>109632</v>
      </c>
      <c r="E20" s="15">
        <f>SUM(D20:D20)</f>
        <v>109632</v>
      </c>
      <c r="F20"/>
      <c r="G20"/>
    </row>
    <row r="21" spans="1:7" s="8" customFormat="1">
      <c r="A21"/>
      <c r="B21" s="123" t="s">
        <v>0</v>
      </c>
      <c r="C21" s="122"/>
      <c r="D21" s="13">
        <f>SUM(D20:D20)</f>
        <v>109632</v>
      </c>
      <c r="E21" s="16">
        <f>SUM(E20:E20)+0.001</f>
        <v>109632.001</v>
      </c>
      <c r="F21"/>
      <c r="G21"/>
    </row>
    <row r="22" spans="1:7" s="8" customFormat="1">
      <c r="A22"/>
      <c r="B22" s="124"/>
      <c r="C22" s="117"/>
      <c r="D22" s="11"/>
      <c r="E22" s="125"/>
      <c r="F22"/>
      <c r="G22"/>
    </row>
    <row r="23" spans="1:7" s="8" customFormat="1">
      <c r="A23"/>
      <c r="B23" s="122" t="s">
        <v>49</v>
      </c>
      <c r="C23" s="122"/>
      <c r="D23" s="10">
        <f>'KIT 2 AMB PACK'!G22*'Licitació KIT 2 CON PACK'!D10</f>
        <v>6577.92</v>
      </c>
      <c r="E23" s="15">
        <f>SUM(D23:D23)</f>
        <v>6577.92</v>
      </c>
      <c r="F23"/>
      <c r="G23"/>
    </row>
    <row r="24" spans="1:7" s="8" customFormat="1">
      <c r="A24"/>
      <c r="B24" s="122" t="s">
        <v>50</v>
      </c>
      <c r="C24" s="122"/>
      <c r="D24" s="10">
        <f>'KIT 2 AMB PACK'!G24*'Licitació KIT 2 CON PACK'!D10</f>
        <v>4385.2800000000007</v>
      </c>
      <c r="E24" s="15">
        <f>SUM(D24:D24)</f>
        <v>4385.2800000000007</v>
      </c>
      <c r="F24"/>
      <c r="G24"/>
    </row>
    <row r="25" spans="1:7" s="8" customFormat="1">
      <c r="B25" s="122"/>
      <c r="C25" s="122"/>
      <c r="D25" s="10"/>
      <c r="E25" s="15"/>
      <c r="F25"/>
      <c r="G25"/>
    </row>
    <row r="26" spans="1:7" s="8" customFormat="1">
      <c r="B26" s="123" t="s">
        <v>1</v>
      </c>
      <c r="C26" s="123"/>
      <c r="D26" s="13">
        <f>SUM(D23:D24)+0.001</f>
        <v>10963.201000000001</v>
      </c>
      <c r="E26" s="16">
        <f>SUM(E23:E24)</f>
        <v>10963.2</v>
      </c>
      <c r="F26"/>
      <c r="G26"/>
    </row>
    <row r="27" spans="1:7" s="12" customFormat="1">
      <c r="B27" s="124"/>
      <c r="C27" s="117"/>
      <c r="D27" s="11"/>
      <c r="E27" s="125"/>
      <c r="F27"/>
      <c r="G27"/>
    </row>
    <row r="28" spans="1:7">
      <c r="B28" s="477" t="s">
        <v>2</v>
      </c>
      <c r="C28" s="477"/>
      <c r="D28" s="137">
        <f>ROUND(D21+D26,2)</f>
        <v>120595.2</v>
      </c>
      <c r="E28" s="17">
        <f>ROUND(E21+E26,2)</f>
        <v>120595.2</v>
      </c>
    </row>
    <row r="29" spans="1:7" ht="14.25">
      <c r="B29" s="130"/>
      <c r="C29" s="134"/>
      <c r="D29" s="132"/>
      <c r="E29" s="130"/>
    </row>
    <row r="30" spans="1:7">
      <c r="B30" s="8"/>
      <c r="C30" s="14"/>
      <c r="D30" s="14"/>
      <c r="E30" s="14"/>
    </row>
    <row r="31" spans="1:7">
      <c r="B31" s="8"/>
      <c r="C31" s="14"/>
      <c r="D31" s="14"/>
      <c r="E31" s="14"/>
    </row>
    <row r="39" spans="2:5" ht="14.25">
      <c r="B39" s="8"/>
      <c r="C39" s="14"/>
      <c r="D39" s="126"/>
      <c r="E39" s="127"/>
    </row>
  </sheetData>
  <mergeCells count="2">
    <mergeCell ref="A1:E1"/>
    <mergeCell ref="B28:C28"/>
  </mergeCells>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topLeftCell="G15" workbookViewId="0">
      <selection activeCell="R18" sqref="R18"/>
    </sheetView>
  </sheetViews>
  <sheetFormatPr defaultColWidth="8.85546875" defaultRowHeight="12.75"/>
  <cols>
    <col min="1" max="1" width="30.5703125" customWidth="1"/>
    <col min="2" max="2" width="16.140625" bestFit="1" customWidth="1"/>
    <col min="3" max="3" width="14.85546875" bestFit="1" customWidth="1"/>
    <col min="4" max="4" width="10.42578125" customWidth="1"/>
    <col min="7" max="7" width="16.5703125" bestFit="1" customWidth="1"/>
    <col min="8" max="8" width="11.85546875" bestFit="1" customWidth="1"/>
    <col min="9" max="9" width="16.5703125" bestFit="1" customWidth="1"/>
    <col min="10" max="10" width="11.85546875" bestFit="1" customWidth="1"/>
    <col min="11" max="11" width="16.5703125" bestFit="1" customWidth="1"/>
    <col min="12" max="12" width="11.85546875" bestFit="1" customWidth="1"/>
    <col min="13" max="13" width="13.85546875" customWidth="1"/>
    <col min="14" max="14" width="16.5703125" bestFit="1" customWidth="1"/>
    <col min="15" max="15" width="11.85546875" bestFit="1" customWidth="1"/>
    <col min="16" max="16" width="16.5703125" bestFit="1" customWidth="1"/>
    <col min="17" max="17" width="12" bestFit="1" customWidth="1"/>
    <col min="18" max="18" width="13.42578125" customWidth="1"/>
  </cols>
  <sheetData>
    <row r="1" spans="1:20" ht="15">
      <c r="A1" s="20"/>
      <c r="B1" s="20"/>
      <c r="C1" s="22" t="s">
        <v>5</v>
      </c>
      <c r="D1" s="20"/>
      <c r="E1" s="20"/>
      <c r="F1" s="20"/>
      <c r="G1" s="20"/>
      <c r="H1" s="20"/>
      <c r="I1" s="20"/>
      <c r="J1" s="20"/>
      <c r="K1" s="20"/>
      <c r="L1" s="20"/>
      <c r="M1" s="20"/>
      <c r="N1" s="20"/>
      <c r="O1" s="20"/>
      <c r="P1" s="20"/>
      <c r="Q1" s="20"/>
      <c r="R1" s="20"/>
      <c r="S1" s="20"/>
      <c r="T1" s="20"/>
    </row>
    <row r="2" spans="1:20" ht="45">
      <c r="A2" s="20"/>
      <c r="B2" s="20"/>
      <c r="C2" s="23">
        <v>1701</v>
      </c>
      <c r="D2" s="20"/>
      <c r="E2" s="20"/>
      <c r="F2" s="20"/>
      <c r="G2" s="47" t="s">
        <v>6</v>
      </c>
      <c r="H2" s="20"/>
      <c r="I2" s="47" t="s">
        <v>6</v>
      </c>
      <c r="J2" s="20"/>
      <c r="K2" s="47" t="s">
        <v>6</v>
      </c>
      <c r="L2" s="20"/>
      <c r="M2" s="56" t="s">
        <v>7</v>
      </c>
      <c r="N2" s="50" t="s">
        <v>6</v>
      </c>
      <c r="O2" s="51"/>
      <c r="P2" s="50" t="s">
        <v>6</v>
      </c>
      <c r="Q2" s="20"/>
      <c r="R2" s="56" t="s">
        <v>7</v>
      </c>
      <c r="S2" s="20"/>
      <c r="T2" s="60"/>
    </row>
    <row r="3" spans="1:20" ht="15.75">
      <c r="A3" s="21"/>
      <c r="B3" s="21"/>
      <c r="C3" s="30" t="s">
        <v>8</v>
      </c>
      <c r="D3" s="21"/>
      <c r="E3" s="21"/>
      <c r="F3" s="20"/>
      <c r="G3" s="52">
        <v>0.03</v>
      </c>
      <c r="H3" s="54"/>
      <c r="I3" s="52">
        <v>0.03</v>
      </c>
      <c r="J3" s="54"/>
      <c r="K3" s="52">
        <v>0.03</v>
      </c>
      <c r="L3" s="54"/>
      <c r="M3" s="57" t="s">
        <v>9</v>
      </c>
      <c r="N3" s="53">
        <v>1.2E-2</v>
      </c>
      <c r="O3" s="55"/>
      <c r="P3" s="53">
        <v>1.2E-2</v>
      </c>
      <c r="Q3" s="20"/>
      <c r="R3" s="59" t="s">
        <v>10</v>
      </c>
      <c r="S3" s="20"/>
      <c r="T3" s="20"/>
    </row>
    <row r="4" spans="1:20" ht="15">
      <c r="A4" s="46" t="s">
        <v>11</v>
      </c>
      <c r="B4" s="22">
        <v>2018</v>
      </c>
      <c r="C4" s="31">
        <v>1677</v>
      </c>
      <c r="D4" s="24">
        <v>0.1</v>
      </c>
      <c r="E4" s="21" t="s">
        <v>12</v>
      </c>
      <c r="F4" s="20"/>
      <c r="G4" s="22">
        <v>2018</v>
      </c>
      <c r="H4" s="20"/>
      <c r="I4" s="22">
        <v>2019</v>
      </c>
      <c r="J4" s="20"/>
      <c r="K4" s="22">
        <v>2020</v>
      </c>
      <c r="L4" s="20"/>
      <c r="M4" s="20"/>
      <c r="N4" s="22">
        <v>2021</v>
      </c>
      <c r="O4" s="20"/>
      <c r="P4" s="22">
        <v>2022</v>
      </c>
      <c r="Q4" s="20"/>
      <c r="R4" s="20"/>
      <c r="S4" s="20"/>
      <c r="T4" s="20"/>
    </row>
    <row r="5" spans="1:20" ht="15">
      <c r="A5" s="21"/>
      <c r="B5" s="22" t="s">
        <v>13</v>
      </c>
      <c r="C5" s="22" t="s">
        <v>14</v>
      </c>
      <c r="D5" s="22" t="s">
        <v>15</v>
      </c>
      <c r="E5" s="21"/>
      <c r="F5" s="20"/>
      <c r="G5" s="22" t="s">
        <v>13</v>
      </c>
      <c r="H5" s="20"/>
      <c r="I5" s="22" t="s">
        <v>13</v>
      </c>
      <c r="J5" s="20"/>
      <c r="K5" s="22" t="s">
        <v>13</v>
      </c>
      <c r="L5" s="20"/>
      <c r="M5" s="20"/>
      <c r="N5" s="22" t="s">
        <v>13</v>
      </c>
      <c r="O5" s="20"/>
      <c r="P5" s="22" t="s">
        <v>13</v>
      </c>
      <c r="Q5" s="20"/>
      <c r="R5" s="20"/>
      <c r="S5" s="20"/>
      <c r="T5" s="20"/>
    </row>
    <row r="6" spans="1:20" ht="15">
      <c r="A6" s="20"/>
      <c r="B6" s="25"/>
      <c r="C6" s="20"/>
      <c r="D6" s="26"/>
      <c r="E6" s="20"/>
      <c r="F6" s="20"/>
      <c r="G6" s="25"/>
      <c r="H6" s="20"/>
      <c r="I6" s="25"/>
      <c r="J6" s="20"/>
      <c r="K6" s="25"/>
      <c r="L6" s="20"/>
      <c r="M6" s="20"/>
      <c r="N6" s="25"/>
      <c r="O6" s="20"/>
      <c r="P6" s="25"/>
      <c r="Q6" s="20"/>
      <c r="R6" s="20"/>
      <c r="S6" s="20"/>
      <c r="T6" s="20"/>
    </row>
    <row r="7" spans="1:20" ht="21">
      <c r="A7" s="35" t="s">
        <v>16</v>
      </c>
      <c r="B7" s="36">
        <v>36942.36</v>
      </c>
      <c r="C7" s="37">
        <v>21.718024691358025</v>
      </c>
      <c r="D7" s="38">
        <v>2.1718024691358027</v>
      </c>
      <c r="E7" s="20"/>
      <c r="F7" s="20"/>
      <c r="G7" s="36">
        <v>38050.630799999999</v>
      </c>
      <c r="H7" s="20"/>
      <c r="I7" s="36">
        <v>39192.149724000003</v>
      </c>
      <c r="J7" s="20"/>
      <c r="K7" s="36">
        <v>40367.914215720004</v>
      </c>
      <c r="L7" s="20"/>
      <c r="M7" s="58">
        <v>9.2727000000000004E-2</v>
      </c>
      <c r="N7" s="36">
        <v>40852.329186308642</v>
      </c>
      <c r="O7" s="20"/>
      <c r="P7" s="36">
        <v>41342.557136544347</v>
      </c>
      <c r="Q7" s="20"/>
      <c r="R7" s="58">
        <v>0.11910980068800003</v>
      </c>
      <c r="S7" s="20"/>
      <c r="T7" s="61"/>
    </row>
    <row r="8" spans="1:20" ht="25.5">
      <c r="A8" s="39" t="s">
        <v>17</v>
      </c>
      <c r="B8" s="40">
        <v>32635.26</v>
      </c>
      <c r="C8" s="37">
        <v>19.185925925925925</v>
      </c>
      <c r="D8" s="38">
        <v>1.9185925925925926</v>
      </c>
      <c r="E8" s="27"/>
      <c r="F8" s="20"/>
      <c r="G8" s="36">
        <v>33614.317799999997</v>
      </c>
      <c r="H8" s="20"/>
      <c r="I8" s="36">
        <v>34622.747334</v>
      </c>
      <c r="J8" s="20"/>
      <c r="K8" s="36">
        <v>35661.429754019999</v>
      </c>
      <c r="L8" s="20"/>
      <c r="M8" s="20"/>
      <c r="N8" s="36">
        <v>36089.366911068239</v>
      </c>
      <c r="O8" s="20"/>
      <c r="P8" s="36">
        <v>36522.439314001058</v>
      </c>
      <c r="Q8" s="20"/>
      <c r="R8" s="20"/>
      <c r="S8" s="20"/>
      <c r="T8" s="20"/>
    </row>
    <row r="9" spans="1:20" ht="15">
      <c r="A9" s="35" t="s">
        <v>4</v>
      </c>
      <c r="B9" s="36">
        <v>24844.959999999999</v>
      </c>
      <c r="C9" s="41">
        <v>14.606090534979423</v>
      </c>
      <c r="D9" s="38">
        <v>1.4606090534979423</v>
      </c>
      <c r="E9" s="20"/>
      <c r="F9" s="20"/>
      <c r="G9" s="36">
        <v>25590.308799999999</v>
      </c>
      <c r="H9" s="20"/>
      <c r="I9" s="36">
        <v>26358.018064</v>
      </c>
      <c r="J9" s="20"/>
      <c r="K9" s="36">
        <v>27148.75860592</v>
      </c>
      <c r="L9" s="20"/>
      <c r="M9" s="20"/>
      <c r="N9" s="36">
        <v>27474.543709191039</v>
      </c>
      <c r="O9" s="20"/>
      <c r="P9" s="36">
        <v>27804.238233701333</v>
      </c>
      <c r="Q9" s="20"/>
      <c r="R9" s="20"/>
      <c r="S9" s="20"/>
      <c r="T9" s="20"/>
    </row>
    <row r="10" spans="1:20" ht="15">
      <c r="A10" s="35" t="s">
        <v>18</v>
      </c>
      <c r="B10" s="36">
        <v>24035.759999999998</v>
      </c>
      <c r="C10" s="41">
        <v>14.13037037037037</v>
      </c>
      <c r="D10" s="38">
        <v>1.4130370370370371</v>
      </c>
      <c r="E10" s="20"/>
      <c r="F10" s="20"/>
      <c r="G10" s="36">
        <v>24756.8328</v>
      </c>
      <c r="H10" s="20"/>
      <c r="I10" s="36">
        <v>25499.537784</v>
      </c>
      <c r="J10" s="20"/>
      <c r="K10" s="36">
        <v>26264.52391752</v>
      </c>
      <c r="L10" s="20"/>
      <c r="M10" s="20"/>
      <c r="N10" s="36">
        <v>26579.698204530239</v>
      </c>
      <c r="O10" s="20"/>
      <c r="P10" s="36">
        <v>26898.654582984604</v>
      </c>
      <c r="Q10" s="20"/>
      <c r="R10" s="20"/>
      <c r="S10" s="20"/>
      <c r="T10" s="20"/>
    </row>
    <row r="11" spans="1:20" ht="15">
      <c r="A11" s="35" t="s">
        <v>19</v>
      </c>
      <c r="B11" s="36">
        <v>19641.86</v>
      </c>
      <c r="C11" s="41">
        <v>11.54724279835391</v>
      </c>
      <c r="D11" s="38">
        <v>1.1547242798353909</v>
      </c>
      <c r="E11" s="20"/>
      <c r="F11" s="20"/>
      <c r="G11" s="36">
        <v>20231.1158</v>
      </c>
      <c r="H11" s="20"/>
      <c r="I11" s="36">
        <v>20838.049274000001</v>
      </c>
      <c r="J11" s="20"/>
      <c r="K11" s="36">
        <v>21463.190752220002</v>
      </c>
      <c r="L11" s="20"/>
      <c r="M11" s="20"/>
      <c r="N11" s="36">
        <v>21720.749041246643</v>
      </c>
      <c r="O11" s="20"/>
      <c r="P11" s="36">
        <v>21981.398029741602</v>
      </c>
      <c r="Q11" s="20"/>
      <c r="R11" s="20"/>
      <c r="S11" s="20"/>
      <c r="T11" s="20"/>
    </row>
    <row r="12" spans="1:20" ht="15">
      <c r="A12" s="41" t="s">
        <v>20</v>
      </c>
      <c r="B12" s="42">
        <v>15334.76</v>
      </c>
      <c r="C12" s="41">
        <v>9.0151440329218104</v>
      </c>
      <c r="D12" s="38">
        <v>0.90151440329218113</v>
      </c>
      <c r="E12" s="20"/>
      <c r="F12" s="20"/>
      <c r="G12" s="36">
        <v>15794.802800000001</v>
      </c>
      <c r="H12" s="20"/>
      <c r="I12" s="36">
        <v>16268.646884000002</v>
      </c>
      <c r="J12" s="20"/>
      <c r="K12" s="36">
        <v>16756.706290520004</v>
      </c>
      <c r="L12" s="20"/>
      <c r="M12" s="20"/>
      <c r="N12" s="36">
        <v>16957.786766006244</v>
      </c>
      <c r="O12" s="20"/>
      <c r="P12" s="36">
        <v>17161.280207198321</v>
      </c>
      <c r="Q12" s="20"/>
      <c r="R12" s="20"/>
      <c r="S12" s="20"/>
      <c r="T12" s="20"/>
    </row>
    <row r="13" spans="1:20" ht="15">
      <c r="A13" s="28"/>
      <c r="B13" s="29"/>
      <c r="C13" s="20"/>
      <c r="D13" s="20"/>
      <c r="E13" s="20"/>
      <c r="F13" s="20"/>
      <c r="G13" s="29"/>
      <c r="H13" s="20"/>
      <c r="I13" s="29"/>
      <c r="J13" s="20"/>
      <c r="K13" s="29"/>
      <c r="L13" s="20"/>
      <c r="M13" s="20"/>
      <c r="N13" s="29"/>
      <c r="O13" s="20"/>
      <c r="P13" s="29"/>
      <c r="Q13" s="20"/>
      <c r="R13" s="20"/>
      <c r="S13" s="20"/>
      <c r="T13" s="20"/>
    </row>
    <row r="14" spans="1:20" ht="15">
      <c r="A14" s="43" t="s">
        <v>21</v>
      </c>
      <c r="B14" s="44" t="s">
        <v>22</v>
      </c>
      <c r="C14" s="45" t="s">
        <v>23</v>
      </c>
      <c r="D14" s="20"/>
      <c r="E14" s="20"/>
      <c r="F14" s="20"/>
      <c r="G14" s="44" t="s">
        <v>22</v>
      </c>
      <c r="H14" s="45" t="s">
        <v>23</v>
      </c>
      <c r="I14" s="44" t="s">
        <v>22</v>
      </c>
      <c r="J14" s="45" t="s">
        <v>23</v>
      </c>
      <c r="K14" s="44" t="s">
        <v>22</v>
      </c>
      <c r="L14" s="45" t="s">
        <v>23</v>
      </c>
      <c r="M14" s="20"/>
      <c r="N14" s="44" t="s">
        <v>22</v>
      </c>
      <c r="O14" s="45" t="s">
        <v>23</v>
      </c>
      <c r="P14" s="44" t="s">
        <v>22</v>
      </c>
      <c r="Q14" s="45" t="s">
        <v>23</v>
      </c>
      <c r="R14" s="20"/>
      <c r="S14" s="20"/>
      <c r="T14" s="20"/>
    </row>
    <row r="15" spans="1:20" ht="15">
      <c r="A15" s="41" t="s">
        <v>24</v>
      </c>
      <c r="B15" s="38">
        <v>92.92</v>
      </c>
      <c r="C15" s="41">
        <v>1300.8800000000001</v>
      </c>
      <c r="D15" s="20"/>
      <c r="E15" s="20"/>
      <c r="F15" s="20"/>
      <c r="G15" s="38">
        <v>95.707599999999999</v>
      </c>
      <c r="H15" s="41">
        <v>1339.9064000000001</v>
      </c>
      <c r="I15" s="38">
        <v>98.578828000000001</v>
      </c>
      <c r="J15" s="41">
        <v>1380.1035919999999</v>
      </c>
      <c r="K15" s="38">
        <v>101.53619284</v>
      </c>
      <c r="L15" s="41">
        <v>1421.5066997599999</v>
      </c>
      <c r="M15" s="20"/>
      <c r="N15" s="38">
        <v>102.75462715408</v>
      </c>
      <c r="O15" s="41">
        <v>1438.5647801571199</v>
      </c>
      <c r="P15" s="38">
        <v>103.98768267992897</v>
      </c>
      <c r="Q15" s="41">
        <v>1455.8275575190055</v>
      </c>
      <c r="R15" s="20"/>
      <c r="S15" s="20"/>
      <c r="T15" s="20"/>
    </row>
    <row r="16" spans="1:20" ht="15">
      <c r="A16" s="35" t="s">
        <v>25</v>
      </c>
      <c r="B16" s="38">
        <v>92.92</v>
      </c>
      <c r="C16" s="41">
        <v>1300.8800000000001</v>
      </c>
      <c r="D16" s="20"/>
      <c r="E16" s="20"/>
      <c r="F16" s="20"/>
      <c r="G16" s="38">
        <v>95.707599999999999</v>
      </c>
      <c r="H16" s="41">
        <v>1339.9064000000001</v>
      </c>
      <c r="I16" s="38">
        <v>98.578828000000001</v>
      </c>
      <c r="J16" s="41">
        <v>1380.1035919999999</v>
      </c>
      <c r="K16" s="38">
        <v>101.53619284</v>
      </c>
      <c r="L16" s="41">
        <v>1421.5066997599999</v>
      </c>
      <c r="M16" s="20"/>
      <c r="N16" s="38">
        <v>102.75462715408</v>
      </c>
      <c r="O16" s="41">
        <v>1438.5647801571199</v>
      </c>
      <c r="P16" s="38">
        <v>103.98768267992897</v>
      </c>
      <c r="Q16" s="41">
        <v>1455.8275575190055</v>
      </c>
      <c r="R16" s="20"/>
      <c r="S16" s="20"/>
      <c r="T16" s="20"/>
    </row>
    <row r="18" spans="1:20" ht="18.75">
      <c r="A18" s="21"/>
      <c r="B18" s="21"/>
      <c r="C18" s="22" t="s">
        <v>5</v>
      </c>
      <c r="D18" s="21"/>
      <c r="E18" s="20"/>
      <c r="F18" s="20">
        <v>100</v>
      </c>
      <c r="G18" s="70">
        <v>3</v>
      </c>
      <c r="H18" s="71"/>
      <c r="I18" s="70">
        <v>3.09</v>
      </c>
      <c r="J18" s="20"/>
      <c r="K18" s="63">
        <v>3.0926999999999998</v>
      </c>
      <c r="L18" s="64"/>
      <c r="M18" s="65"/>
      <c r="N18" s="66">
        <v>1.2371124</v>
      </c>
      <c r="O18" s="64"/>
      <c r="P18" s="66">
        <v>1.2148453487999999</v>
      </c>
      <c r="Q18" s="67">
        <v>5.5446577487999997</v>
      </c>
      <c r="R18" s="20"/>
      <c r="S18" s="20"/>
      <c r="T18" s="69">
        <v>7.4761644372000002E-2</v>
      </c>
    </row>
    <row r="19" spans="1:20" ht="15">
      <c r="A19" s="21"/>
      <c r="B19" s="21"/>
      <c r="C19" s="23">
        <v>1724</v>
      </c>
      <c r="D19" s="21"/>
      <c r="E19" s="20"/>
      <c r="F19" s="20"/>
      <c r="G19" s="21"/>
      <c r="H19" s="20"/>
      <c r="I19" s="21"/>
      <c r="J19" s="20"/>
      <c r="K19" s="21"/>
      <c r="L19" s="20"/>
      <c r="M19" s="20"/>
      <c r="N19" s="21"/>
      <c r="O19" s="20"/>
      <c r="P19" s="21"/>
      <c r="Q19" s="68">
        <v>1.3861644371999999</v>
      </c>
      <c r="R19" s="20" t="s">
        <v>32</v>
      </c>
      <c r="S19" s="20"/>
      <c r="T19" s="20"/>
    </row>
    <row r="20" spans="1:20">
      <c r="A20" s="72"/>
      <c r="B20" s="72"/>
      <c r="C20" s="30" t="s">
        <v>8</v>
      </c>
      <c r="D20" s="72"/>
      <c r="E20" s="74"/>
      <c r="F20" s="74"/>
      <c r="G20" s="73"/>
      <c r="H20" s="74"/>
      <c r="I20" s="73"/>
      <c r="J20" s="74"/>
      <c r="K20" s="73"/>
      <c r="L20" s="74"/>
      <c r="M20" s="74"/>
      <c r="N20" s="73"/>
      <c r="O20" s="74"/>
      <c r="P20" s="73"/>
      <c r="Q20" s="74"/>
      <c r="R20" s="74"/>
      <c r="S20" s="74"/>
      <c r="T20" s="74"/>
    </row>
    <row r="21" spans="1:20" ht="15">
      <c r="A21" s="46" t="s">
        <v>26</v>
      </c>
      <c r="B21" s="22">
        <v>2018</v>
      </c>
      <c r="C21" s="31">
        <v>1700</v>
      </c>
      <c r="D21" s="24">
        <v>0.1</v>
      </c>
      <c r="E21" s="21" t="s">
        <v>12</v>
      </c>
      <c r="F21" s="20"/>
      <c r="G21" s="22">
        <v>2018</v>
      </c>
      <c r="H21" s="20"/>
      <c r="I21" s="22">
        <v>2019</v>
      </c>
      <c r="J21" s="20"/>
      <c r="K21" s="22">
        <v>2020</v>
      </c>
      <c r="L21" s="20"/>
      <c r="M21" s="20"/>
      <c r="N21" s="22">
        <v>2021</v>
      </c>
      <c r="O21" s="20"/>
      <c r="P21" s="22">
        <v>2022</v>
      </c>
      <c r="Q21" s="20"/>
      <c r="R21" s="20"/>
      <c r="S21" s="20"/>
      <c r="T21" s="20"/>
    </row>
    <row r="22" spans="1:20" ht="15">
      <c r="A22" s="21"/>
      <c r="B22" s="22" t="s">
        <v>13</v>
      </c>
      <c r="C22" s="22" t="s">
        <v>14</v>
      </c>
      <c r="D22" s="22" t="s">
        <v>15</v>
      </c>
      <c r="E22" s="20"/>
      <c r="F22" s="20"/>
      <c r="G22" s="22" t="s">
        <v>13</v>
      </c>
      <c r="H22" s="20"/>
      <c r="I22" s="22" t="s">
        <v>13</v>
      </c>
      <c r="J22" s="20"/>
      <c r="K22" s="22" t="s">
        <v>13</v>
      </c>
      <c r="L22" s="20"/>
      <c r="M22" s="20"/>
      <c r="N22" s="22" t="s">
        <v>13</v>
      </c>
      <c r="O22" s="20"/>
      <c r="P22" s="22" t="s">
        <v>13</v>
      </c>
      <c r="Q22" s="20"/>
      <c r="R22" s="20"/>
      <c r="S22" s="20"/>
      <c r="T22" s="20"/>
    </row>
    <row r="23" spans="1:20" ht="15">
      <c r="A23" s="20"/>
      <c r="B23" s="25"/>
      <c r="C23" s="20"/>
      <c r="D23" s="26"/>
      <c r="E23" s="20"/>
      <c r="F23" s="20"/>
      <c r="G23" s="25"/>
      <c r="H23" s="20"/>
      <c r="I23" s="25"/>
      <c r="J23" s="20"/>
      <c r="K23" s="25"/>
      <c r="L23" s="20"/>
      <c r="M23" s="20"/>
      <c r="N23" s="25"/>
      <c r="O23" s="20"/>
      <c r="P23" s="25"/>
      <c r="Q23" s="20"/>
      <c r="R23" s="20"/>
      <c r="S23" s="20"/>
      <c r="T23" s="20"/>
    </row>
    <row r="24" spans="1:20" ht="21">
      <c r="A24" s="35" t="s">
        <v>16</v>
      </c>
      <c r="B24" s="36">
        <v>29513.4</v>
      </c>
      <c r="C24" s="37">
        <v>17.350617283950619</v>
      </c>
      <c r="D24" s="38">
        <v>1.735061728395062</v>
      </c>
      <c r="E24" s="20"/>
      <c r="F24" s="20"/>
      <c r="G24" s="36">
        <v>30398.802000000003</v>
      </c>
      <c r="H24" s="20"/>
      <c r="I24" s="36">
        <v>31310.766060000005</v>
      </c>
      <c r="J24" s="20"/>
      <c r="K24" s="36">
        <v>32250.089041800005</v>
      </c>
      <c r="L24" s="20"/>
      <c r="M24" s="58">
        <v>9.2727000000000226E-2</v>
      </c>
      <c r="N24" s="36">
        <v>32637.090110301604</v>
      </c>
      <c r="O24" s="20"/>
      <c r="P24" s="36">
        <v>33028.735191625223</v>
      </c>
      <c r="Q24" s="20"/>
      <c r="R24" s="58">
        <v>0.11910980068800003</v>
      </c>
      <c r="S24" s="20"/>
      <c r="T24" s="61"/>
    </row>
    <row r="25" spans="1:20" ht="25.5">
      <c r="A25" s="39" t="s">
        <v>17</v>
      </c>
      <c r="B25" s="40">
        <v>24917.34</v>
      </c>
      <c r="C25" s="37">
        <v>14.648641975308642</v>
      </c>
      <c r="D25" s="38">
        <v>1.4648641975308643</v>
      </c>
      <c r="E25" s="20"/>
      <c r="F25" s="20"/>
      <c r="G25" s="40">
        <v>25664.860199999999</v>
      </c>
      <c r="H25" s="20"/>
      <c r="I25" s="40">
        <v>26434.806005999999</v>
      </c>
      <c r="J25" s="20"/>
      <c r="K25" s="40">
        <v>27227.85018618</v>
      </c>
      <c r="L25" s="20"/>
      <c r="M25" s="20"/>
      <c r="N25" s="36">
        <v>27554.584388414161</v>
      </c>
      <c r="O25" s="20"/>
      <c r="P25" s="36">
        <v>27885.23940107513</v>
      </c>
      <c r="Q25" s="20"/>
      <c r="R25" s="20"/>
      <c r="S25" s="20"/>
      <c r="T25" s="20"/>
    </row>
    <row r="26" spans="1:20" ht="15">
      <c r="A26" s="35" t="s">
        <v>4</v>
      </c>
      <c r="B26" s="36">
        <v>23023.84</v>
      </c>
      <c r="C26" s="41">
        <v>13.535473251028806</v>
      </c>
      <c r="D26" s="38">
        <v>1.3535473251028807</v>
      </c>
      <c r="E26" s="20"/>
      <c r="F26" s="20"/>
      <c r="G26" s="36">
        <v>23714.555200000003</v>
      </c>
      <c r="H26" s="20"/>
      <c r="I26" s="36">
        <v>24425.991856000004</v>
      </c>
      <c r="J26" s="20"/>
      <c r="K26" s="36">
        <v>25158.771611680004</v>
      </c>
      <c r="L26" s="20"/>
      <c r="M26" s="20"/>
      <c r="N26" s="36">
        <v>25460.676871020165</v>
      </c>
      <c r="O26" s="20"/>
      <c r="P26" s="36">
        <v>25766.204993472405</v>
      </c>
      <c r="Q26" s="20"/>
      <c r="R26" s="20"/>
      <c r="S26" s="20"/>
      <c r="T26" s="20"/>
    </row>
    <row r="27" spans="1:20" ht="15">
      <c r="A27" s="35" t="s">
        <v>18</v>
      </c>
      <c r="B27" s="36">
        <v>20639.22</v>
      </c>
      <c r="C27" s="41">
        <v>12.133580246913581</v>
      </c>
      <c r="D27" s="38">
        <v>1.2133580246913582</v>
      </c>
      <c r="E27" s="20"/>
      <c r="F27" s="20"/>
      <c r="G27" s="36">
        <v>21258.3966</v>
      </c>
      <c r="H27" s="20"/>
      <c r="I27" s="36">
        <v>21896.148498000002</v>
      </c>
      <c r="J27" s="20"/>
      <c r="K27" s="36">
        <v>22553.032952940004</v>
      </c>
      <c r="L27" s="20"/>
      <c r="M27" s="20"/>
      <c r="N27" s="36">
        <v>22823.669348375286</v>
      </c>
      <c r="O27" s="20"/>
      <c r="P27" s="36">
        <v>23097.55338055579</v>
      </c>
      <c r="Q27" s="20"/>
      <c r="R27" s="20"/>
      <c r="S27" s="20"/>
      <c r="T27" s="20"/>
    </row>
    <row r="28" spans="1:20" ht="15">
      <c r="A28" s="35" t="s">
        <v>19</v>
      </c>
      <c r="B28" s="36">
        <v>18239.900000000001</v>
      </c>
      <c r="C28" s="41">
        <v>10.723045267489713</v>
      </c>
      <c r="D28" s="38">
        <v>1.0723045267489713</v>
      </c>
      <c r="E28" s="20"/>
      <c r="F28" s="20"/>
      <c r="G28" s="36">
        <v>18787.097000000002</v>
      </c>
      <c r="H28" s="20"/>
      <c r="I28" s="36">
        <v>19350.709910000001</v>
      </c>
      <c r="J28" s="20"/>
      <c r="K28" s="36">
        <v>19931.231207300003</v>
      </c>
      <c r="L28" s="20"/>
      <c r="M28" s="20"/>
      <c r="N28" s="36">
        <v>20170.405981787604</v>
      </c>
      <c r="O28" s="20"/>
      <c r="P28" s="36">
        <v>20412.450853569055</v>
      </c>
      <c r="Q28" s="20"/>
      <c r="R28" s="20"/>
      <c r="S28" s="20"/>
      <c r="T28" s="20"/>
    </row>
    <row r="29" spans="1:20" ht="15">
      <c r="A29" s="41" t="s">
        <v>20</v>
      </c>
      <c r="B29" s="42">
        <v>14554.4</v>
      </c>
      <c r="C29" s="41">
        <v>8.5563786008230451</v>
      </c>
      <c r="D29" s="38">
        <v>0.85563786008230458</v>
      </c>
      <c r="E29" s="20"/>
      <c r="F29" s="20"/>
      <c r="G29" s="42">
        <v>14991.031999999999</v>
      </c>
      <c r="H29" s="20"/>
      <c r="I29" s="42">
        <v>15440.76296</v>
      </c>
      <c r="J29" s="20"/>
      <c r="K29" s="42">
        <v>15903.985848800001</v>
      </c>
      <c r="L29" s="20"/>
      <c r="M29" s="20"/>
      <c r="N29" s="36">
        <v>16094.8336789856</v>
      </c>
      <c r="O29" s="20"/>
      <c r="P29" s="36">
        <v>16287.971683133428</v>
      </c>
      <c r="Q29" s="20"/>
      <c r="R29" s="20"/>
      <c r="S29" s="20"/>
      <c r="T29" s="20"/>
    </row>
    <row r="30" spans="1:20" ht="15">
      <c r="A30" s="28"/>
      <c r="B30" s="29"/>
      <c r="C30" s="20"/>
      <c r="D30" s="20"/>
      <c r="E30" s="20"/>
      <c r="F30" s="20"/>
      <c r="G30" s="29"/>
      <c r="H30" s="20"/>
      <c r="I30" s="29"/>
      <c r="J30" s="20"/>
      <c r="K30" s="29"/>
      <c r="L30" s="20"/>
      <c r="M30" s="20"/>
      <c r="N30" s="29"/>
      <c r="O30" s="20"/>
      <c r="P30" s="29"/>
      <c r="Q30" s="20"/>
      <c r="R30" s="20"/>
      <c r="S30" s="20"/>
      <c r="T30" s="20"/>
    </row>
    <row r="31" spans="1:20" ht="15">
      <c r="A31" s="43" t="s">
        <v>21</v>
      </c>
      <c r="B31" s="44" t="s">
        <v>22</v>
      </c>
      <c r="C31" s="45" t="s">
        <v>23</v>
      </c>
      <c r="D31" s="20"/>
      <c r="E31" s="20"/>
      <c r="F31" s="20"/>
      <c r="G31" s="44" t="s">
        <v>22</v>
      </c>
      <c r="H31" s="45" t="s">
        <v>23</v>
      </c>
      <c r="I31" s="44" t="s">
        <v>22</v>
      </c>
      <c r="J31" s="45" t="s">
        <v>23</v>
      </c>
      <c r="K31" s="44" t="s">
        <v>22</v>
      </c>
      <c r="L31" s="45" t="s">
        <v>23</v>
      </c>
      <c r="M31" s="20"/>
      <c r="N31" s="44" t="s">
        <v>22</v>
      </c>
      <c r="O31" s="45" t="s">
        <v>23</v>
      </c>
      <c r="P31" s="44" t="s">
        <v>22</v>
      </c>
      <c r="Q31" s="45" t="s">
        <v>23</v>
      </c>
      <c r="R31" s="20"/>
      <c r="S31" s="20"/>
      <c r="T31" s="20"/>
    </row>
    <row r="32" spans="1:20" ht="15">
      <c r="A32" s="41" t="s">
        <v>24</v>
      </c>
      <c r="B32" s="38">
        <v>289.06</v>
      </c>
      <c r="C32" s="41">
        <v>4046.84</v>
      </c>
      <c r="D32" s="20"/>
      <c r="E32" s="20"/>
      <c r="F32" s="20"/>
      <c r="G32" s="38">
        <v>297.73180000000002</v>
      </c>
      <c r="H32" s="41">
        <v>4168.2452000000003</v>
      </c>
      <c r="I32" s="38">
        <v>306.66375400000004</v>
      </c>
      <c r="J32" s="41">
        <v>4293.2925560000003</v>
      </c>
      <c r="K32" s="38">
        <v>315.86366662000006</v>
      </c>
      <c r="L32" s="41">
        <v>4422.091332680001</v>
      </c>
      <c r="M32" s="20"/>
      <c r="N32" s="38">
        <v>319.65403061944005</v>
      </c>
      <c r="O32" s="41">
        <v>4475.1564286721605</v>
      </c>
      <c r="P32" s="38">
        <v>323.48987898687335</v>
      </c>
      <c r="Q32" s="41">
        <v>4528.8583058162267</v>
      </c>
      <c r="R32" s="20"/>
      <c r="S32" s="20"/>
      <c r="T32" s="20"/>
    </row>
    <row r="33" spans="1:20" ht="15">
      <c r="A33" s="35" t="s">
        <v>25</v>
      </c>
      <c r="B33" s="38">
        <v>92.92</v>
      </c>
      <c r="C33" s="41">
        <v>1300.8800000000001</v>
      </c>
      <c r="D33" s="20"/>
      <c r="E33" s="20"/>
      <c r="F33" s="20"/>
      <c r="G33" s="38">
        <v>95.707599999999999</v>
      </c>
      <c r="H33" s="41">
        <v>1339.9064000000001</v>
      </c>
      <c r="I33" s="38">
        <v>98.578828000000001</v>
      </c>
      <c r="J33" s="41">
        <v>1380.1035919999999</v>
      </c>
      <c r="K33" s="38">
        <v>101.53619284</v>
      </c>
      <c r="L33" s="41">
        <v>1421.5066997599999</v>
      </c>
      <c r="M33" s="20"/>
      <c r="N33" s="38">
        <v>102.75462715408</v>
      </c>
      <c r="O33" s="41">
        <v>1438.5647801571199</v>
      </c>
      <c r="P33" s="38">
        <v>103.98768267992897</v>
      </c>
      <c r="Q33" s="41">
        <v>1455.8275575190055</v>
      </c>
      <c r="R33" s="20"/>
      <c r="S33" s="20"/>
      <c r="T33" s="20"/>
    </row>
    <row r="34" spans="1:20" ht="15">
      <c r="A34" s="41" t="s">
        <v>27</v>
      </c>
      <c r="B34" s="35" t="s">
        <v>28</v>
      </c>
      <c r="C34" s="49" t="s">
        <v>29</v>
      </c>
      <c r="D34" s="20" t="s">
        <v>30</v>
      </c>
      <c r="E34" s="20"/>
      <c r="F34" s="20"/>
      <c r="G34" s="20"/>
      <c r="H34" s="20"/>
      <c r="I34" s="20"/>
      <c r="J34" s="48"/>
      <c r="K34" s="20"/>
      <c r="L34" s="20"/>
      <c r="M34" s="20"/>
      <c r="N34" s="20"/>
      <c r="O34" s="20"/>
      <c r="P34" s="20"/>
      <c r="Q34" s="20"/>
      <c r="R34" s="20"/>
      <c r="S34" s="20"/>
      <c r="T34" s="62"/>
    </row>
    <row r="35" spans="1:20" ht="15">
      <c r="A35" s="20"/>
      <c r="B35" s="20"/>
      <c r="C35" s="41">
        <v>6229.335</v>
      </c>
      <c r="D35" s="32" t="s">
        <v>17</v>
      </c>
      <c r="E35" s="20"/>
      <c r="F35" s="20"/>
      <c r="G35" s="20"/>
      <c r="H35" s="20"/>
      <c r="I35" s="20"/>
      <c r="J35" s="20"/>
      <c r="K35" s="20"/>
      <c r="L35" s="20"/>
      <c r="M35" s="20"/>
      <c r="N35" s="20"/>
      <c r="O35" s="20"/>
      <c r="P35" s="20"/>
      <c r="Q35" s="20"/>
      <c r="R35" s="20"/>
      <c r="S35" s="20"/>
      <c r="T35" s="20"/>
    </row>
    <row r="36" spans="1:20" ht="15">
      <c r="A36" s="20"/>
      <c r="B36" s="20"/>
      <c r="C36" s="41">
        <v>5755.96</v>
      </c>
      <c r="D36" s="33" t="s">
        <v>4</v>
      </c>
      <c r="E36" s="20"/>
      <c r="F36" s="20"/>
      <c r="G36" s="20"/>
      <c r="H36" s="20"/>
      <c r="I36" s="20"/>
      <c r="J36" s="20"/>
      <c r="K36" s="20"/>
      <c r="L36" s="20"/>
      <c r="M36" s="20"/>
      <c r="N36" s="20"/>
      <c r="O36" s="20"/>
      <c r="P36" s="20"/>
      <c r="Q36" s="20"/>
      <c r="R36" s="20"/>
      <c r="S36" s="20"/>
      <c r="T36" s="20"/>
    </row>
    <row r="37" spans="1:20" ht="15">
      <c r="A37" s="20"/>
      <c r="B37" s="20"/>
      <c r="C37" s="41">
        <v>5159.8050000000003</v>
      </c>
      <c r="D37" s="33" t="s">
        <v>18</v>
      </c>
      <c r="E37" s="20"/>
      <c r="F37" s="20"/>
      <c r="G37" s="20"/>
      <c r="H37" s="20"/>
      <c r="I37" s="20"/>
      <c r="J37" s="20"/>
      <c r="K37" s="20"/>
      <c r="L37" s="20"/>
      <c r="M37" s="20"/>
      <c r="N37" s="20"/>
      <c r="O37" s="20"/>
      <c r="P37" s="20"/>
      <c r="Q37" s="20"/>
      <c r="R37" s="20"/>
      <c r="S37" s="20"/>
      <c r="T37" s="20"/>
    </row>
    <row r="38" spans="1:20" ht="15">
      <c r="A38" s="20"/>
      <c r="B38" s="20"/>
      <c r="C38" s="41">
        <v>4559.9750000000004</v>
      </c>
      <c r="D38" s="34" t="s">
        <v>19</v>
      </c>
      <c r="E38" s="20"/>
      <c r="F38" s="20"/>
      <c r="G38" s="20"/>
      <c r="H38" s="20"/>
      <c r="I38" s="20"/>
      <c r="J38" s="20"/>
      <c r="K38" s="20"/>
      <c r="L38" s="20"/>
      <c r="M38" s="20"/>
      <c r="N38" s="20"/>
      <c r="O38" s="20"/>
      <c r="P38" s="20"/>
      <c r="Q38" s="20"/>
      <c r="R38" s="20"/>
      <c r="S38" s="20"/>
      <c r="T38" s="20"/>
    </row>
    <row r="39" spans="1:20" ht="18.75">
      <c r="F39" s="20">
        <v>100</v>
      </c>
      <c r="G39" s="70">
        <f>$F$39*G3</f>
        <v>3</v>
      </c>
      <c r="H39" s="71"/>
      <c r="I39" s="19">
        <f>($F$39+G39)*I3</f>
        <v>3.09</v>
      </c>
      <c r="J39" s="20"/>
      <c r="K39" s="63">
        <f>($F$39+I39)*K3</f>
        <v>3.0926999999999998</v>
      </c>
      <c r="L39" s="64"/>
      <c r="M39" s="65"/>
      <c r="N39" s="66">
        <f>($F$39+K39)*N3</f>
        <v>1.2371124</v>
      </c>
      <c r="O39" s="64"/>
      <c r="P39" s="66">
        <f>($F$39+N39)*P3</f>
        <v>1.2148453487999999</v>
      </c>
      <c r="Q39" s="67">
        <f>SUM(K39:P39)</f>
        <v>5.5446577487999997</v>
      </c>
      <c r="T39" s="4">
        <f>(G39+I39+Q40)/100</f>
        <v>7.5685753996799998E-2</v>
      </c>
    </row>
    <row r="40" spans="1:20" ht="15">
      <c r="F40" s="20"/>
      <c r="G40" s="21"/>
      <c r="H40" s="20"/>
      <c r="I40" s="21"/>
      <c r="J40" s="20"/>
      <c r="K40" s="21"/>
      <c r="L40" s="20"/>
      <c r="M40" s="20"/>
      <c r="N40" s="21"/>
      <c r="O40" s="20"/>
      <c r="P40" s="21"/>
      <c r="Q40" s="68">
        <f>Q39/3.75</f>
        <v>1.47857539968</v>
      </c>
      <c r="R40" s="3" t="s">
        <v>31</v>
      </c>
    </row>
  </sheetData>
  <pageMargins left="0.7" right="0.7" top="0.75" bottom="0.75" header="0.3" footer="0.3"/>
  <pageSetup paperSize="9" orientation="portrait" verticalDpi="0" r:id="rId1"/>
  <customProperties>
    <customPr name="EpmWorksheetKeyString_GU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20"/>
  <sheetViews>
    <sheetView topLeftCell="C1" zoomScale="90" zoomScaleNormal="90" workbookViewId="0">
      <selection activeCell="M5" sqref="M5"/>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1.5703125" style="146" bestFit="1" customWidth="1"/>
    <col min="8" max="9" width="14.42578125" style="147" customWidth="1"/>
    <col min="10" max="10" width="21.42578125" style="148" customWidth="1"/>
    <col min="11" max="11" width="19.85546875" style="148" customWidth="1"/>
    <col min="12" max="12" width="11.42578125" style="148"/>
    <col min="13" max="13" width="12.140625" style="148" bestFit="1" customWidth="1"/>
    <col min="14" max="16384" width="11.42578125" style="148"/>
  </cols>
  <sheetData>
    <row r="1" spans="2:14">
      <c r="B1" s="240" t="s">
        <v>90</v>
      </c>
    </row>
    <row r="2" spans="2:14" ht="15.75" thickBot="1">
      <c r="B2" s="149"/>
      <c r="D2" s="149"/>
      <c r="E2" s="149"/>
      <c r="F2" s="149"/>
      <c r="G2" s="149"/>
      <c r="H2" s="150"/>
      <c r="I2" s="150"/>
    </row>
    <row r="3" spans="2:14"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4">
      <c r="B4" s="158" t="s">
        <v>72</v>
      </c>
      <c r="C4" s="159" t="s">
        <v>65</v>
      </c>
      <c r="D4" s="245">
        <v>1500</v>
      </c>
      <c r="E4" s="241">
        <v>32</v>
      </c>
      <c r="F4" s="195">
        <f>D4*E4</f>
        <v>48000</v>
      </c>
      <c r="G4" s="226">
        <f>F4/$F$17</f>
        <v>0.81177067478437337</v>
      </c>
      <c r="H4" s="161"/>
      <c r="I4" s="162">
        <f t="shared" ref="I4" si="0">D4*H4</f>
        <v>0</v>
      </c>
      <c r="J4" s="163"/>
      <c r="K4" s="163"/>
      <c r="M4" s="244">
        <f>E4*(1+C11+C13)</f>
        <v>34.56</v>
      </c>
      <c r="N4" s="246">
        <v>34.56</v>
      </c>
    </row>
    <row r="5" spans="2:14">
      <c r="B5" s="158" t="s">
        <v>71</v>
      </c>
      <c r="C5" s="159" t="s">
        <v>65</v>
      </c>
      <c r="D5" s="245">
        <v>1500</v>
      </c>
      <c r="E5" s="241">
        <v>4.5</v>
      </c>
      <c r="F5" s="195">
        <f t="shared" ref="F5" si="1">D5*E5</f>
        <v>6750</v>
      </c>
      <c r="G5" s="227">
        <f>F5/$F$17</f>
        <v>0.11415525114155251</v>
      </c>
      <c r="H5" s="161"/>
      <c r="I5" s="162"/>
      <c r="J5" s="163"/>
      <c r="K5" s="163"/>
      <c r="M5" s="244">
        <f>E5*(1+C11+C13)</f>
        <v>4.8600000000000003</v>
      </c>
      <c r="N5" s="246">
        <v>4.8600000000000003</v>
      </c>
    </row>
    <row r="6" spans="2:14" ht="15.75" thickBot="1">
      <c r="B6" s="190"/>
      <c r="C6" s="191"/>
      <c r="D6" s="192"/>
      <c r="E6" s="193"/>
      <c r="F6" s="196"/>
      <c r="G6" s="196"/>
      <c r="H6" s="193"/>
      <c r="I6" s="193"/>
      <c r="J6" s="193"/>
      <c r="K6" s="193"/>
    </row>
    <row r="7" spans="2:14" ht="16.5" thickBot="1">
      <c r="B7" s="165" t="s">
        <v>64</v>
      </c>
      <c r="C7" s="212"/>
      <c r="D7" s="166"/>
      <c r="E7" s="166"/>
      <c r="F7" s="197">
        <f>SUM(F4:F5)</f>
        <v>54750</v>
      </c>
      <c r="G7" s="225">
        <f>F7/$F$17</f>
        <v>0.92592592592592593</v>
      </c>
      <c r="H7" s="167">
        <f>SUM(H4:H5)</f>
        <v>0</v>
      </c>
      <c r="I7" s="167">
        <f>SUM(I4:I5)</f>
        <v>0</v>
      </c>
    </row>
    <row r="8" spans="2:14" ht="15.75">
      <c r="B8" s="190"/>
      <c r="C8" s="191"/>
      <c r="D8" s="192"/>
      <c r="E8" s="193"/>
      <c r="F8" s="196"/>
      <c r="G8" s="196"/>
      <c r="H8" s="189"/>
      <c r="I8" s="189"/>
    </row>
    <row r="9" spans="2:14" ht="15.75">
      <c r="B9" s="216" t="s">
        <v>69</v>
      </c>
      <c r="C9" s="217"/>
      <c r="D9" s="218"/>
      <c r="E9" s="219"/>
      <c r="F9" s="220">
        <f>F7</f>
        <v>54750</v>
      </c>
      <c r="G9" s="229">
        <f>F9/$F$17</f>
        <v>0.92592592592592593</v>
      </c>
      <c r="H9" s="189"/>
      <c r="I9" s="189"/>
    </row>
    <row r="10" spans="2:14" ht="15.75">
      <c r="B10" s="165"/>
      <c r="C10" s="212"/>
      <c r="D10" s="166"/>
      <c r="E10" s="188"/>
      <c r="F10" s="198"/>
      <c r="G10" s="199"/>
      <c r="H10" s="189"/>
      <c r="I10" s="189"/>
    </row>
    <row r="11" spans="2:14" ht="15.75">
      <c r="B11" s="165" t="s">
        <v>68</v>
      </c>
      <c r="C11" s="213">
        <v>0.04</v>
      </c>
      <c r="E11" s="188"/>
      <c r="F11" s="199">
        <f>F9*C11</f>
        <v>2190</v>
      </c>
      <c r="G11" s="230">
        <f>F11/$F$17</f>
        <v>3.7037037037037035E-2</v>
      </c>
      <c r="H11" s="189"/>
      <c r="I11" s="189"/>
    </row>
    <row r="12" spans="2:14" ht="15.75">
      <c r="B12" s="165"/>
      <c r="C12" s="212"/>
      <c r="E12" s="188"/>
      <c r="F12" s="198"/>
      <c r="G12" s="199"/>
      <c r="H12" s="189"/>
      <c r="I12" s="189"/>
    </row>
    <row r="13" spans="2:14">
      <c r="B13" s="146" t="s">
        <v>50</v>
      </c>
      <c r="C13" s="213">
        <v>0.04</v>
      </c>
      <c r="F13" s="202">
        <f>F9*C13</f>
        <v>2190</v>
      </c>
      <c r="G13" s="230">
        <f>F13/$F$17</f>
        <v>3.7037037037037035E-2</v>
      </c>
    </row>
    <row r="14" spans="2:14">
      <c r="D14" s="194"/>
      <c r="F14" s="202"/>
      <c r="G14" s="215"/>
    </row>
    <row r="15" spans="2:14" ht="15.75">
      <c r="B15" s="221" t="s">
        <v>70</v>
      </c>
      <c r="C15" s="222"/>
      <c r="D15" s="221"/>
      <c r="E15" s="221"/>
      <c r="F15" s="223">
        <f>F11+F13</f>
        <v>4380</v>
      </c>
      <c r="G15" s="229">
        <f>F15/$F$17</f>
        <v>7.407407407407407E-2</v>
      </c>
    </row>
    <row r="16" spans="2:14" ht="16.5" thickBot="1">
      <c r="D16" s="145"/>
      <c r="E16" s="145"/>
      <c r="F16" s="203"/>
      <c r="G16" s="231"/>
      <c r="H16" s="168"/>
      <c r="I16" s="168"/>
      <c r="J16" s="169"/>
    </row>
    <row r="17" spans="2:9" ht="15.75" customHeight="1">
      <c r="B17" s="182" t="s">
        <v>60</v>
      </c>
      <c r="C17" s="235"/>
      <c r="D17" s="183"/>
      <c r="E17" s="170"/>
      <c r="F17" s="204">
        <f>F9+F15</f>
        <v>59130</v>
      </c>
      <c r="G17" s="232">
        <f>F17/$F$17</f>
        <v>1</v>
      </c>
      <c r="H17" s="171">
        <f>H7</f>
        <v>0</v>
      </c>
      <c r="I17" s="172">
        <f>I7</f>
        <v>0</v>
      </c>
    </row>
    <row r="18" spans="2:9" ht="15.75" customHeight="1">
      <c r="B18" s="184" t="s">
        <v>61</v>
      </c>
      <c r="C18" s="237">
        <v>0.21</v>
      </c>
      <c r="D18" s="185"/>
      <c r="E18" s="173"/>
      <c r="F18" s="205">
        <f>F17*C18</f>
        <v>12417.3</v>
      </c>
      <c r="G18" s="233"/>
      <c r="H18" s="174">
        <f>H17*21/100</f>
        <v>0</v>
      </c>
      <c r="I18" s="175">
        <f>I17*21/100</f>
        <v>0</v>
      </c>
    </row>
    <row r="19" spans="2:9" ht="16.5" customHeight="1" thickBot="1">
      <c r="B19" s="186" t="s">
        <v>62</v>
      </c>
      <c r="C19" s="236"/>
      <c r="D19" s="187"/>
      <c r="E19" s="176"/>
      <c r="F19" s="206">
        <f>SUM(F17,F18)</f>
        <v>71547.3</v>
      </c>
      <c r="G19" s="234"/>
      <c r="H19" s="177">
        <f>SUM(H17,H18)</f>
        <v>0</v>
      </c>
      <c r="I19" s="178">
        <f>SUM(I17,I18)</f>
        <v>0</v>
      </c>
    </row>
    <row r="20" spans="2:9" ht="15.75">
      <c r="B20" s="179"/>
      <c r="C20" s="179"/>
      <c r="D20" s="179"/>
      <c r="E20" s="180"/>
      <c r="F20" s="180"/>
      <c r="G20" s="239"/>
      <c r="H20" s="181"/>
      <c r="I20" s="181"/>
    </row>
  </sheetData>
  <pageMargins left="0.7" right="0.7" top="0.75" bottom="0.75" header="0.3" footer="0.3"/>
  <pageSetup paperSize="9" orientation="portrait" verticalDpi="0" r:id="rId1"/>
  <customProperties>
    <customPr name="EpmWorksheetKeyString_GU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20"/>
  <sheetViews>
    <sheetView workbookViewId="0">
      <selection activeCell="D6" sqref="D6"/>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1.5703125" style="146" bestFit="1" customWidth="1"/>
    <col min="8" max="9" width="14.42578125" style="147" customWidth="1"/>
    <col min="10" max="10" width="21.42578125" style="148" customWidth="1"/>
    <col min="11" max="11" width="19.85546875" style="148" customWidth="1"/>
    <col min="12" max="12" width="11.42578125" style="148"/>
    <col min="13" max="13" width="12.140625" style="148" bestFit="1" customWidth="1"/>
    <col min="14" max="16384" width="11.42578125" style="148"/>
  </cols>
  <sheetData>
    <row r="1" spans="2:14">
      <c r="B1" s="240" t="s">
        <v>90</v>
      </c>
    </row>
    <row r="2" spans="2:14" ht="15.75" thickBot="1">
      <c r="B2" s="149"/>
      <c r="D2" s="149"/>
      <c r="E2" s="149"/>
      <c r="F2" s="149"/>
      <c r="G2" s="149"/>
      <c r="H2" s="150"/>
      <c r="I2" s="150"/>
    </row>
    <row r="3" spans="2:14"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4">
      <c r="B4" s="158" t="s">
        <v>72</v>
      </c>
      <c r="C4" s="159" t="s">
        <v>65</v>
      </c>
      <c r="D4" s="245">
        <v>75</v>
      </c>
      <c r="E4" s="241">
        <v>32</v>
      </c>
      <c r="F4" s="195">
        <f>D4*E4</f>
        <v>2400</v>
      </c>
      <c r="G4" s="226">
        <f>F4/$F$17</f>
        <v>0.81177067478437337</v>
      </c>
      <c r="H4" s="161"/>
      <c r="I4" s="162">
        <f t="shared" ref="I4" si="0">D4*H4</f>
        <v>0</v>
      </c>
      <c r="J4" s="163"/>
      <c r="K4" s="163"/>
      <c r="M4" s="244">
        <f>E4*(1+C11+C13)</f>
        <v>34.56</v>
      </c>
      <c r="N4" s="246">
        <v>34.56</v>
      </c>
    </row>
    <row r="5" spans="2:14">
      <c r="B5" s="158" t="s">
        <v>71</v>
      </c>
      <c r="C5" s="159" t="s">
        <v>65</v>
      </c>
      <c r="D5" s="245">
        <v>75</v>
      </c>
      <c r="E5" s="241">
        <v>4.5</v>
      </c>
      <c r="F5" s="195">
        <f t="shared" ref="F5" si="1">D5*E5</f>
        <v>337.5</v>
      </c>
      <c r="G5" s="227">
        <f>F5/$F$17</f>
        <v>0.11415525114155251</v>
      </c>
      <c r="H5" s="161"/>
      <c r="I5" s="162"/>
      <c r="J5" s="163"/>
      <c r="K5" s="163"/>
      <c r="M5" s="244">
        <f>E5*(1+C11+C13)</f>
        <v>4.8600000000000003</v>
      </c>
      <c r="N5" s="246">
        <v>4.8600000000000003</v>
      </c>
    </row>
    <row r="6" spans="2:14" ht="15.75" thickBot="1">
      <c r="B6" s="190"/>
      <c r="C6" s="191"/>
      <c r="D6" s="192"/>
      <c r="E6" s="193"/>
      <c r="F6" s="196"/>
      <c r="G6" s="196"/>
      <c r="H6" s="193"/>
      <c r="I6" s="193"/>
      <c r="J6" s="193"/>
      <c r="K6" s="193"/>
    </row>
    <row r="7" spans="2:14" ht="16.5" thickBot="1">
      <c r="B7" s="165" t="s">
        <v>64</v>
      </c>
      <c r="C7" s="212"/>
      <c r="D7" s="166"/>
      <c r="E7" s="166"/>
      <c r="F7" s="197">
        <f>SUM(F4:F5)</f>
        <v>2737.5</v>
      </c>
      <c r="G7" s="225">
        <f>F7/$F$17</f>
        <v>0.92592592592592593</v>
      </c>
      <c r="H7" s="167">
        <f>SUM(H4:H5)</f>
        <v>0</v>
      </c>
      <c r="I7" s="167">
        <f>SUM(I4:I5)</f>
        <v>0</v>
      </c>
    </row>
    <row r="8" spans="2:14" ht="15.75">
      <c r="B8" s="190"/>
      <c r="C8" s="191"/>
      <c r="D8" s="192"/>
      <c r="E8" s="193"/>
      <c r="F8" s="196"/>
      <c r="G8" s="196"/>
      <c r="H8" s="189"/>
      <c r="I8" s="189"/>
    </row>
    <row r="9" spans="2:14" ht="15.75">
      <c r="B9" s="216" t="s">
        <v>69</v>
      </c>
      <c r="C9" s="217"/>
      <c r="D9" s="218"/>
      <c r="E9" s="219"/>
      <c r="F9" s="220">
        <f>F7</f>
        <v>2737.5</v>
      </c>
      <c r="G9" s="229">
        <f>F9/$F$17</f>
        <v>0.92592592592592593</v>
      </c>
      <c r="H9" s="189"/>
      <c r="I9" s="189"/>
    </row>
    <row r="10" spans="2:14" ht="15.75">
      <c r="B10" s="165"/>
      <c r="C10" s="212"/>
      <c r="D10" s="166"/>
      <c r="E10" s="188"/>
      <c r="F10" s="198"/>
      <c r="G10" s="199"/>
      <c r="H10" s="189"/>
      <c r="I10" s="189"/>
    </row>
    <row r="11" spans="2:14" ht="15.75">
      <c r="B11" s="165" t="s">
        <v>68</v>
      </c>
      <c r="C11" s="213">
        <v>0.04</v>
      </c>
      <c r="E11" s="188"/>
      <c r="F11" s="199">
        <f>F9*C11</f>
        <v>109.5</v>
      </c>
      <c r="G11" s="230">
        <f>F11/$F$17</f>
        <v>3.7037037037037035E-2</v>
      </c>
      <c r="H11" s="189"/>
      <c r="I11" s="189"/>
    </row>
    <row r="12" spans="2:14" ht="15.75">
      <c r="B12" s="165"/>
      <c r="C12" s="212"/>
      <c r="E12" s="188"/>
      <c r="F12" s="198"/>
      <c r="G12" s="199"/>
      <c r="H12" s="189"/>
      <c r="I12" s="189"/>
    </row>
    <row r="13" spans="2:14">
      <c r="B13" s="146" t="s">
        <v>50</v>
      </c>
      <c r="C13" s="213">
        <v>0.04</v>
      </c>
      <c r="F13" s="202">
        <f>F9*C13</f>
        <v>109.5</v>
      </c>
      <c r="G13" s="230">
        <f>F13/$F$17</f>
        <v>3.7037037037037035E-2</v>
      </c>
    </row>
    <row r="14" spans="2:14">
      <c r="D14" s="194"/>
      <c r="F14" s="202"/>
      <c r="G14" s="215"/>
    </row>
    <row r="15" spans="2:14" ht="15.75">
      <c r="B15" s="221" t="s">
        <v>70</v>
      </c>
      <c r="C15" s="222"/>
      <c r="D15" s="221"/>
      <c r="E15" s="221"/>
      <c r="F15" s="223">
        <f>F11+F13</f>
        <v>219</v>
      </c>
      <c r="G15" s="229">
        <f>F15/$F$17</f>
        <v>7.407407407407407E-2</v>
      </c>
    </row>
    <row r="16" spans="2:14" ht="16.5" thickBot="1">
      <c r="D16" s="145"/>
      <c r="E16" s="145"/>
      <c r="F16" s="203"/>
      <c r="G16" s="231"/>
      <c r="H16" s="168"/>
      <c r="I16" s="168"/>
      <c r="J16" s="169"/>
    </row>
    <row r="17" spans="2:9" ht="15.75" customHeight="1">
      <c r="B17" s="182" t="s">
        <v>60</v>
      </c>
      <c r="C17" s="235"/>
      <c r="D17" s="183"/>
      <c r="E17" s="170"/>
      <c r="F17" s="204">
        <f>F9+F15</f>
        <v>2956.5</v>
      </c>
      <c r="G17" s="232">
        <f>F17/$F$17</f>
        <v>1</v>
      </c>
      <c r="H17" s="171">
        <f>H7</f>
        <v>0</v>
      </c>
      <c r="I17" s="172">
        <f>I7</f>
        <v>0</v>
      </c>
    </row>
    <row r="18" spans="2:9" ht="15.75" customHeight="1">
      <c r="B18" s="184" t="s">
        <v>61</v>
      </c>
      <c r="C18" s="237">
        <v>0.21</v>
      </c>
      <c r="D18" s="185"/>
      <c r="E18" s="173"/>
      <c r="F18" s="205">
        <f>F17*C18</f>
        <v>620.86500000000001</v>
      </c>
      <c r="G18" s="233"/>
      <c r="H18" s="174">
        <f>H17*21/100</f>
        <v>0</v>
      </c>
      <c r="I18" s="175">
        <f>I17*21/100</f>
        <v>0</v>
      </c>
    </row>
    <row r="19" spans="2:9" ht="16.5" customHeight="1" thickBot="1">
      <c r="B19" s="186" t="s">
        <v>62</v>
      </c>
      <c r="C19" s="236"/>
      <c r="D19" s="187"/>
      <c r="E19" s="176"/>
      <c r="F19" s="206">
        <f>SUM(F17,F18)</f>
        <v>3577.3649999999998</v>
      </c>
      <c r="G19" s="234"/>
      <c r="H19" s="177">
        <f>SUM(H17,H18)</f>
        <v>0</v>
      </c>
      <c r="I19" s="178">
        <f>SUM(I17,I18)</f>
        <v>0</v>
      </c>
    </row>
    <row r="20" spans="2:9" ht="15.75">
      <c r="B20" s="179"/>
      <c r="C20" s="179"/>
      <c r="D20" s="179"/>
      <c r="E20" s="180"/>
      <c r="F20" s="180"/>
      <c r="G20" s="239"/>
      <c r="H20" s="181"/>
      <c r="I20" s="181"/>
    </row>
  </sheetData>
  <pageMargins left="0.7" right="0.7" top="0.75" bottom="0.75" header="0.3" footer="0.3"/>
  <pageSetup paperSize="9" orientation="portrait" verticalDpi="0" r:id="rId1"/>
  <customProperties>
    <customPr name="EpmWorksheetKeyString_GU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20"/>
  <sheetViews>
    <sheetView topLeftCell="D1" workbookViewId="0">
      <selection activeCell="M37" sqref="M37"/>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1.5703125" style="146" bestFit="1" customWidth="1"/>
    <col min="8" max="9" width="14.42578125" style="147" customWidth="1"/>
    <col min="10" max="10" width="21.42578125" style="148" customWidth="1"/>
    <col min="11" max="11" width="19.85546875" style="148" customWidth="1"/>
    <col min="12" max="12" width="11.42578125" style="148"/>
    <col min="13" max="13" width="12.140625" style="148" bestFit="1" customWidth="1"/>
    <col min="14" max="16384" width="11.42578125" style="148"/>
  </cols>
  <sheetData>
    <row r="1" spans="2:14">
      <c r="B1" s="240" t="s">
        <v>90</v>
      </c>
    </row>
    <row r="2" spans="2:14" ht="15.75" thickBot="1">
      <c r="B2" s="149"/>
      <c r="D2" s="149"/>
      <c r="E2" s="149"/>
      <c r="F2" s="149"/>
      <c r="G2" s="149"/>
      <c r="H2" s="150"/>
      <c r="I2" s="150"/>
    </row>
    <row r="3" spans="2:14"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4">
      <c r="B4" s="158" t="s">
        <v>72</v>
      </c>
      <c r="C4" s="159" t="s">
        <v>65</v>
      </c>
      <c r="D4" s="245">
        <v>75</v>
      </c>
      <c r="E4" s="241">
        <v>32</v>
      </c>
      <c r="F4" s="195">
        <f>D4*E4</f>
        <v>2400</v>
      </c>
      <c r="G4" s="226">
        <f>F4/$F$17</f>
        <v>0.81177067478437337</v>
      </c>
      <c r="H4" s="161"/>
      <c r="I4" s="162">
        <f t="shared" ref="I4" si="0">D4*H4</f>
        <v>0</v>
      </c>
      <c r="J4" s="163"/>
      <c r="K4" s="163"/>
      <c r="M4" s="244">
        <f>E4*(1+C11+C13)</f>
        <v>34.56</v>
      </c>
      <c r="N4" s="246">
        <v>34.56</v>
      </c>
    </row>
    <row r="5" spans="2:14">
      <c r="B5" s="158" t="s">
        <v>71</v>
      </c>
      <c r="C5" s="159" t="s">
        <v>65</v>
      </c>
      <c r="D5" s="245">
        <v>75</v>
      </c>
      <c r="E5" s="241">
        <v>4.5</v>
      </c>
      <c r="F5" s="195">
        <f t="shared" ref="F5" si="1">D5*E5</f>
        <v>337.5</v>
      </c>
      <c r="G5" s="227">
        <f>F5/$F$17</f>
        <v>0.11415525114155251</v>
      </c>
      <c r="H5" s="161"/>
      <c r="I5" s="162"/>
      <c r="J5" s="163"/>
      <c r="K5" s="163"/>
      <c r="M5" s="244">
        <f>E5*(1+C11+C13)</f>
        <v>4.8600000000000003</v>
      </c>
      <c r="N5" s="246">
        <v>4.8600000000000003</v>
      </c>
    </row>
    <row r="6" spans="2:14" ht="15.75" thickBot="1">
      <c r="B6" s="190"/>
      <c r="C6" s="191"/>
      <c r="D6" s="192"/>
      <c r="E6" s="193"/>
      <c r="F6" s="196"/>
      <c r="G6" s="196"/>
      <c r="H6" s="193"/>
      <c r="I6" s="193"/>
      <c r="J6" s="193"/>
      <c r="K6" s="193"/>
    </row>
    <row r="7" spans="2:14" ht="16.5" thickBot="1">
      <c r="B7" s="165" t="s">
        <v>64</v>
      </c>
      <c r="C7" s="212"/>
      <c r="D7" s="166"/>
      <c r="E7" s="166"/>
      <c r="F7" s="197">
        <f>SUM(F4:F5)</f>
        <v>2737.5</v>
      </c>
      <c r="G7" s="225">
        <f>F7/$F$17</f>
        <v>0.92592592592592593</v>
      </c>
      <c r="H7" s="167">
        <f>SUM(H4:H5)</f>
        <v>0</v>
      </c>
      <c r="I7" s="167">
        <f>SUM(I4:I5)</f>
        <v>0</v>
      </c>
    </row>
    <row r="8" spans="2:14" ht="15.75">
      <c r="B8" s="190"/>
      <c r="C8" s="191"/>
      <c r="D8" s="192"/>
      <c r="E8" s="193"/>
      <c r="F8" s="196"/>
      <c r="G8" s="196"/>
      <c r="H8" s="189"/>
      <c r="I8" s="189"/>
    </row>
    <row r="9" spans="2:14" ht="15.75">
      <c r="B9" s="216" t="s">
        <v>69</v>
      </c>
      <c r="C9" s="217"/>
      <c r="D9" s="218"/>
      <c r="E9" s="219"/>
      <c r="F9" s="220">
        <f>F7</f>
        <v>2737.5</v>
      </c>
      <c r="G9" s="229">
        <f>F9/$F$17</f>
        <v>0.92592592592592593</v>
      </c>
      <c r="H9" s="189"/>
      <c r="I9" s="189"/>
    </row>
    <row r="10" spans="2:14" ht="15.75">
      <c r="B10" s="165"/>
      <c r="C10" s="212"/>
      <c r="D10" s="166"/>
      <c r="E10" s="188"/>
      <c r="F10" s="198"/>
      <c r="G10" s="199"/>
      <c r="H10" s="189"/>
      <c r="I10" s="189"/>
    </row>
    <row r="11" spans="2:14" ht="15.75">
      <c r="B11" s="165" t="s">
        <v>68</v>
      </c>
      <c r="C11" s="213">
        <v>0.04</v>
      </c>
      <c r="E11" s="188"/>
      <c r="F11" s="199">
        <f>F9*C11</f>
        <v>109.5</v>
      </c>
      <c r="G11" s="230">
        <f>F11/$F$17</f>
        <v>3.7037037037037035E-2</v>
      </c>
      <c r="H11" s="189"/>
      <c r="I11" s="189"/>
    </row>
    <row r="12" spans="2:14" ht="15.75">
      <c r="B12" s="165"/>
      <c r="C12" s="212"/>
      <c r="E12" s="188"/>
      <c r="F12" s="198"/>
      <c r="G12" s="199"/>
      <c r="H12" s="189"/>
      <c r="I12" s="189"/>
    </row>
    <row r="13" spans="2:14">
      <c r="B13" s="146" t="s">
        <v>50</v>
      </c>
      <c r="C13" s="213">
        <v>0.04</v>
      </c>
      <c r="F13" s="202">
        <f>F9*C13</f>
        <v>109.5</v>
      </c>
      <c r="G13" s="230">
        <f>F13/$F$17</f>
        <v>3.7037037037037035E-2</v>
      </c>
    </row>
    <row r="14" spans="2:14">
      <c r="D14" s="194"/>
      <c r="F14" s="202"/>
      <c r="G14" s="215"/>
    </row>
    <row r="15" spans="2:14" ht="15.75">
      <c r="B15" s="221" t="s">
        <v>70</v>
      </c>
      <c r="C15" s="222"/>
      <c r="D15" s="221"/>
      <c r="E15" s="221"/>
      <c r="F15" s="223">
        <f>F11+F13</f>
        <v>219</v>
      </c>
      <c r="G15" s="229">
        <f>F15/$F$17</f>
        <v>7.407407407407407E-2</v>
      </c>
    </row>
    <row r="16" spans="2:14" ht="16.5" thickBot="1">
      <c r="D16" s="145"/>
      <c r="E16" s="145"/>
      <c r="F16" s="203"/>
      <c r="G16" s="231"/>
      <c r="H16" s="168"/>
      <c r="I16" s="168"/>
      <c r="J16" s="169"/>
    </row>
    <row r="17" spans="2:9" ht="15.75" customHeight="1">
      <c r="B17" s="182" t="s">
        <v>60</v>
      </c>
      <c r="C17" s="235"/>
      <c r="D17" s="183"/>
      <c r="E17" s="170"/>
      <c r="F17" s="204">
        <f>F9+F15</f>
        <v>2956.5</v>
      </c>
      <c r="G17" s="232">
        <f>F17/$F$17</f>
        <v>1</v>
      </c>
      <c r="H17" s="171">
        <f>H7</f>
        <v>0</v>
      </c>
      <c r="I17" s="172">
        <f>I7</f>
        <v>0</v>
      </c>
    </row>
    <row r="18" spans="2:9" ht="15.75" customHeight="1">
      <c r="B18" s="184" t="s">
        <v>61</v>
      </c>
      <c r="C18" s="237">
        <v>0.21</v>
      </c>
      <c r="D18" s="185"/>
      <c r="E18" s="173"/>
      <c r="F18" s="205">
        <f>F17*C18</f>
        <v>620.86500000000001</v>
      </c>
      <c r="G18" s="233"/>
      <c r="H18" s="174">
        <f>H17*21/100</f>
        <v>0</v>
      </c>
      <c r="I18" s="175">
        <f>I17*21/100</f>
        <v>0</v>
      </c>
    </row>
    <row r="19" spans="2:9" ht="16.5" customHeight="1" thickBot="1">
      <c r="B19" s="186" t="s">
        <v>62</v>
      </c>
      <c r="C19" s="236"/>
      <c r="D19" s="187"/>
      <c r="E19" s="176"/>
      <c r="F19" s="206">
        <f>SUM(F17,F18)</f>
        <v>3577.3649999999998</v>
      </c>
      <c r="G19" s="234"/>
      <c r="H19" s="177">
        <f>SUM(H17,H18)</f>
        <v>0</v>
      </c>
      <c r="I19" s="178">
        <f>SUM(I17,I18)</f>
        <v>0</v>
      </c>
    </row>
    <row r="20" spans="2:9" ht="15.75">
      <c r="B20" s="179"/>
      <c r="C20" s="179"/>
      <c r="D20" s="179"/>
      <c r="E20" s="180"/>
      <c r="F20" s="180"/>
      <c r="G20" s="239"/>
      <c r="H20" s="181"/>
      <c r="I20" s="181"/>
    </row>
  </sheetData>
  <pageMargins left="0.7" right="0.7" top="0.75" bottom="0.75" header="0.3" footer="0.3"/>
  <pageSetup paperSize="9" orientation="portrait" verticalDpi="0" r:id="rId1"/>
  <customProperties>
    <customPr name="EpmWorksheetKeyString_GUID" r:id="rId2"/>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20"/>
  <sheetViews>
    <sheetView workbookViewId="0">
      <selection activeCell="C25" sqref="C25"/>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1.5703125" style="146" bestFit="1" customWidth="1"/>
    <col min="8" max="9" width="14.42578125" style="147" customWidth="1"/>
    <col min="10" max="10" width="21.42578125" style="148" customWidth="1"/>
    <col min="11" max="11" width="19.85546875" style="148" customWidth="1"/>
    <col min="12" max="12" width="11.42578125" style="148"/>
    <col min="13" max="13" width="12.140625" style="148" bestFit="1" customWidth="1"/>
    <col min="14" max="16384" width="11.42578125" style="148"/>
  </cols>
  <sheetData>
    <row r="1" spans="2:14">
      <c r="B1" s="240" t="s">
        <v>90</v>
      </c>
    </row>
    <row r="2" spans="2:14" ht="15.75" thickBot="1">
      <c r="B2" s="149"/>
      <c r="D2" s="149"/>
      <c r="E2" s="149"/>
      <c r="F2" s="149"/>
      <c r="G2" s="149"/>
      <c r="H2" s="150"/>
      <c r="I2" s="150"/>
    </row>
    <row r="3" spans="2:14"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4">
      <c r="B4" s="158" t="s">
        <v>72</v>
      </c>
      <c r="C4" s="159" t="s">
        <v>65</v>
      </c>
      <c r="D4" s="245">
        <v>75</v>
      </c>
      <c r="E4" s="241">
        <v>32</v>
      </c>
      <c r="F4" s="195">
        <f>D4*E4</f>
        <v>2400</v>
      </c>
      <c r="G4" s="226">
        <f>F4/$F$17</f>
        <v>0.81177067478437337</v>
      </c>
      <c r="H4" s="161"/>
      <c r="I4" s="162">
        <f t="shared" ref="I4" si="0">D4*H4</f>
        <v>0</v>
      </c>
      <c r="J4" s="163"/>
      <c r="K4" s="163"/>
      <c r="M4" s="244">
        <f>E4*(1+C11+C13)</f>
        <v>34.56</v>
      </c>
      <c r="N4" s="246">
        <v>34.56</v>
      </c>
    </row>
    <row r="5" spans="2:14">
      <c r="B5" s="158" t="s">
        <v>71</v>
      </c>
      <c r="C5" s="159" t="s">
        <v>65</v>
      </c>
      <c r="D5" s="245">
        <v>75</v>
      </c>
      <c r="E5" s="241">
        <v>4.5</v>
      </c>
      <c r="F5" s="195">
        <f t="shared" ref="F5" si="1">D5*E5</f>
        <v>337.5</v>
      </c>
      <c r="G5" s="227">
        <f>F5/$F$17</f>
        <v>0.11415525114155251</v>
      </c>
      <c r="H5" s="161"/>
      <c r="I5" s="162"/>
      <c r="J5" s="163"/>
      <c r="K5" s="163"/>
      <c r="M5" s="244">
        <f>E5*(1+C11+C13)</f>
        <v>4.8600000000000003</v>
      </c>
      <c r="N5" s="246">
        <v>4.8600000000000003</v>
      </c>
    </row>
    <row r="6" spans="2:14" ht="15.75" thickBot="1">
      <c r="B6" s="190"/>
      <c r="C6" s="191"/>
      <c r="D6" s="192"/>
      <c r="E6" s="193"/>
      <c r="F6" s="196"/>
      <c r="G6" s="196"/>
      <c r="H6" s="193"/>
      <c r="I6" s="193"/>
      <c r="J6" s="193"/>
      <c r="K6" s="193"/>
    </row>
    <row r="7" spans="2:14" ht="16.5" thickBot="1">
      <c r="B7" s="165" t="s">
        <v>64</v>
      </c>
      <c r="C7" s="212"/>
      <c r="D7" s="166"/>
      <c r="E7" s="166"/>
      <c r="F7" s="197">
        <f>SUM(F4:F5)</f>
        <v>2737.5</v>
      </c>
      <c r="G7" s="225">
        <f>F7/$F$17</f>
        <v>0.92592592592592593</v>
      </c>
      <c r="H7" s="167">
        <f>SUM(H4:H5)</f>
        <v>0</v>
      </c>
      <c r="I7" s="167">
        <f>SUM(I4:I5)</f>
        <v>0</v>
      </c>
    </row>
    <row r="8" spans="2:14" ht="15.75">
      <c r="B8" s="190"/>
      <c r="C8" s="191"/>
      <c r="D8" s="192"/>
      <c r="E8" s="193"/>
      <c r="F8" s="196"/>
      <c r="G8" s="196"/>
      <c r="H8" s="189"/>
      <c r="I8" s="189"/>
    </row>
    <row r="9" spans="2:14" ht="15.75">
      <c r="B9" s="216" t="s">
        <v>69</v>
      </c>
      <c r="C9" s="217"/>
      <c r="D9" s="218"/>
      <c r="E9" s="219"/>
      <c r="F9" s="220">
        <f>F7</f>
        <v>2737.5</v>
      </c>
      <c r="G9" s="229">
        <f>F9/$F$17</f>
        <v>0.92592592592592593</v>
      </c>
      <c r="H9" s="189"/>
      <c r="I9" s="189"/>
    </row>
    <row r="10" spans="2:14" ht="15.75">
      <c r="B10" s="165"/>
      <c r="C10" s="212"/>
      <c r="D10" s="166"/>
      <c r="E10" s="188"/>
      <c r="F10" s="198"/>
      <c r="G10" s="199"/>
      <c r="H10" s="189"/>
      <c r="I10" s="189"/>
    </row>
    <row r="11" spans="2:14" ht="15.75">
      <c r="B11" s="165" t="s">
        <v>68</v>
      </c>
      <c r="C11" s="213">
        <v>0.04</v>
      </c>
      <c r="E11" s="188"/>
      <c r="F11" s="199">
        <f>F9*C11</f>
        <v>109.5</v>
      </c>
      <c r="G11" s="230">
        <f>F11/$F$17</f>
        <v>3.7037037037037035E-2</v>
      </c>
      <c r="H11" s="189"/>
      <c r="I11" s="189"/>
    </row>
    <row r="12" spans="2:14" ht="15.75">
      <c r="B12" s="165"/>
      <c r="C12" s="212"/>
      <c r="E12" s="188"/>
      <c r="F12" s="198"/>
      <c r="G12" s="199"/>
      <c r="H12" s="189"/>
      <c r="I12" s="189"/>
    </row>
    <row r="13" spans="2:14">
      <c r="B13" s="146" t="s">
        <v>50</v>
      </c>
      <c r="C13" s="213">
        <v>0.04</v>
      </c>
      <c r="F13" s="202">
        <f>F9*C13</f>
        <v>109.5</v>
      </c>
      <c r="G13" s="230">
        <f>F13/$F$17</f>
        <v>3.7037037037037035E-2</v>
      </c>
    </row>
    <row r="14" spans="2:14">
      <c r="D14" s="194"/>
      <c r="F14" s="202"/>
      <c r="G14" s="215"/>
    </row>
    <row r="15" spans="2:14" ht="15.75">
      <c r="B15" s="221" t="s">
        <v>70</v>
      </c>
      <c r="C15" s="222"/>
      <c r="D15" s="221"/>
      <c r="E15" s="221"/>
      <c r="F15" s="223">
        <f>F11+F13</f>
        <v>219</v>
      </c>
      <c r="G15" s="229">
        <f>F15/$F$17</f>
        <v>7.407407407407407E-2</v>
      </c>
    </row>
    <row r="16" spans="2:14" ht="16.5" thickBot="1">
      <c r="D16" s="145"/>
      <c r="E16" s="145"/>
      <c r="F16" s="203"/>
      <c r="G16" s="231"/>
      <c r="H16" s="168"/>
      <c r="I16" s="168"/>
      <c r="J16" s="169"/>
    </row>
    <row r="17" spans="2:9" ht="15.75" customHeight="1">
      <c r="B17" s="182" t="s">
        <v>60</v>
      </c>
      <c r="C17" s="235"/>
      <c r="D17" s="183"/>
      <c r="E17" s="170"/>
      <c r="F17" s="204">
        <f>F9+F15</f>
        <v>2956.5</v>
      </c>
      <c r="G17" s="232">
        <f>F17/$F$17</f>
        <v>1</v>
      </c>
      <c r="H17" s="171">
        <f>H7</f>
        <v>0</v>
      </c>
      <c r="I17" s="172">
        <f>I7</f>
        <v>0</v>
      </c>
    </row>
    <row r="18" spans="2:9" ht="15.75" customHeight="1">
      <c r="B18" s="184" t="s">
        <v>61</v>
      </c>
      <c r="C18" s="237">
        <v>0.21</v>
      </c>
      <c r="D18" s="185"/>
      <c r="E18" s="173"/>
      <c r="F18" s="205">
        <f>F17*C18</f>
        <v>620.86500000000001</v>
      </c>
      <c r="G18" s="233"/>
      <c r="H18" s="174">
        <f>H17*21/100</f>
        <v>0</v>
      </c>
      <c r="I18" s="175">
        <f>I17*21/100</f>
        <v>0</v>
      </c>
    </row>
    <row r="19" spans="2:9" ht="16.5" customHeight="1" thickBot="1">
      <c r="B19" s="186" t="s">
        <v>62</v>
      </c>
      <c r="C19" s="236"/>
      <c r="D19" s="187"/>
      <c r="E19" s="176"/>
      <c r="F19" s="206">
        <f>SUM(F17,F18)</f>
        <v>3577.3649999999998</v>
      </c>
      <c r="G19" s="234"/>
      <c r="H19" s="177">
        <f>SUM(H17,H18)</f>
        <v>0</v>
      </c>
      <c r="I19" s="178">
        <f>SUM(I17,I18)</f>
        <v>0</v>
      </c>
    </row>
    <row r="20" spans="2:9" ht="15.75">
      <c r="B20" s="179"/>
      <c r="C20" s="179"/>
      <c r="D20" s="179"/>
      <c r="E20" s="180"/>
      <c r="F20" s="180"/>
      <c r="G20" s="239"/>
      <c r="H20" s="181"/>
      <c r="I20" s="181"/>
    </row>
  </sheetData>
  <pageMargins left="0.7" right="0.7" top="0.75" bottom="0.75" header="0.3" footer="0.3"/>
  <pageSetup paperSize="9" orientation="portrait" verticalDpi="0" r:id="rId1"/>
  <customProperties>
    <customPr name="EpmWorksheetKeyString_GU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20"/>
  <sheetViews>
    <sheetView workbookViewId="0">
      <selection activeCell="E11" sqref="E11"/>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1.5703125" style="146" bestFit="1" customWidth="1"/>
    <col min="8" max="9" width="14.42578125" style="147" customWidth="1"/>
    <col min="10" max="10" width="21.42578125" style="148" customWidth="1"/>
    <col min="11" max="11" width="19.85546875" style="148" customWidth="1"/>
    <col min="12" max="12" width="11.42578125" style="148"/>
    <col min="13" max="13" width="12.140625" style="148" bestFit="1" customWidth="1"/>
    <col min="14" max="16384" width="11.42578125" style="148"/>
  </cols>
  <sheetData>
    <row r="1" spans="2:14">
      <c r="B1" s="240" t="s">
        <v>90</v>
      </c>
    </row>
    <row r="2" spans="2:14" ht="15.75" thickBot="1">
      <c r="B2" s="149"/>
      <c r="D2" s="149"/>
      <c r="E2" s="149"/>
      <c r="F2" s="149"/>
      <c r="G2" s="149"/>
      <c r="H2" s="150"/>
      <c r="I2" s="150"/>
    </row>
    <row r="3" spans="2:14"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4">
      <c r="B4" s="158" t="s">
        <v>72</v>
      </c>
      <c r="C4" s="159" t="s">
        <v>65</v>
      </c>
      <c r="D4" s="245">
        <v>75</v>
      </c>
      <c r="E4" s="241">
        <v>32</v>
      </c>
      <c r="F4" s="195">
        <f>D4*E4</f>
        <v>2400</v>
      </c>
      <c r="G4" s="226">
        <f>F4/$F$17</f>
        <v>0.81177067478437337</v>
      </c>
      <c r="H4" s="161"/>
      <c r="I4" s="162">
        <f t="shared" ref="I4" si="0">D4*H4</f>
        <v>0</v>
      </c>
      <c r="J4" s="163"/>
      <c r="K4" s="163"/>
      <c r="M4" s="244">
        <f>E4*(1+C11+C13)</f>
        <v>34.56</v>
      </c>
      <c r="N4" s="246">
        <v>34.56</v>
      </c>
    </row>
    <row r="5" spans="2:14">
      <c r="B5" s="158" t="s">
        <v>71</v>
      </c>
      <c r="C5" s="159" t="s">
        <v>65</v>
      </c>
      <c r="D5" s="245">
        <v>75</v>
      </c>
      <c r="E5" s="241">
        <v>4.5</v>
      </c>
      <c r="F5" s="195">
        <f t="shared" ref="F5" si="1">D5*E5</f>
        <v>337.5</v>
      </c>
      <c r="G5" s="227">
        <f>F5/$F$17</f>
        <v>0.11415525114155251</v>
      </c>
      <c r="H5" s="161"/>
      <c r="I5" s="162"/>
      <c r="J5" s="163"/>
      <c r="K5" s="163"/>
      <c r="M5" s="244">
        <f>E5*(1+C11+C13)</f>
        <v>4.8600000000000003</v>
      </c>
      <c r="N5" s="246">
        <v>4.8600000000000003</v>
      </c>
    </row>
    <row r="6" spans="2:14" ht="15.75" thickBot="1">
      <c r="B6" s="190"/>
      <c r="C6" s="191"/>
      <c r="D6" s="192"/>
      <c r="E6" s="193"/>
      <c r="F6" s="196"/>
      <c r="G6" s="196"/>
      <c r="H6" s="193"/>
      <c r="I6" s="193"/>
      <c r="J6" s="193"/>
      <c r="K6" s="193"/>
    </row>
    <row r="7" spans="2:14" ht="16.5" thickBot="1">
      <c r="B7" s="165" t="s">
        <v>64</v>
      </c>
      <c r="C7" s="212"/>
      <c r="D7" s="166"/>
      <c r="E7" s="166"/>
      <c r="F7" s="197">
        <f>SUM(F4:F5)</f>
        <v>2737.5</v>
      </c>
      <c r="G7" s="225">
        <f>F7/$F$17</f>
        <v>0.92592592592592593</v>
      </c>
      <c r="H7" s="167">
        <f>SUM(H4:H5)</f>
        <v>0</v>
      </c>
      <c r="I7" s="167">
        <f>SUM(I4:I5)</f>
        <v>0</v>
      </c>
    </row>
    <row r="8" spans="2:14" ht="15.75">
      <c r="B8" s="190"/>
      <c r="C8" s="191"/>
      <c r="D8" s="192"/>
      <c r="E8" s="193"/>
      <c r="F8" s="196"/>
      <c r="G8" s="196"/>
      <c r="H8" s="189"/>
      <c r="I8" s="189"/>
    </row>
    <row r="9" spans="2:14" ht="15.75">
      <c r="B9" s="216" t="s">
        <v>69</v>
      </c>
      <c r="C9" s="217"/>
      <c r="D9" s="218"/>
      <c r="E9" s="219"/>
      <c r="F9" s="220">
        <f>F7</f>
        <v>2737.5</v>
      </c>
      <c r="G9" s="229">
        <f>F9/$F$17</f>
        <v>0.92592592592592593</v>
      </c>
      <c r="H9" s="189"/>
      <c r="I9" s="189"/>
    </row>
    <row r="10" spans="2:14" ht="15.75">
      <c r="B10" s="165"/>
      <c r="C10" s="212"/>
      <c r="D10" s="166"/>
      <c r="E10" s="188"/>
      <c r="F10" s="198"/>
      <c r="G10" s="199"/>
      <c r="H10" s="189"/>
      <c r="I10" s="189"/>
    </row>
    <row r="11" spans="2:14" ht="15.75">
      <c r="B11" s="165" t="s">
        <v>68</v>
      </c>
      <c r="C11" s="213">
        <v>0.04</v>
      </c>
      <c r="E11" s="188"/>
      <c r="F11" s="199">
        <f>F9*C11</f>
        <v>109.5</v>
      </c>
      <c r="G11" s="230">
        <f>F11/$F$17</f>
        <v>3.7037037037037035E-2</v>
      </c>
      <c r="H11" s="189"/>
      <c r="I11" s="189"/>
    </row>
    <row r="12" spans="2:14" ht="15.75">
      <c r="B12" s="165"/>
      <c r="C12" s="212"/>
      <c r="E12" s="188"/>
      <c r="F12" s="198"/>
      <c r="G12" s="199"/>
      <c r="H12" s="189"/>
      <c r="I12" s="189"/>
    </row>
    <row r="13" spans="2:14">
      <c r="B13" s="146" t="s">
        <v>50</v>
      </c>
      <c r="C13" s="213">
        <v>0.04</v>
      </c>
      <c r="F13" s="202">
        <f>F9*C13</f>
        <v>109.5</v>
      </c>
      <c r="G13" s="230">
        <f>F13/$F$17</f>
        <v>3.7037037037037035E-2</v>
      </c>
    </row>
    <row r="14" spans="2:14">
      <c r="D14" s="194"/>
      <c r="F14" s="202"/>
      <c r="G14" s="215"/>
    </row>
    <row r="15" spans="2:14" ht="15.75">
      <c r="B15" s="221" t="s">
        <v>70</v>
      </c>
      <c r="C15" s="222"/>
      <c r="D15" s="221"/>
      <c r="E15" s="221"/>
      <c r="F15" s="223">
        <f>F11+F13</f>
        <v>219</v>
      </c>
      <c r="G15" s="229">
        <f>F15/$F$17</f>
        <v>7.407407407407407E-2</v>
      </c>
    </row>
    <row r="16" spans="2:14" ht="16.5" thickBot="1">
      <c r="D16" s="145"/>
      <c r="E16" s="145"/>
      <c r="F16" s="203"/>
      <c r="G16" s="231"/>
      <c r="H16" s="168"/>
      <c r="I16" s="168"/>
      <c r="J16" s="169"/>
    </row>
    <row r="17" spans="2:9" ht="15.75" customHeight="1">
      <c r="B17" s="182" t="s">
        <v>60</v>
      </c>
      <c r="C17" s="235"/>
      <c r="D17" s="183"/>
      <c r="E17" s="170"/>
      <c r="F17" s="204">
        <f>F9+F15</f>
        <v>2956.5</v>
      </c>
      <c r="G17" s="232">
        <f>F17/$F$17</f>
        <v>1</v>
      </c>
      <c r="H17" s="171">
        <f>H7</f>
        <v>0</v>
      </c>
      <c r="I17" s="172">
        <f>I7</f>
        <v>0</v>
      </c>
    </row>
    <row r="18" spans="2:9" ht="15.75" customHeight="1">
      <c r="B18" s="184" t="s">
        <v>61</v>
      </c>
      <c r="C18" s="237">
        <v>0.21</v>
      </c>
      <c r="D18" s="185"/>
      <c r="E18" s="173"/>
      <c r="F18" s="205">
        <f>F17*C18</f>
        <v>620.86500000000001</v>
      </c>
      <c r="G18" s="233"/>
      <c r="H18" s="174">
        <f>H17*21/100</f>
        <v>0</v>
      </c>
      <c r="I18" s="175">
        <f>I17*21/100</f>
        <v>0</v>
      </c>
    </row>
    <row r="19" spans="2:9" ht="16.5" customHeight="1" thickBot="1">
      <c r="B19" s="186" t="s">
        <v>62</v>
      </c>
      <c r="C19" s="236"/>
      <c r="D19" s="187"/>
      <c r="E19" s="176"/>
      <c r="F19" s="206">
        <f>SUM(F17,F18)</f>
        <v>3577.3649999999998</v>
      </c>
      <c r="G19" s="234"/>
      <c r="H19" s="177">
        <f>SUM(H17,H18)</f>
        <v>0</v>
      </c>
      <c r="I19" s="178">
        <f>SUM(I17,I18)</f>
        <v>0</v>
      </c>
    </row>
    <row r="20" spans="2:9" ht="15.75">
      <c r="B20" s="179"/>
      <c r="C20" s="179"/>
      <c r="D20" s="179"/>
      <c r="E20" s="180"/>
      <c r="F20" s="180"/>
      <c r="G20" s="239"/>
      <c r="H20" s="181"/>
      <c r="I20" s="181"/>
    </row>
  </sheetData>
  <pageMargins left="0.7" right="0.7" top="0.75" bottom="0.75" header="0.3" footer="0.3"/>
  <pageSetup paperSize="9" orientation="portrait" verticalDpi="0" r:id="rId1"/>
  <customProperties>
    <customPr name="EpmWorksheetKeyString_GUID" r:id="rId2"/>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Q22"/>
  <sheetViews>
    <sheetView workbookViewId="0">
      <selection activeCell="D4" sqref="D4"/>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0.140625" style="146" bestFit="1" customWidth="1"/>
    <col min="8" max="9" width="14.42578125" style="147" customWidth="1"/>
    <col min="10" max="10" width="21.42578125" style="148" customWidth="1"/>
    <col min="11" max="11" width="19.85546875" style="148" customWidth="1"/>
    <col min="12" max="16384" width="11.42578125" style="148"/>
  </cols>
  <sheetData>
    <row r="1" spans="2:17">
      <c r="B1" s="240" t="s">
        <v>91</v>
      </c>
    </row>
    <row r="2" spans="2:17" ht="15.75" thickBot="1">
      <c r="B2" s="149"/>
      <c r="D2" s="149"/>
      <c r="E2" s="149"/>
      <c r="F2" s="149"/>
      <c r="G2" s="149"/>
      <c r="H2" s="150"/>
      <c r="I2" s="150"/>
    </row>
    <row r="3" spans="2:17"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7">
      <c r="B4" s="164" t="s">
        <v>92</v>
      </c>
      <c r="C4" s="159" t="s">
        <v>65</v>
      </c>
      <c r="D4" s="207">
        <v>1470</v>
      </c>
      <c r="E4" s="242">
        <v>27</v>
      </c>
      <c r="F4" s="243">
        <f>D4*E4</f>
        <v>39690</v>
      </c>
      <c r="G4" s="227">
        <f>F4/$F$19</f>
        <v>0.83333333333333337</v>
      </c>
      <c r="H4" s="161"/>
      <c r="I4" s="162">
        <f>D4*H4</f>
        <v>0</v>
      </c>
      <c r="J4" s="163"/>
      <c r="K4" s="163"/>
      <c r="M4" s="244">
        <f>E4*(1+C13+C15)</f>
        <v>29.160000000000004</v>
      </c>
      <c r="N4" s="148">
        <v>29.16</v>
      </c>
      <c r="P4" s="244">
        <f>E6*(1+C13+C15)</f>
        <v>50.760000000000005</v>
      </c>
      <c r="Q4" s="148">
        <v>50.76</v>
      </c>
    </row>
    <row r="5" spans="2:17">
      <c r="B5" s="164" t="s">
        <v>93</v>
      </c>
      <c r="C5" s="159" t="s">
        <v>65</v>
      </c>
      <c r="D5" s="207">
        <v>1470</v>
      </c>
      <c r="E5" s="242">
        <v>2</v>
      </c>
      <c r="F5" s="243">
        <f>D5*E5</f>
        <v>2940</v>
      </c>
      <c r="G5" s="228">
        <f>F5/$F$19</f>
        <v>6.1728395061728392E-2</v>
      </c>
      <c r="H5" s="161"/>
      <c r="I5" s="162">
        <f>D5*H5</f>
        <v>0</v>
      </c>
      <c r="J5" s="163"/>
      <c r="K5" s="163"/>
      <c r="M5" s="244">
        <f>E5*(1+C13+C15)</f>
        <v>2.16</v>
      </c>
      <c r="N5" s="148">
        <v>2.16</v>
      </c>
      <c r="P5" s="244">
        <f>E7*(1+C13+C15)</f>
        <v>2.16</v>
      </c>
      <c r="Q5" s="148">
        <v>2.16</v>
      </c>
    </row>
    <row r="6" spans="2:17">
      <c r="B6" s="164" t="s">
        <v>94</v>
      </c>
      <c r="C6" s="159" t="s">
        <v>65</v>
      </c>
      <c r="D6" s="207">
        <v>30</v>
      </c>
      <c r="E6" s="242">
        <v>47</v>
      </c>
      <c r="F6" s="243">
        <f>D6*E6</f>
        <v>1410</v>
      </c>
      <c r="G6" s="228">
        <f>F6/$F$19</f>
        <v>2.9604434366339128E-2</v>
      </c>
      <c r="H6" s="161"/>
      <c r="I6" s="162">
        <f>D6*H6</f>
        <v>0</v>
      </c>
      <c r="J6" s="163"/>
      <c r="K6" s="163"/>
      <c r="M6" s="244">
        <f>M4+M5</f>
        <v>31.320000000000004</v>
      </c>
      <c r="N6" s="148">
        <f>N4+N5</f>
        <v>31.32</v>
      </c>
      <c r="P6" s="244">
        <f>P4+P5</f>
        <v>52.92</v>
      </c>
      <c r="Q6" s="148">
        <f>Q4+Q5</f>
        <v>52.92</v>
      </c>
    </row>
    <row r="7" spans="2:17">
      <c r="B7" s="164" t="s">
        <v>95</v>
      </c>
      <c r="C7" s="159" t="s">
        <v>65</v>
      </c>
      <c r="D7" s="207">
        <v>30</v>
      </c>
      <c r="E7" s="242">
        <v>2</v>
      </c>
      <c r="F7" s="243">
        <f>D7*E7</f>
        <v>60</v>
      </c>
      <c r="G7" s="228">
        <f>F7/$F$19</f>
        <v>1.2597631645250692E-3</v>
      </c>
      <c r="H7" s="161"/>
      <c r="I7" s="162">
        <f>D7*H7</f>
        <v>0</v>
      </c>
      <c r="J7" s="163"/>
      <c r="K7" s="163"/>
    </row>
    <row r="8" spans="2:17" ht="15.75" thickBot="1">
      <c r="B8" s="190"/>
      <c r="C8" s="191"/>
      <c r="D8" s="192"/>
      <c r="E8" s="193"/>
      <c r="F8" s="196"/>
      <c r="G8" s="196"/>
      <c r="H8" s="193"/>
      <c r="I8" s="193"/>
      <c r="J8" s="193"/>
      <c r="K8" s="193"/>
    </row>
    <row r="9" spans="2:17" ht="16.5" thickBot="1">
      <c r="B9" s="165" t="s">
        <v>64</v>
      </c>
      <c r="C9" s="212"/>
      <c r="D9" s="166"/>
      <c r="E9" s="166"/>
      <c r="F9" s="197">
        <f>SUM(F4:F7)</f>
        <v>44100</v>
      </c>
      <c r="G9" s="225">
        <f>F9/$F$19</f>
        <v>0.92592592592592593</v>
      </c>
      <c r="H9" s="167">
        <f>SUM(H4:H4)</f>
        <v>0</v>
      </c>
      <c r="I9" s="167">
        <f>SUM(I4:I4)</f>
        <v>0</v>
      </c>
    </row>
    <row r="10" spans="2:17" ht="15.75">
      <c r="B10" s="190"/>
      <c r="C10" s="191"/>
      <c r="D10" s="192"/>
      <c r="E10" s="193"/>
      <c r="F10" s="196"/>
      <c r="G10" s="196"/>
      <c r="H10" s="189"/>
      <c r="I10" s="189"/>
    </row>
    <row r="11" spans="2:17" ht="15.75">
      <c r="B11" s="216" t="s">
        <v>69</v>
      </c>
      <c r="C11" s="217"/>
      <c r="D11" s="218"/>
      <c r="E11" s="219"/>
      <c r="F11" s="220">
        <f>F9</f>
        <v>44100</v>
      </c>
      <c r="G11" s="229">
        <f>F11/$F$19</f>
        <v>0.92592592592592593</v>
      </c>
      <c r="H11" s="189"/>
      <c r="I11" s="189"/>
    </row>
    <row r="12" spans="2:17" ht="15.75">
      <c r="B12" s="165"/>
      <c r="C12" s="212"/>
      <c r="D12" s="166"/>
      <c r="E12" s="188"/>
      <c r="F12" s="198"/>
      <c r="G12" s="199"/>
      <c r="H12" s="189"/>
      <c r="I12" s="189"/>
    </row>
    <row r="13" spans="2:17" ht="15.75">
      <c r="B13" s="165" t="s">
        <v>68</v>
      </c>
      <c r="C13" s="213">
        <v>0.04</v>
      </c>
      <c r="E13" s="188"/>
      <c r="F13" s="199">
        <f>F11*C13</f>
        <v>1764</v>
      </c>
      <c r="G13" s="230">
        <f>F13/$F$19</f>
        <v>3.7037037037037035E-2</v>
      </c>
      <c r="H13" s="189"/>
      <c r="I13" s="189"/>
    </row>
    <row r="14" spans="2:17" ht="15.75">
      <c r="B14" s="165"/>
      <c r="C14" s="212"/>
      <c r="E14" s="188"/>
      <c r="F14" s="198"/>
      <c r="G14" s="199"/>
      <c r="H14" s="189"/>
      <c r="I14" s="189"/>
    </row>
    <row r="15" spans="2:17">
      <c r="B15" s="146" t="s">
        <v>50</v>
      </c>
      <c r="C15" s="213">
        <v>0.04</v>
      </c>
      <c r="F15" s="202">
        <f>F11*C15</f>
        <v>1764</v>
      </c>
      <c r="G15" s="230">
        <f>F15/$F$19</f>
        <v>3.7037037037037035E-2</v>
      </c>
    </row>
    <row r="16" spans="2:17">
      <c r="D16" s="194"/>
      <c r="F16" s="202"/>
      <c r="G16" s="215"/>
    </row>
    <row r="17" spans="2:10" ht="15.75">
      <c r="B17" s="221" t="s">
        <v>70</v>
      </c>
      <c r="C17" s="222"/>
      <c r="D17" s="221"/>
      <c r="E17" s="221"/>
      <c r="F17" s="223">
        <f>F13+F15</f>
        <v>3528</v>
      </c>
      <c r="G17" s="229">
        <f>F17/$F$19</f>
        <v>7.407407407407407E-2</v>
      </c>
    </row>
    <row r="18" spans="2:10" ht="16.5" thickBot="1">
      <c r="D18" s="145"/>
      <c r="E18" s="145"/>
      <c r="F18" s="203"/>
      <c r="G18" s="231"/>
      <c r="H18" s="168"/>
      <c r="I18" s="168"/>
      <c r="J18" s="169"/>
    </row>
    <row r="19" spans="2:10" ht="15.75" customHeight="1">
      <c r="B19" s="182" t="s">
        <v>60</v>
      </c>
      <c r="C19" s="235"/>
      <c r="D19" s="183"/>
      <c r="E19" s="170"/>
      <c r="F19" s="204">
        <f>F11+F17</f>
        <v>47628</v>
      </c>
      <c r="G19" s="232">
        <f>F19/$F$19</f>
        <v>1</v>
      </c>
      <c r="H19" s="171">
        <f>H9</f>
        <v>0</v>
      </c>
      <c r="I19" s="172">
        <f>I9</f>
        <v>0</v>
      </c>
    </row>
    <row r="20" spans="2:10" ht="15.75" customHeight="1">
      <c r="B20" s="184" t="s">
        <v>61</v>
      </c>
      <c r="C20" s="237">
        <v>0.21</v>
      </c>
      <c r="D20" s="185"/>
      <c r="E20" s="173"/>
      <c r="F20" s="205">
        <f>F19*C20</f>
        <v>10001.879999999999</v>
      </c>
      <c r="G20" s="233"/>
      <c r="H20" s="174">
        <f>H19*21/100</f>
        <v>0</v>
      </c>
      <c r="I20" s="175">
        <f>I19*21/100</f>
        <v>0</v>
      </c>
    </row>
    <row r="21" spans="2:10" ht="16.5" customHeight="1" thickBot="1">
      <c r="B21" s="186" t="s">
        <v>62</v>
      </c>
      <c r="C21" s="236"/>
      <c r="D21" s="187"/>
      <c r="E21" s="176"/>
      <c r="F21" s="206">
        <f>SUM(F19,F20)</f>
        <v>57629.88</v>
      </c>
      <c r="G21" s="234"/>
      <c r="H21" s="177">
        <f>SUM(H19,H20)</f>
        <v>0</v>
      </c>
      <c r="I21" s="178">
        <f>SUM(I19,I20)</f>
        <v>0</v>
      </c>
    </row>
    <row r="22" spans="2:10" ht="15.75">
      <c r="B22" s="179"/>
      <c r="C22" s="179"/>
      <c r="D22" s="179"/>
      <c r="E22" s="180"/>
      <c r="F22" s="180"/>
      <c r="G22" s="239"/>
      <c r="H22" s="181"/>
      <c r="I22" s="181"/>
    </row>
  </sheetData>
  <pageMargins left="0.7" right="0.7" top="0.75" bottom="0.75" header="0.3" footer="0.3"/>
  <customProperties>
    <customPr name="EpmWorksheetKeyString_GUID" r:id="rId1"/>
  </customPropertie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Q22"/>
  <sheetViews>
    <sheetView topLeftCell="B1" workbookViewId="0">
      <selection activeCell="F24" sqref="F24"/>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0.140625" style="146" bestFit="1" customWidth="1"/>
    <col min="8" max="9" width="14.42578125" style="147" customWidth="1"/>
    <col min="10" max="10" width="21.42578125" style="148" customWidth="1"/>
    <col min="11" max="11" width="19.85546875" style="148" customWidth="1"/>
    <col min="12" max="16384" width="11.42578125" style="148"/>
  </cols>
  <sheetData>
    <row r="1" spans="2:17">
      <c r="B1" s="240" t="s">
        <v>91</v>
      </c>
    </row>
    <row r="2" spans="2:17" ht="15.75" thickBot="1">
      <c r="B2" s="149"/>
      <c r="D2" s="149"/>
      <c r="E2" s="149"/>
      <c r="F2" s="149"/>
      <c r="G2" s="149"/>
      <c r="H2" s="150"/>
      <c r="I2" s="150"/>
    </row>
    <row r="3" spans="2:17"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7">
      <c r="B4" s="164" t="s">
        <v>92</v>
      </c>
      <c r="C4" s="159" t="s">
        <v>65</v>
      </c>
      <c r="D4" s="207">
        <v>70</v>
      </c>
      <c r="E4" s="242">
        <v>27</v>
      </c>
      <c r="F4" s="243">
        <f>D4*E4</f>
        <v>1890</v>
      </c>
      <c r="G4" s="227">
        <f>F4/$F$19</f>
        <v>0.76923076923076927</v>
      </c>
      <c r="H4" s="161"/>
      <c r="I4" s="162">
        <f>D4*H4</f>
        <v>0</v>
      </c>
      <c r="J4" s="163"/>
      <c r="K4" s="163"/>
      <c r="M4" s="244">
        <f>E4*(1+C13+C15)</f>
        <v>29.160000000000004</v>
      </c>
      <c r="N4" s="148">
        <v>29.16</v>
      </c>
      <c r="P4" s="244">
        <f>E6*(1+C13+C15)</f>
        <v>50.760000000000005</v>
      </c>
      <c r="Q4" s="148">
        <v>50.76</v>
      </c>
    </row>
    <row r="5" spans="2:17">
      <c r="B5" s="164" t="s">
        <v>93</v>
      </c>
      <c r="C5" s="159" t="s">
        <v>65</v>
      </c>
      <c r="D5" s="207">
        <v>70</v>
      </c>
      <c r="E5" s="242">
        <v>2</v>
      </c>
      <c r="F5" s="243">
        <f>D5*E5</f>
        <v>140</v>
      </c>
      <c r="G5" s="228">
        <f>F5/$F$19</f>
        <v>5.6980056980056981E-2</v>
      </c>
      <c r="H5" s="161"/>
      <c r="I5" s="162">
        <f>D5*H5</f>
        <v>0</v>
      </c>
      <c r="J5" s="163"/>
      <c r="K5" s="163"/>
      <c r="M5" s="244">
        <f>E5*(1+C13+C15)</f>
        <v>2.16</v>
      </c>
      <c r="N5" s="148">
        <v>2.16</v>
      </c>
      <c r="P5" s="244">
        <f>E7*(1+C13+C15)</f>
        <v>2.16</v>
      </c>
      <c r="Q5" s="148">
        <v>2.16</v>
      </c>
    </row>
    <row r="6" spans="2:17">
      <c r="B6" s="164" t="s">
        <v>94</v>
      </c>
      <c r="C6" s="159" t="s">
        <v>65</v>
      </c>
      <c r="D6" s="207">
        <v>5</v>
      </c>
      <c r="E6" s="242">
        <v>47</v>
      </c>
      <c r="F6" s="243">
        <f>D6*E6</f>
        <v>235</v>
      </c>
      <c r="G6" s="228">
        <f>F6/$F$19</f>
        <v>9.5645095645095643E-2</v>
      </c>
      <c r="H6" s="161"/>
      <c r="I6" s="162">
        <f>D6*H6</f>
        <v>0</v>
      </c>
      <c r="J6" s="163"/>
      <c r="K6" s="163"/>
      <c r="M6" s="244">
        <f>M4+M5</f>
        <v>31.320000000000004</v>
      </c>
      <c r="N6" s="148">
        <f>N4+N5</f>
        <v>31.32</v>
      </c>
      <c r="P6" s="244">
        <f>P4+P5</f>
        <v>52.92</v>
      </c>
      <c r="Q6" s="148">
        <f>Q4+Q5</f>
        <v>52.92</v>
      </c>
    </row>
    <row r="7" spans="2:17">
      <c r="B7" s="164" t="s">
        <v>95</v>
      </c>
      <c r="C7" s="159" t="s">
        <v>65</v>
      </c>
      <c r="D7" s="207">
        <v>5</v>
      </c>
      <c r="E7" s="242">
        <v>2</v>
      </c>
      <c r="F7" s="243">
        <f>D7*E7</f>
        <v>10</v>
      </c>
      <c r="G7" s="228">
        <f>F7/$F$19</f>
        <v>4.0700040700040697E-3</v>
      </c>
      <c r="H7" s="161"/>
      <c r="I7" s="162">
        <f>D7*H7</f>
        <v>0</v>
      </c>
      <c r="J7" s="163"/>
      <c r="K7" s="163"/>
    </row>
    <row r="8" spans="2:17" ht="15.75" thickBot="1">
      <c r="B8" s="190"/>
      <c r="C8" s="191"/>
      <c r="D8" s="192"/>
      <c r="E8" s="193"/>
      <c r="F8" s="196"/>
      <c r="G8" s="196"/>
      <c r="H8" s="193"/>
      <c r="I8" s="193"/>
      <c r="J8" s="193"/>
      <c r="K8" s="193"/>
    </row>
    <row r="9" spans="2:17" ht="16.5" thickBot="1">
      <c r="B9" s="165" t="s">
        <v>64</v>
      </c>
      <c r="C9" s="212"/>
      <c r="D9" s="166"/>
      <c r="E9" s="166"/>
      <c r="F9" s="197">
        <f>SUM(F4:F7)</f>
        <v>2275</v>
      </c>
      <c r="G9" s="225">
        <f>F9/$F$19</f>
        <v>0.92592592592592593</v>
      </c>
      <c r="H9" s="167">
        <f>SUM(H4:H4)</f>
        <v>0</v>
      </c>
      <c r="I9" s="167">
        <f>SUM(I4:I4)</f>
        <v>0</v>
      </c>
    </row>
    <row r="10" spans="2:17" ht="15.75">
      <c r="B10" s="190"/>
      <c r="C10" s="191"/>
      <c r="D10" s="192"/>
      <c r="E10" s="193"/>
      <c r="F10" s="196"/>
      <c r="G10" s="196"/>
      <c r="H10" s="189"/>
      <c r="I10" s="189"/>
    </row>
    <row r="11" spans="2:17" ht="15.75">
      <c r="B11" s="216" t="s">
        <v>69</v>
      </c>
      <c r="C11" s="217"/>
      <c r="D11" s="218"/>
      <c r="E11" s="219"/>
      <c r="F11" s="220">
        <f>F9</f>
        <v>2275</v>
      </c>
      <c r="G11" s="229">
        <f>F11/$F$19</f>
        <v>0.92592592592592593</v>
      </c>
      <c r="H11" s="189"/>
      <c r="I11" s="189"/>
    </row>
    <row r="12" spans="2:17" ht="15.75">
      <c r="B12" s="165"/>
      <c r="C12" s="212"/>
      <c r="D12" s="166"/>
      <c r="E12" s="188"/>
      <c r="F12" s="198"/>
      <c r="G12" s="199"/>
      <c r="H12" s="189"/>
      <c r="I12" s="189"/>
    </row>
    <row r="13" spans="2:17" ht="15.75">
      <c r="B13" s="165" t="s">
        <v>68</v>
      </c>
      <c r="C13" s="213">
        <v>0.04</v>
      </c>
      <c r="E13" s="188"/>
      <c r="F13" s="199">
        <f>F11*C13</f>
        <v>91</v>
      </c>
      <c r="G13" s="230">
        <f>F13/$F$19</f>
        <v>3.7037037037037035E-2</v>
      </c>
      <c r="H13" s="189"/>
      <c r="I13" s="189"/>
    </row>
    <row r="14" spans="2:17" ht="15.75">
      <c r="B14" s="165"/>
      <c r="C14" s="212"/>
      <c r="E14" s="188"/>
      <c r="F14" s="198"/>
      <c r="G14" s="199"/>
      <c r="H14" s="189"/>
      <c r="I14" s="189"/>
    </row>
    <row r="15" spans="2:17">
      <c r="B15" s="146" t="s">
        <v>50</v>
      </c>
      <c r="C15" s="213">
        <v>0.04</v>
      </c>
      <c r="F15" s="202">
        <f>F11*C15</f>
        <v>91</v>
      </c>
      <c r="G15" s="230">
        <f>F15/$F$19</f>
        <v>3.7037037037037035E-2</v>
      </c>
    </row>
    <row r="16" spans="2:17">
      <c r="D16" s="194"/>
      <c r="F16" s="202"/>
      <c r="G16" s="215"/>
    </row>
    <row r="17" spans="2:10" ht="15.75">
      <c r="B17" s="221" t="s">
        <v>70</v>
      </c>
      <c r="C17" s="222"/>
      <c r="D17" s="221"/>
      <c r="E17" s="221"/>
      <c r="F17" s="223">
        <f>F13+F15</f>
        <v>182</v>
      </c>
      <c r="G17" s="229">
        <f>F17/$F$19</f>
        <v>7.407407407407407E-2</v>
      </c>
    </row>
    <row r="18" spans="2:10" ht="16.5" thickBot="1">
      <c r="D18" s="145"/>
      <c r="E18" s="145"/>
      <c r="F18" s="203"/>
      <c r="G18" s="231"/>
      <c r="H18" s="168"/>
      <c r="I18" s="168"/>
      <c r="J18" s="169"/>
    </row>
    <row r="19" spans="2:10" ht="15.75" customHeight="1">
      <c r="B19" s="182" t="s">
        <v>60</v>
      </c>
      <c r="C19" s="235"/>
      <c r="D19" s="183"/>
      <c r="E19" s="170"/>
      <c r="F19" s="204">
        <f>F11+F17</f>
        <v>2457</v>
      </c>
      <c r="G19" s="232">
        <f>F19/$F$19</f>
        <v>1</v>
      </c>
      <c r="H19" s="171">
        <f>H9</f>
        <v>0</v>
      </c>
      <c r="I19" s="172">
        <f>I9</f>
        <v>0</v>
      </c>
    </row>
    <row r="20" spans="2:10" ht="15.75" customHeight="1">
      <c r="B20" s="184" t="s">
        <v>61</v>
      </c>
      <c r="C20" s="237">
        <v>0.21</v>
      </c>
      <c r="D20" s="185"/>
      <c r="E20" s="173"/>
      <c r="F20" s="205">
        <f>F19*C20</f>
        <v>515.97</v>
      </c>
      <c r="G20" s="233"/>
      <c r="H20" s="174">
        <f>H19*21/100</f>
        <v>0</v>
      </c>
      <c r="I20" s="175">
        <f>I19*21/100</f>
        <v>0</v>
      </c>
    </row>
    <row r="21" spans="2:10" ht="16.5" customHeight="1" thickBot="1">
      <c r="B21" s="186" t="s">
        <v>62</v>
      </c>
      <c r="C21" s="236"/>
      <c r="D21" s="187"/>
      <c r="E21" s="176"/>
      <c r="F21" s="206">
        <f>SUM(F19,F20)</f>
        <v>2972.9700000000003</v>
      </c>
      <c r="G21" s="234"/>
      <c r="H21" s="177">
        <f>SUM(H19,H20)</f>
        <v>0</v>
      </c>
      <c r="I21" s="178">
        <f>SUM(I19,I20)</f>
        <v>0</v>
      </c>
    </row>
    <row r="22" spans="2:10" ht="15.75">
      <c r="B22" s="179"/>
      <c r="C22" s="179"/>
      <c r="D22" s="179"/>
      <c r="E22" s="180"/>
      <c r="F22" s="180"/>
      <c r="G22" s="239"/>
      <c r="H22" s="181"/>
      <c r="I22" s="181"/>
    </row>
  </sheetData>
  <pageMargins left="0.7" right="0.7" top="0.75" bottom="0.75" header="0.3" footer="0.3"/>
  <customProperties>
    <customPr name="EpmWorksheetKeyString_GUID" r:id="rId1"/>
  </customPropertie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Q22"/>
  <sheetViews>
    <sheetView topLeftCell="B1" workbookViewId="0">
      <selection activeCell="D8" sqref="D8"/>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0.140625" style="146" bestFit="1" customWidth="1"/>
    <col min="8" max="9" width="14.42578125" style="147" customWidth="1"/>
    <col min="10" max="10" width="21.42578125" style="148" customWidth="1"/>
    <col min="11" max="11" width="19.85546875" style="148" customWidth="1"/>
    <col min="12" max="16384" width="11.42578125" style="148"/>
  </cols>
  <sheetData>
    <row r="1" spans="2:17">
      <c r="B1" s="240" t="s">
        <v>91</v>
      </c>
    </row>
    <row r="2" spans="2:17" ht="15.75" thickBot="1">
      <c r="B2" s="149"/>
      <c r="D2" s="149"/>
      <c r="E2" s="149"/>
      <c r="F2" s="149"/>
      <c r="G2" s="149"/>
      <c r="H2" s="150"/>
      <c r="I2" s="150"/>
    </row>
    <row r="3" spans="2:17"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7">
      <c r="B4" s="164" t="s">
        <v>92</v>
      </c>
      <c r="C4" s="159" t="s">
        <v>65</v>
      </c>
      <c r="D4" s="207">
        <v>70</v>
      </c>
      <c r="E4" s="242">
        <v>27</v>
      </c>
      <c r="F4" s="243">
        <f>D4*E4</f>
        <v>1890</v>
      </c>
      <c r="G4" s="227">
        <f>F4/$F$19</f>
        <v>0.76923076923076927</v>
      </c>
      <c r="H4" s="161"/>
      <c r="I4" s="162">
        <f>D4*H4</f>
        <v>0</v>
      </c>
      <c r="J4" s="163"/>
      <c r="K4" s="163"/>
      <c r="M4" s="244">
        <f>E4*(1+C13+C15)</f>
        <v>29.160000000000004</v>
      </c>
      <c r="N4" s="148">
        <v>29.16</v>
      </c>
      <c r="P4" s="244">
        <f>E6*(1+C13+C15)</f>
        <v>50.760000000000005</v>
      </c>
      <c r="Q4" s="148">
        <v>50.76</v>
      </c>
    </row>
    <row r="5" spans="2:17">
      <c r="B5" s="164" t="s">
        <v>93</v>
      </c>
      <c r="C5" s="159" t="s">
        <v>65</v>
      </c>
      <c r="D5" s="207">
        <v>70</v>
      </c>
      <c r="E5" s="242">
        <v>2</v>
      </c>
      <c r="F5" s="243">
        <f>D5*E5</f>
        <v>140</v>
      </c>
      <c r="G5" s="228">
        <f>F5/$F$19</f>
        <v>5.6980056980056981E-2</v>
      </c>
      <c r="H5" s="161"/>
      <c r="I5" s="162">
        <f>D5*H5</f>
        <v>0</v>
      </c>
      <c r="J5" s="163"/>
      <c r="K5" s="163"/>
      <c r="M5" s="244">
        <f>E5*(1+C13+C15)</f>
        <v>2.16</v>
      </c>
      <c r="N5" s="148">
        <v>2.16</v>
      </c>
      <c r="P5" s="244">
        <f>E7*(1+C13+C15)</f>
        <v>2.16</v>
      </c>
      <c r="Q5" s="148">
        <v>2.16</v>
      </c>
    </row>
    <row r="6" spans="2:17">
      <c r="B6" s="164" t="s">
        <v>94</v>
      </c>
      <c r="C6" s="159" t="s">
        <v>65</v>
      </c>
      <c r="D6" s="207">
        <v>5</v>
      </c>
      <c r="E6" s="242">
        <v>47</v>
      </c>
      <c r="F6" s="243">
        <f>D6*E6</f>
        <v>235</v>
      </c>
      <c r="G6" s="228">
        <f>F6/$F$19</f>
        <v>9.5645095645095643E-2</v>
      </c>
      <c r="H6" s="161"/>
      <c r="I6" s="162">
        <f>D6*H6</f>
        <v>0</v>
      </c>
      <c r="J6" s="163"/>
      <c r="K6" s="163"/>
      <c r="M6" s="244">
        <f>M4+M5</f>
        <v>31.320000000000004</v>
      </c>
      <c r="N6" s="148">
        <f>N4+N5</f>
        <v>31.32</v>
      </c>
      <c r="P6" s="244">
        <f>P4+P5</f>
        <v>52.92</v>
      </c>
      <c r="Q6" s="148">
        <f>Q4+Q5</f>
        <v>52.92</v>
      </c>
    </row>
    <row r="7" spans="2:17">
      <c r="B7" s="164" t="s">
        <v>95</v>
      </c>
      <c r="C7" s="159" t="s">
        <v>65</v>
      </c>
      <c r="D7" s="207">
        <v>5</v>
      </c>
      <c r="E7" s="242">
        <v>2</v>
      </c>
      <c r="F7" s="243">
        <f>D7*E7</f>
        <v>10</v>
      </c>
      <c r="G7" s="228">
        <f>F7/$F$19</f>
        <v>4.0700040700040697E-3</v>
      </c>
      <c r="H7" s="161"/>
      <c r="I7" s="162">
        <f>D7*H7</f>
        <v>0</v>
      </c>
      <c r="J7" s="163"/>
      <c r="K7" s="163"/>
    </row>
    <row r="8" spans="2:17" ht="15.75" thickBot="1">
      <c r="B8" s="190"/>
      <c r="C8" s="191"/>
      <c r="D8" s="192"/>
      <c r="E8" s="193"/>
      <c r="F8" s="196"/>
      <c r="G8" s="196"/>
      <c r="H8" s="193"/>
      <c r="I8" s="193"/>
      <c r="J8" s="193"/>
      <c r="K8" s="193"/>
    </row>
    <row r="9" spans="2:17" ht="16.5" thickBot="1">
      <c r="B9" s="165" t="s">
        <v>64</v>
      </c>
      <c r="C9" s="212"/>
      <c r="D9" s="166"/>
      <c r="E9" s="166"/>
      <c r="F9" s="197">
        <f>SUM(F4:F7)</f>
        <v>2275</v>
      </c>
      <c r="G9" s="225">
        <f>F9/$F$19</f>
        <v>0.92592592592592593</v>
      </c>
      <c r="H9" s="167">
        <f>SUM(H4:H4)</f>
        <v>0</v>
      </c>
      <c r="I9" s="167">
        <f>SUM(I4:I4)</f>
        <v>0</v>
      </c>
    </row>
    <row r="10" spans="2:17" ht="15.75">
      <c r="B10" s="190"/>
      <c r="C10" s="191"/>
      <c r="D10" s="192"/>
      <c r="E10" s="193"/>
      <c r="F10" s="196"/>
      <c r="G10" s="196"/>
      <c r="H10" s="189"/>
      <c r="I10" s="189"/>
    </row>
    <row r="11" spans="2:17" ht="15.75">
      <c r="B11" s="216" t="s">
        <v>69</v>
      </c>
      <c r="C11" s="217"/>
      <c r="D11" s="218"/>
      <c r="E11" s="219"/>
      <c r="F11" s="220">
        <f>F9</f>
        <v>2275</v>
      </c>
      <c r="G11" s="229">
        <f>F11/$F$19</f>
        <v>0.92592592592592593</v>
      </c>
      <c r="H11" s="189"/>
      <c r="I11" s="189"/>
    </row>
    <row r="12" spans="2:17" ht="15.75">
      <c r="B12" s="165"/>
      <c r="C12" s="212"/>
      <c r="D12" s="166"/>
      <c r="E12" s="188"/>
      <c r="F12" s="198"/>
      <c r="G12" s="199"/>
      <c r="H12" s="189"/>
      <c r="I12" s="189"/>
    </row>
    <row r="13" spans="2:17" ht="15.75">
      <c r="B13" s="165" t="s">
        <v>68</v>
      </c>
      <c r="C13" s="213">
        <v>0.04</v>
      </c>
      <c r="E13" s="188"/>
      <c r="F13" s="199">
        <f>F11*C13</f>
        <v>91</v>
      </c>
      <c r="G13" s="230">
        <f>F13/$F$19</f>
        <v>3.7037037037037035E-2</v>
      </c>
      <c r="H13" s="189"/>
      <c r="I13" s="189"/>
    </row>
    <row r="14" spans="2:17" ht="15.75">
      <c r="B14" s="165"/>
      <c r="C14" s="212"/>
      <c r="E14" s="188"/>
      <c r="F14" s="198"/>
      <c r="G14" s="199"/>
      <c r="H14" s="189"/>
      <c r="I14" s="189"/>
    </row>
    <row r="15" spans="2:17">
      <c r="B15" s="146" t="s">
        <v>50</v>
      </c>
      <c r="C15" s="213">
        <v>0.04</v>
      </c>
      <c r="F15" s="202">
        <f>F11*C15</f>
        <v>91</v>
      </c>
      <c r="G15" s="230">
        <f>F15/$F$19</f>
        <v>3.7037037037037035E-2</v>
      </c>
    </row>
    <row r="16" spans="2:17">
      <c r="D16" s="194"/>
      <c r="F16" s="202"/>
      <c r="G16" s="215"/>
    </row>
    <row r="17" spans="2:10" ht="15.75">
      <c r="B17" s="221" t="s">
        <v>70</v>
      </c>
      <c r="C17" s="222"/>
      <c r="D17" s="221"/>
      <c r="E17" s="221"/>
      <c r="F17" s="223">
        <f>F13+F15</f>
        <v>182</v>
      </c>
      <c r="G17" s="229">
        <f>F17/$F$19</f>
        <v>7.407407407407407E-2</v>
      </c>
    </row>
    <row r="18" spans="2:10" ht="16.5" thickBot="1">
      <c r="D18" s="145"/>
      <c r="E18" s="145"/>
      <c r="F18" s="203"/>
      <c r="G18" s="231"/>
      <c r="H18" s="168"/>
      <c r="I18" s="168"/>
      <c r="J18" s="169"/>
    </row>
    <row r="19" spans="2:10" ht="15.75" customHeight="1">
      <c r="B19" s="182" t="s">
        <v>60</v>
      </c>
      <c r="C19" s="235"/>
      <c r="D19" s="183"/>
      <c r="E19" s="170"/>
      <c r="F19" s="204">
        <f>F11+F17</f>
        <v>2457</v>
      </c>
      <c r="G19" s="232">
        <f>F19/$F$19</f>
        <v>1</v>
      </c>
      <c r="H19" s="171">
        <f>H9</f>
        <v>0</v>
      </c>
      <c r="I19" s="172">
        <f>I9</f>
        <v>0</v>
      </c>
    </row>
    <row r="20" spans="2:10" ht="15.75" customHeight="1">
      <c r="B20" s="184" t="s">
        <v>61</v>
      </c>
      <c r="C20" s="237">
        <v>0.21</v>
      </c>
      <c r="D20" s="185"/>
      <c r="E20" s="173"/>
      <c r="F20" s="205">
        <f>F19*C20</f>
        <v>515.97</v>
      </c>
      <c r="G20" s="233"/>
      <c r="H20" s="174">
        <f>H19*21/100</f>
        <v>0</v>
      </c>
      <c r="I20" s="175">
        <f>I19*21/100</f>
        <v>0</v>
      </c>
    </row>
    <row r="21" spans="2:10" ht="16.5" customHeight="1" thickBot="1">
      <c r="B21" s="186" t="s">
        <v>62</v>
      </c>
      <c r="C21" s="236"/>
      <c r="D21" s="187"/>
      <c r="E21" s="176"/>
      <c r="F21" s="206">
        <f>SUM(F19,F20)</f>
        <v>2972.9700000000003</v>
      </c>
      <c r="G21" s="234"/>
      <c r="H21" s="177">
        <f>SUM(H19,H20)</f>
        <v>0</v>
      </c>
      <c r="I21" s="178">
        <f>SUM(I19,I20)</f>
        <v>0</v>
      </c>
    </row>
    <row r="22" spans="2:10" ht="15.75">
      <c r="B22" s="179"/>
      <c r="C22" s="179"/>
      <c r="D22" s="179"/>
      <c r="E22" s="180"/>
      <c r="F22" s="180"/>
      <c r="G22" s="239"/>
      <c r="H22" s="181"/>
      <c r="I22" s="181"/>
    </row>
  </sheetData>
  <pageMargins left="0.7" right="0.7" top="0.75" bottom="0.75" header="0.3" footer="0.3"/>
  <customProperties>
    <customPr name="EpmWorksheetKeyString_GUID" r:id="rId1"/>
  </customPropertie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Q22"/>
  <sheetViews>
    <sheetView topLeftCell="B1" workbookViewId="0">
      <selection activeCell="D8" sqref="D8"/>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0.140625" style="146" bestFit="1" customWidth="1"/>
    <col min="8" max="9" width="14.42578125" style="147" customWidth="1"/>
    <col min="10" max="10" width="21.42578125" style="148" customWidth="1"/>
    <col min="11" max="11" width="19.85546875" style="148" customWidth="1"/>
    <col min="12" max="16384" width="11.42578125" style="148"/>
  </cols>
  <sheetData>
    <row r="1" spans="2:17">
      <c r="B1" s="240" t="s">
        <v>91</v>
      </c>
    </row>
    <row r="2" spans="2:17" ht="15.75" thickBot="1">
      <c r="B2" s="149"/>
      <c r="D2" s="149"/>
      <c r="E2" s="149"/>
      <c r="F2" s="149"/>
      <c r="G2" s="149"/>
      <c r="H2" s="150"/>
      <c r="I2" s="150"/>
    </row>
    <row r="3" spans="2:17"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7">
      <c r="B4" s="164" t="s">
        <v>92</v>
      </c>
      <c r="C4" s="159" t="s">
        <v>65</v>
      </c>
      <c r="D4" s="207">
        <v>70</v>
      </c>
      <c r="E4" s="242">
        <v>27</v>
      </c>
      <c r="F4" s="243">
        <f>D4*E4</f>
        <v>1890</v>
      </c>
      <c r="G4" s="227">
        <f>F4/$F$19</f>
        <v>0.76923076923076927</v>
      </c>
      <c r="H4" s="161"/>
      <c r="I4" s="162">
        <f>D4*H4</f>
        <v>0</v>
      </c>
      <c r="J4" s="163"/>
      <c r="K4" s="163"/>
      <c r="M4" s="244">
        <f>E4*(1+C13+C15)</f>
        <v>29.160000000000004</v>
      </c>
      <c r="N4" s="148">
        <v>29.16</v>
      </c>
      <c r="P4" s="244">
        <f>E6*(1+C13+C15)</f>
        <v>50.760000000000005</v>
      </c>
      <c r="Q4" s="148">
        <v>50.76</v>
      </c>
    </row>
    <row r="5" spans="2:17">
      <c r="B5" s="164" t="s">
        <v>93</v>
      </c>
      <c r="C5" s="159" t="s">
        <v>65</v>
      </c>
      <c r="D5" s="207">
        <v>70</v>
      </c>
      <c r="E5" s="242">
        <v>2</v>
      </c>
      <c r="F5" s="243">
        <f>D5*E5</f>
        <v>140</v>
      </c>
      <c r="G5" s="228">
        <f>F5/$F$19</f>
        <v>5.6980056980056981E-2</v>
      </c>
      <c r="H5" s="161"/>
      <c r="I5" s="162">
        <f>D5*H5</f>
        <v>0</v>
      </c>
      <c r="J5" s="163"/>
      <c r="K5" s="163"/>
      <c r="M5" s="244">
        <f>E5*(1+C13+C15)</f>
        <v>2.16</v>
      </c>
      <c r="N5" s="148">
        <v>2.16</v>
      </c>
      <c r="P5" s="244">
        <f>E7*(1+C13+C15)</f>
        <v>2.16</v>
      </c>
      <c r="Q5" s="148">
        <v>2.16</v>
      </c>
    </row>
    <row r="6" spans="2:17">
      <c r="B6" s="164" t="s">
        <v>94</v>
      </c>
      <c r="C6" s="159" t="s">
        <v>65</v>
      </c>
      <c r="D6" s="207">
        <v>5</v>
      </c>
      <c r="E6" s="242">
        <v>47</v>
      </c>
      <c r="F6" s="243">
        <f>D6*E6</f>
        <v>235</v>
      </c>
      <c r="G6" s="228">
        <f>F6/$F$19</f>
        <v>9.5645095645095643E-2</v>
      </c>
      <c r="H6" s="161"/>
      <c r="I6" s="162">
        <f>D6*H6</f>
        <v>0</v>
      </c>
      <c r="J6" s="163"/>
      <c r="K6" s="163"/>
      <c r="M6" s="244">
        <f>M4+M5</f>
        <v>31.320000000000004</v>
      </c>
      <c r="N6" s="148">
        <f>N4+N5</f>
        <v>31.32</v>
      </c>
      <c r="P6" s="244">
        <f>P4+P5</f>
        <v>52.92</v>
      </c>
      <c r="Q6" s="148">
        <f>Q4+Q5</f>
        <v>52.92</v>
      </c>
    </row>
    <row r="7" spans="2:17">
      <c r="B7" s="164" t="s">
        <v>95</v>
      </c>
      <c r="C7" s="159" t="s">
        <v>65</v>
      </c>
      <c r="D7" s="207">
        <v>5</v>
      </c>
      <c r="E7" s="242">
        <v>2</v>
      </c>
      <c r="F7" s="243">
        <f>D7*E7</f>
        <v>10</v>
      </c>
      <c r="G7" s="228">
        <f>F7/$F$19</f>
        <v>4.0700040700040697E-3</v>
      </c>
      <c r="H7" s="161"/>
      <c r="I7" s="162">
        <f>D7*H7</f>
        <v>0</v>
      </c>
      <c r="J7" s="163"/>
      <c r="K7" s="163"/>
    </row>
    <row r="8" spans="2:17" ht="15.75" thickBot="1">
      <c r="B8" s="190"/>
      <c r="C8" s="191"/>
      <c r="D8" s="192"/>
      <c r="E8" s="193"/>
      <c r="F8" s="196"/>
      <c r="G8" s="196"/>
      <c r="H8" s="193"/>
      <c r="I8" s="193"/>
      <c r="J8" s="193"/>
      <c r="K8" s="193"/>
    </row>
    <row r="9" spans="2:17" ht="16.5" thickBot="1">
      <c r="B9" s="165" t="s">
        <v>64</v>
      </c>
      <c r="C9" s="212"/>
      <c r="D9" s="166"/>
      <c r="E9" s="166"/>
      <c r="F9" s="197">
        <f>SUM(F4:F7)</f>
        <v>2275</v>
      </c>
      <c r="G9" s="225">
        <f>F9/$F$19</f>
        <v>0.92592592592592593</v>
      </c>
      <c r="H9" s="167">
        <f>SUM(H4:H4)</f>
        <v>0</v>
      </c>
      <c r="I9" s="167">
        <f>SUM(I4:I4)</f>
        <v>0</v>
      </c>
    </row>
    <row r="10" spans="2:17" ht="15.75">
      <c r="B10" s="190"/>
      <c r="C10" s="191"/>
      <c r="D10" s="192"/>
      <c r="E10" s="193"/>
      <c r="F10" s="196"/>
      <c r="G10" s="196"/>
      <c r="H10" s="189"/>
      <c r="I10" s="189"/>
    </row>
    <row r="11" spans="2:17" ht="15.75">
      <c r="B11" s="216" t="s">
        <v>69</v>
      </c>
      <c r="C11" s="217"/>
      <c r="D11" s="218"/>
      <c r="E11" s="219"/>
      <c r="F11" s="220">
        <f>F9</f>
        <v>2275</v>
      </c>
      <c r="G11" s="229">
        <f>F11/$F$19</f>
        <v>0.92592592592592593</v>
      </c>
      <c r="H11" s="189"/>
      <c r="I11" s="189"/>
    </row>
    <row r="12" spans="2:17" ht="15.75">
      <c r="B12" s="165"/>
      <c r="C12" s="212"/>
      <c r="D12" s="166"/>
      <c r="E12" s="188"/>
      <c r="F12" s="198"/>
      <c r="G12" s="199"/>
      <c r="H12" s="189"/>
      <c r="I12" s="189"/>
    </row>
    <row r="13" spans="2:17" ht="15.75">
      <c r="B13" s="165" t="s">
        <v>68</v>
      </c>
      <c r="C13" s="213">
        <v>0.04</v>
      </c>
      <c r="E13" s="188"/>
      <c r="F13" s="199">
        <f>F11*C13</f>
        <v>91</v>
      </c>
      <c r="G13" s="230">
        <f>F13/$F$19</f>
        <v>3.7037037037037035E-2</v>
      </c>
      <c r="H13" s="189"/>
      <c r="I13" s="189"/>
    </row>
    <row r="14" spans="2:17" ht="15.75">
      <c r="B14" s="165"/>
      <c r="C14" s="212"/>
      <c r="E14" s="188"/>
      <c r="F14" s="198"/>
      <c r="G14" s="199"/>
      <c r="H14" s="189"/>
      <c r="I14" s="189"/>
    </row>
    <row r="15" spans="2:17">
      <c r="B15" s="146" t="s">
        <v>50</v>
      </c>
      <c r="C15" s="213">
        <v>0.04</v>
      </c>
      <c r="F15" s="202">
        <f>F11*C15</f>
        <v>91</v>
      </c>
      <c r="G15" s="230">
        <f>F15/$F$19</f>
        <v>3.7037037037037035E-2</v>
      </c>
    </row>
    <row r="16" spans="2:17">
      <c r="D16" s="194"/>
      <c r="F16" s="202"/>
      <c r="G16" s="215"/>
    </row>
    <row r="17" spans="2:10" ht="15.75">
      <c r="B17" s="221" t="s">
        <v>70</v>
      </c>
      <c r="C17" s="222"/>
      <c r="D17" s="221"/>
      <c r="E17" s="221"/>
      <c r="F17" s="223">
        <f>F13+F15</f>
        <v>182</v>
      </c>
      <c r="G17" s="229">
        <f>F17/$F$19</f>
        <v>7.407407407407407E-2</v>
      </c>
    </row>
    <row r="18" spans="2:10" ht="16.5" thickBot="1">
      <c r="D18" s="145"/>
      <c r="E18" s="145"/>
      <c r="F18" s="203"/>
      <c r="G18" s="231"/>
      <c r="H18" s="168"/>
      <c r="I18" s="168"/>
      <c r="J18" s="169"/>
    </row>
    <row r="19" spans="2:10" ht="15.75" customHeight="1">
      <c r="B19" s="182" t="s">
        <v>60</v>
      </c>
      <c r="C19" s="235"/>
      <c r="D19" s="183"/>
      <c r="E19" s="170"/>
      <c r="F19" s="204">
        <f>F11+F17</f>
        <v>2457</v>
      </c>
      <c r="G19" s="232">
        <f>F19/$F$19</f>
        <v>1</v>
      </c>
      <c r="H19" s="171">
        <f>H9</f>
        <v>0</v>
      </c>
      <c r="I19" s="172">
        <f>I9</f>
        <v>0</v>
      </c>
    </row>
    <row r="20" spans="2:10" ht="15.75" customHeight="1">
      <c r="B20" s="184" t="s">
        <v>61</v>
      </c>
      <c r="C20" s="237">
        <v>0.21</v>
      </c>
      <c r="D20" s="185"/>
      <c r="E20" s="173"/>
      <c r="F20" s="205">
        <f>F19*C20</f>
        <v>515.97</v>
      </c>
      <c r="G20" s="233"/>
      <c r="H20" s="174">
        <f>H19*21/100</f>
        <v>0</v>
      </c>
      <c r="I20" s="175">
        <f>I19*21/100</f>
        <v>0</v>
      </c>
    </row>
    <row r="21" spans="2:10" ht="16.5" customHeight="1" thickBot="1">
      <c r="B21" s="186" t="s">
        <v>62</v>
      </c>
      <c r="C21" s="236"/>
      <c r="D21" s="187"/>
      <c r="E21" s="176"/>
      <c r="F21" s="206">
        <f>SUM(F19,F20)</f>
        <v>2972.9700000000003</v>
      </c>
      <c r="G21" s="234"/>
      <c r="H21" s="177">
        <f>SUM(H19,H20)</f>
        <v>0</v>
      </c>
      <c r="I21" s="178">
        <f>SUM(I19,I20)</f>
        <v>0</v>
      </c>
    </row>
    <row r="22" spans="2:10" ht="15.75">
      <c r="B22" s="179"/>
      <c r="C22" s="179"/>
      <c r="D22" s="179"/>
      <c r="E22" s="180"/>
      <c r="F22" s="180"/>
      <c r="G22" s="239"/>
      <c r="H22" s="181"/>
      <c r="I22" s="181"/>
    </row>
  </sheetData>
  <pageMargins left="0.7" right="0.7" top="0.75" bottom="0.75" header="0.3" footer="0.3"/>
  <customProperties>
    <customPr name="EpmWorksheetKeyString_GUID" r:id="rId1"/>
  </customPropertie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Q22"/>
  <sheetViews>
    <sheetView topLeftCell="B1" workbookViewId="0">
      <selection activeCell="D10" sqref="D10"/>
    </sheetView>
  </sheetViews>
  <sheetFormatPr defaultColWidth="11.42578125" defaultRowHeight="15"/>
  <cols>
    <col min="1" max="1" width="2.42578125" style="148" customWidth="1"/>
    <col min="2" max="2" width="99.140625" style="146" bestFit="1" customWidth="1"/>
    <col min="3" max="3" width="9" style="201" bestFit="1" customWidth="1"/>
    <col min="4" max="6" width="17" style="146" customWidth="1"/>
    <col min="7" max="7" width="10.140625" style="146" bestFit="1" customWidth="1"/>
    <col min="8" max="9" width="14.42578125" style="147" customWidth="1"/>
    <col min="10" max="10" width="21.42578125" style="148" customWidth="1"/>
    <col min="11" max="11" width="19.85546875" style="148" customWidth="1"/>
    <col min="12" max="16384" width="11.42578125" style="148"/>
  </cols>
  <sheetData>
    <row r="1" spans="2:17">
      <c r="B1" s="240" t="s">
        <v>91</v>
      </c>
    </row>
    <row r="2" spans="2:17" ht="15.75" thickBot="1">
      <c r="B2" s="149"/>
      <c r="D2" s="149"/>
      <c r="E2" s="149"/>
      <c r="F2" s="149"/>
      <c r="G2" s="149"/>
      <c r="H2" s="150"/>
      <c r="I2" s="150"/>
    </row>
    <row r="3" spans="2:17" s="157" customFormat="1" ht="63.75" thickBot="1">
      <c r="B3" s="151" t="s">
        <v>73</v>
      </c>
      <c r="C3" s="152" t="s">
        <v>52</v>
      </c>
      <c r="D3" s="152" t="s">
        <v>53</v>
      </c>
      <c r="E3" s="153" t="s">
        <v>54</v>
      </c>
      <c r="F3" s="153" t="s">
        <v>55</v>
      </c>
      <c r="G3" s="238"/>
      <c r="H3" s="154" t="s">
        <v>56</v>
      </c>
      <c r="I3" s="155" t="s">
        <v>57</v>
      </c>
      <c r="J3" s="156" t="s">
        <v>58</v>
      </c>
      <c r="K3" s="156" t="s">
        <v>59</v>
      </c>
      <c r="M3" s="157" t="s">
        <v>96</v>
      </c>
      <c r="N3" s="157" t="s">
        <v>97</v>
      </c>
    </row>
    <row r="4" spans="2:17">
      <c r="B4" s="164" t="s">
        <v>92</v>
      </c>
      <c r="C4" s="159" t="s">
        <v>65</v>
      </c>
      <c r="D4" s="207">
        <v>70</v>
      </c>
      <c r="E4" s="242">
        <v>27</v>
      </c>
      <c r="F4" s="243">
        <f>D4*E4</f>
        <v>1890</v>
      </c>
      <c r="G4" s="227">
        <f>F4/$F$19</f>
        <v>0.76923076923076927</v>
      </c>
      <c r="H4" s="161"/>
      <c r="I4" s="162">
        <f>D4*H4</f>
        <v>0</v>
      </c>
      <c r="J4" s="163"/>
      <c r="K4" s="163"/>
      <c r="M4" s="244">
        <f>E4*(1+C13+C15)</f>
        <v>29.160000000000004</v>
      </c>
      <c r="N4" s="148">
        <v>29.16</v>
      </c>
      <c r="P4" s="244">
        <f>E6*(1+C13+C15)</f>
        <v>50.760000000000005</v>
      </c>
      <c r="Q4" s="148">
        <v>50.76</v>
      </c>
    </row>
    <row r="5" spans="2:17">
      <c r="B5" s="164" t="s">
        <v>93</v>
      </c>
      <c r="C5" s="159" t="s">
        <v>65</v>
      </c>
      <c r="D5" s="207">
        <v>70</v>
      </c>
      <c r="E5" s="242">
        <v>2</v>
      </c>
      <c r="F5" s="243">
        <f>D5*E5</f>
        <v>140</v>
      </c>
      <c r="G5" s="228">
        <f>F5/$F$19</f>
        <v>5.6980056980056981E-2</v>
      </c>
      <c r="H5" s="161"/>
      <c r="I5" s="162">
        <f>D5*H5</f>
        <v>0</v>
      </c>
      <c r="J5" s="163"/>
      <c r="K5" s="163"/>
      <c r="M5" s="244">
        <f>E5*(1+C13+C15)</f>
        <v>2.16</v>
      </c>
      <c r="N5" s="148">
        <v>2.16</v>
      </c>
      <c r="P5" s="244">
        <f>E7*(1+C13+C15)</f>
        <v>2.16</v>
      </c>
      <c r="Q5" s="148">
        <v>2.16</v>
      </c>
    </row>
    <row r="6" spans="2:17">
      <c r="B6" s="164" t="s">
        <v>94</v>
      </c>
      <c r="C6" s="159" t="s">
        <v>65</v>
      </c>
      <c r="D6" s="207">
        <v>5</v>
      </c>
      <c r="E6" s="242">
        <v>47</v>
      </c>
      <c r="F6" s="243">
        <f>D6*E6</f>
        <v>235</v>
      </c>
      <c r="G6" s="228">
        <f>F6/$F$19</f>
        <v>9.5645095645095643E-2</v>
      </c>
      <c r="H6" s="161"/>
      <c r="I6" s="162">
        <f>D6*H6</f>
        <v>0</v>
      </c>
      <c r="J6" s="163"/>
      <c r="K6" s="163"/>
      <c r="M6" s="244">
        <f>M4+M5</f>
        <v>31.320000000000004</v>
      </c>
      <c r="N6" s="148">
        <f>N4+N5</f>
        <v>31.32</v>
      </c>
      <c r="P6" s="244">
        <f>P4+P5</f>
        <v>52.92</v>
      </c>
      <c r="Q6" s="148">
        <f>Q4+Q5</f>
        <v>52.92</v>
      </c>
    </row>
    <row r="7" spans="2:17">
      <c r="B7" s="164" t="s">
        <v>95</v>
      </c>
      <c r="C7" s="159" t="s">
        <v>65</v>
      </c>
      <c r="D7" s="207">
        <v>5</v>
      </c>
      <c r="E7" s="242">
        <v>2</v>
      </c>
      <c r="F7" s="243">
        <f>D7*E7</f>
        <v>10</v>
      </c>
      <c r="G7" s="228">
        <f>F7/$F$19</f>
        <v>4.0700040700040697E-3</v>
      </c>
      <c r="H7" s="161"/>
      <c r="I7" s="162">
        <f>D7*H7</f>
        <v>0</v>
      </c>
      <c r="J7" s="163"/>
      <c r="K7" s="163"/>
    </row>
    <row r="8" spans="2:17" ht="15.75" thickBot="1">
      <c r="B8" s="190"/>
      <c r="C8" s="191"/>
      <c r="D8" s="192"/>
      <c r="E8" s="193"/>
      <c r="F8" s="196"/>
      <c r="G8" s="196"/>
      <c r="H8" s="193"/>
      <c r="I8" s="193"/>
      <c r="J8" s="193"/>
      <c r="K8" s="193"/>
    </row>
    <row r="9" spans="2:17" ht="16.5" thickBot="1">
      <c r="B9" s="165" t="s">
        <v>64</v>
      </c>
      <c r="C9" s="212"/>
      <c r="D9" s="166"/>
      <c r="E9" s="166"/>
      <c r="F9" s="197">
        <f>SUM(F4:F7)</f>
        <v>2275</v>
      </c>
      <c r="G9" s="225">
        <f>F9/$F$19</f>
        <v>0.92592592592592593</v>
      </c>
      <c r="H9" s="167">
        <f>SUM(H4:H4)</f>
        <v>0</v>
      </c>
      <c r="I9" s="167">
        <f>SUM(I4:I4)</f>
        <v>0</v>
      </c>
    </row>
    <row r="10" spans="2:17" ht="15.75">
      <c r="B10" s="190"/>
      <c r="C10" s="191"/>
      <c r="D10" s="192"/>
      <c r="E10" s="193"/>
      <c r="F10" s="196"/>
      <c r="G10" s="196"/>
      <c r="H10" s="189"/>
      <c r="I10" s="189"/>
    </row>
    <row r="11" spans="2:17" ht="15.75">
      <c r="B11" s="216" t="s">
        <v>69</v>
      </c>
      <c r="C11" s="217"/>
      <c r="D11" s="218"/>
      <c r="E11" s="219"/>
      <c r="F11" s="220">
        <f>F9</f>
        <v>2275</v>
      </c>
      <c r="G11" s="229">
        <f>F11/$F$19</f>
        <v>0.92592592592592593</v>
      </c>
      <c r="H11" s="189"/>
      <c r="I11" s="189"/>
    </row>
    <row r="12" spans="2:17" ht="15.75">
      <c r="B12" s="165"/>
      <c r="C12" s="212"/>
      <c r="D12" s="166"/>
      <c r="E12" s="188"/>
      <c r="F12" s="198"/>
      <c r="G12" s="199"/>
      <c r="H12" s="189"/>
      <c r="I12" s="189"/>
    </row>
    <row r="13" spans="2:17" ht="15.75">
      <c r="B13" s="165" t="s">
        <v>68</v>
      </c>
      <c r="C13" s="213">
        <v>0.04</v>
      </c>
      <c r="E13" s="188"/>
      <c r="F13" s="199">
        <f>F11*C13</f>
        <v>91</v>
      </c>
      <c r="G13" s="230">
        <f>F13/$F$19</f>
        <v>3.7037037037037035E-2</v>
      </c>
      <c r="H13" s="189"/>
      <c r="I13" s="189"/>
    </row>
    <row r="14" spans="2:17" ht="15.75">
      <c r="B14" s="165"/>
      <c r="C14" s="212"/>
      <c r="E14" s="188"/>
      <c r="F14" s="198"/>
      <c r="G14" s="199"/>
      <c r="H14" s="189"/>
      <c r="I14" s="189"/>
    </row>
    <row r="15" spans="2:17">
      <c r="B15" s="146" t="s">
        <v>50</v>
      </c>
      <c r="C15" s="213">
        <v>0.04</v>
      </c>
      <c r="F15" s="202">
        <f>F11*C15</f>
        <v>91</v>
      </c>
      <c r="G15" s="230">
        <f>F15/$F$19</f>
        <v>3.7037037037037035E-2</v>
      </c>
    </row>
    <row r="16" spans="2:17">
      <c r="D16" s="194"/>
      <c r="F16" s="202"/>
      <c r="G16" s="215"/>
    </row>
    <row r="17" spans="2:10" ht="15.75">
      <c r="B17" s="221" t="s">
        <v>70</v>
      </c>
      <c r="C17" s="222"/>
      <c r="D17" s="221"/>
      <c r="E17" s="221"/>
      <c r="F17" s="223">
        <f>F13+F15</f>
        <v>182</v>
      </c>
      <c r="G17" s="229">
        <f>F17/$F$19</f>
        <v>7.407407407407407E-2</v>
      </c>
    </row>
    <row r="18" spans="2:10" ht="16.5" thickBot="1">
      <c r="D18" s="145"/>
      <c r="E18" s="145"/>
      <c r="F18" s="203"/>
      <c r="G18" s="231"/>
      <c r="H18" s="168"/>
      <c r="I18" s="168"/>
      <c r="J18" s="169"/>
    </row>
    <row r="19" spans="2:10" ht="15.75" customHeight="1">
      <c r="B19" s="182" t="s">
        <v>60</v>
      </c>
      <c r="C19" s="235"/>
      <c r="D19" s="183"/>
      <c r="E19" s="170"/>
      <c r="F19" s="204">
        <f>F11+F17</f>
        <v>2457</v>
      </c>
      <c r="G19" s="232">
        <f>F19/$F$19</f>
        <v>1</v>
      </c>
      <c r="H19" s="171">
        <f>H9</f>
        <v>0</v>
      </c>
      <c r="I19" s="172">
        <f>I9</f>
        <v>0</v>
      </c>
    </row>
    <row r="20" spans="2:10" ht="15.75" customHeight="1">
      <c r="B20" s="184" t="s">
        <v>61</v>
      </c>
      <c r="C20" s="237">
        <v>0.21</v>
      </c>
      <c r="D20" s="185"/>
      <c r="E20" s="173"/>
      <c r="F20" s="205">
        <f>F19*C20</f>
        <v>515.97</v>
      </c>
      <c r="G20" s="233"/>
      <c r="H20" s="174">
        <f>H19*21/100</f>
        <v>0</v>
      </c>
      <c r="I20" s="175">
        <f>I19*21/100</f>
        <v>0</v>
      </c>
    </row>
    <row r="21" spans="2:10" ht="16.5" customHeight="1" thickBot="1">
      <c r="B21" s="186" t="s">
        <v>62</v>
      </c>
      <c r="C21" s="236"/>
      <c r="D21" s="187"/>
      <c r="E21" s="176"/>
      <c r="F21" s="206">
        <f>SUM(F19,F20)</f>
        <v>2972.9700000000003</v>
      </c>
      <c r="G21" s="234"/>
      <c r="H21" s="177">
        <f>SUM(H19,H20)</f>
        <v>0</v>
      </c>
      <c r="I21" s="178">
        <f>SUM(I19,I20)</f>
        <v>0</v>
      </c>
    </row>
    <row r="22" spans="2:10" ht="15.75">
      <c r="B22" s="179"/>
      <c r="C22" s="179"/>
      <c r="D22" s="179"/>
      <c r="E22" s="180"/>
      <c r="F22" s="180"/>
      <c r="G22" s="239"/>
      <c r="H22" s="181"/>
      <c r="I22" s="181"/>
    </row>
  </sheetData>
  <pageMargins left="0.7" right="0.7" top="0.75" bottom="0.75" header="0.3" footer="0.3"/>
  <customProperties>
    <customPr name="EpmWorksheetKeyString_GUID" r:id="rId1"/>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34"/>
  <sheetViews>
    <sheetView tabSelected="1" topLeftCell="A13" zoomScale="120" zoomScaleNormal="120" workbookViewId="0">
      <selection activeCell="G25" sqref="G25"/>
    </sheetView>
  </sheetViews>
  <sheetFormatPr defaultColWidth="10.5703125" defaultRowHeight="15.75"/>
  <cols>
    <col min="2" max="2" width="50.140625" customWidth="1"/>
    <col min="5" max="5" width="12.85546875" bestFit="1" customWidth="1"/>
    <col min="6" max="6" width="16.140625" bestFit="1" customWidth="1"/>
    <col min="7" max="7" width="26.140625" bestFit="1" customWidth="1"/>
    <col min="9" max="9" width="15.85546875" customWidth="1"/>
    <col min="10" max="10" width="13.42578125" customWidth="1"/>
    <col min="11" max="11" width="16.5703125" style="299" bestFit="1" customWidth="1"/>
    <col min="12" max="12" width="14.140625" bestFit="1" customWidth="1"/>
    <col min="13" max="13" width="16.140625" bestFit="1" customWidth="1"/>
    <col min="14" max="14" width="15.42578125" bestFit="1" customWidth="1"/>
  </cols>
  <sheetData>
    <row r="1" spans="1:16" ht="23.45" customHeight="1">
      <c r="A1" s="462"/>
      <c r="B1" s="478" t="s">
        <v>119</v>
      </c>
      <c r="C1" s="478"/>
      <c r="D1" s="478"/>
      <c r="E1" s="478"/>
      <c r="F1" s="478"/>
      <c r="G1" s="478"/>
      <c r="H1" s="478"/>
      <c r="I1" s="478"/>
      <c r="J1" s="293"/>
      <c r="K1" s="300"/>
      <c r="L1" s="293"/>
      <c r="M1" s="293"/>
      <c r="N1" s="293"/>
      <c r="O1" s="293"/>
      <c r="P1" s="293"/>
    </row>
    <row r="2" spans="1:16" ht="16.5" thickBot="1">
      <c r="A2" s="482"/>
      <c r="B2" s="482"/>
      <c r="C2" s="482"/>
      <c r="D2" s="482"/>
      <c r="E2" s="482"/>
      <c r="F2" s="482"/>
      <c r="G2" s="482"/>
      <c r="H2" s="482"/>
      <c r="I2" s="463"/>
      <c r="J2" s="457"/>
    </row>
    <row r="3" spans="1:16" ht="18" customHeight="1">
      <c r="A3" s="463"/>
      <c r="B3" s="479"/>
      <c r="C3" s="480"/>
      <c r="D3" s="480"/>
      <c r="E3" s="480"/>
      <c r="F3" s="480"/>
      <c r="G3" s="480"/>
      <c r="H3" s="480"/>
      <c r="I3" s="481"/>
      <c r="J3" s="457"/>
    </row>
    <row r="4" spans="1:16" ht="18">
      <c r="A4" s="463"/>
      <c r="B4" s="464"/>
      <c r="C4" s="465"/>
      <c r="D4" s="291"/>
      <c r="E4" s="291"/>
      <c r="F4" s="291"/>
      <c r="G4" s="466"/>
      <c r="H4" s="291"/>
      <c r="I4" s="250"/>
      <c r="J4" s="457"/>
    </row>
    <row r="5" spans="1:16" ht="18">
      <c r="A5" s="463"/>
      <c r="B5" s="467"/>
      <c r="C5" s="465"/>
      <c r="D5" s="291"/>
      <c r="E5" s="291"/>
      <c r="F5" s="291"/>
      <c r="G5" s="466"/>
      <c r="H5" s="291"/>
      <c r="I5" s="250"/>
      <c r="J5" s="457"/>
    </row>
    <row r="6" spans="1:16" ht="26.25">
      <c r="A6" s="463"/>
      <c r="B6" s="459" t="s">
        <v>174</v>
      </c>
      <c r="C6" s="248"/>
      <c r="D6" s="248"/>
      <c r="E6" s="248"/>
      <c r="F6" s="249"/>
      <c r="G6" s="248"/>
      <c r="H6" s="248"/>
      <c r="I6" s="250"/>
      <c r="J6" s="457"/>
    </row>
    <row r="7" spans="1:16">
      <c r="A7" s="463"/>
      <c r="B7" s="251"/>
      <c r="C7" s="248"/>
      <c r="D7" s="248"/>
      <c r="E7" s="248"/>
      <c r="F7" s="249"/>
      <c r="G7" s="248"/>
      <c r="H7" s="248"/>
      <c r="I7" s="250"/>
      <c r="J7" s="457"/>
    </row>
    <row r="8" spans="1:16" ht="24">
      <c r="A8" s="463"/>
      <c r="B8" s="252" t="s">
        <v>102</v>
      </c>
      <c r="C8" s="253" t="s">
        <v>103</v>
      </c>
      <c r="D8" s="254" t="s">
        <v>104</v>
      </c>
      <c r="E8" s="254" t="s">
        <v>105</v>
      </c>
      <c r="F8" s="255" t="s">
        <v>106</v>
      </c>
      <c r="G8" s="254" t="s">
        <v>107</v>
      </c>
      <c r="H8" s="254" t="s">
        <v>108</v>
      </c>
      <c r="I8" s="250"/>
      <c r="J8" s="457"/>
      <c r="L8" s="256"/>
    </row>
    <row r="9" spans="1:16">
      <c r="A9" s="463"/>
      <c r="B9" s="268" t="s">
        <v>109</v>
      </c>
      <c r="C9" s="296"/>
      <c r="D9" s="269"/>
      <c r="E9" s="269"/>
      <c r="F9" s="271"/>
      <c r="G9" s="270"/>
      <c r="H9" s="271"/>
      <c r="I9" s="250"/>
      <c r="J9" s="457"/>
      <c r="M9" s="272"/>
    </row>
    <row r="10" spans="1:16">
      <c r="A10" s="463"/>
      <c r="B10" s="295"/>
      <c r="C10" s="294"/>
      <c r="D10" s="269"/>
      <c r="E10" s="269"/>
      <c r="F10" s="271"/>
      <c r="G10" s="270"/>
      <c r="H10" s="271"/>
      <c r="I10" s="250"/>
      <c r="J10" s="457"/>
      <c r="M10" s="272"/>
    </row>
    <row r="11" spans="1:16" ht="12.6" customHeight="1">
      <c r="A11" s="463"/>
      <c r="B11" s="468" t="s">
        <v>120</v>
      </c>
      <c r="C11" s="273" t="s">
        <v>110</v>
      </c>
      <c r="D11" s="298">
        <v>1712</v>
      </c>
      <c r="E11" s="274">
        <v>36.85</v>
      </c>
      <c r="F11" s="258">
        <f>D11*E11</f>
        <v>63087.200000000004</v>
      </c>
      <c r="G11" s="257"/>
      <c r="H11" s="258">
        <f>G11*D11</f>
        <v>0</v>
      </c>
      <c r="I11" s="250"/>
      <c r="J11" s="458"/>
    </row>
    <row r="12" spans="1:16" ht="24">
      <c r="A12" s="463"/>
      <c r="B12" s="468" t="s">
        <v>121</v>
      </c>
      <c r="C12" s="273" t="s">
        <v>110</v>
      </c>
      <c r="D12" s="298">
        <v>1712</v>
      </c>
      <c r="E12" s="274">
        <v>8.25</v>
      </c>
      <c r="F12" s="258">
        <f>D12*E12</f>
        <v>14124</v>
      </c>
      <c r="G12" s="257"/>
      <c r="H12" s="258">
        <f>G12*D12</f>
        <v>0</v>
      </c>
      <c r="I12" s="250"/>
      <c r="J12" s="247"/>
    </row>
    <row r="13" spans="1:16">
      <c r="A13" s="463"/>
      <c r="B13" s="469"/>
      <c r="C13" s="273"/>
      <c r="D13" s="297"/>
      <c r="E13" s="274"/>
      <c r="F13" s="258"/>
      <c r="G13" s="257"/>
      <c r="H13" s="258"/>
      <c r="I13" s="250"/>
      <c r="J13" s="247"/>
    </row>
    <row r="14" spans="1:16">
      <c r="A14" s="463"/>
      <c r="B14" s="259"/>
      <c r="C14" s="260"/>
      <c r="D14" s="483" t="s">
        <v>111</v>
      </c>
      <c r="E14" s="484"/>
      <c r="F14" s="261">
        <f>SUM(F11:F13)</f>
        <v>77211.200000000012</v>
      </c>
      <c r="G14" s="262" t="s">
        <v>112</v>
      </c>
      <c r="H14" s="263">
        <f>SUM(H11:H13)</f>
        <v>0</v>
      </c>
      <c r="I14" s="250"/>
      <c r="J14" s="247"/>
    </row>
    <row r="15" spans="1:16">
      <c r="A15" s="463"/>
      <c r="B15" s="259"/>
      <c r="C15" s="260"/>
      <c r="D15" s="264"/>
      <c r="E15" s="264"/>
      <c r="F15" s="265"/>
      <c r="G15" s="266"/>
      <c r="H15" s="267"/>
      <c r="I15" s="250"/>
      <c r="J15" s="247"/>
    </row>
    <row r="16" spans="1:16">
      <c r="A16" s="463"/>
      <c r="B16" s="268"/>
      <c r="C16" s="260"/>
      <c r="D16" s="269"/>
      <c r="E16" s="269"/>
      <c r="F16" s="271"/>
      <c r="G16" s="270"/>
      <c r="H16" s="271"/>
      <c r="I16" s="250"/>
      <c r="J16" s="247"/>
    </row>
    <row r="17" spans="1:10">
      <c r="A17" s="463"/>
      <c r="B17" s="275"/>
      <c r="C17" s="248"/>
      <c r="D17" s="269"/>
      <c r="E17" s="269"/>
      <c r="F17" s="249"/>
      <c r="G17" s="248"/>
      <c r="H17" s="276"/>
      <c r="I17" s="250"/>
      <c r="J17" s="247"/>
    </row>
    <row r="18" spans="1:10">
      <c r="A18" s="463"/>
      <c r="B18" s="275"/>
      <c r="C18" s="248"/>
      <c r="D18" s="277" t="s">
        <v>113</v>
      </c>
      <c r="E18" s="278"/>
      <c r="F18" s="279">
        <f>F14</f>
        <v>77211.200000000012</v>
      </c>
      <c r="G18" s="280" t="s">
        <v>114</v>
      </c>
      <c r="H18" s="258">
        <f>H14</f>
        <v>0</v>
      </c>
      <c r="I18" s="250"/>
      <c r="J18" s="458"/>
    </row>
    <row r="19" spans="1:10">
      <c r="A19" s="463"/>
      <c r="B19" s="275"/>
      <c r="C19" s="248"/>
      <c r="D19" s="277" t="s">
        <v>115</v>
      </c>
      <c r="E19" s="281">
        <v>0.21</v>
      </c>
      <c r="F19" s="279">
        <f>E19*F18</f>
        <v>16214.352000000003</v>
      </c>
      <c r="G19" s="282"/>
      <c r="H19" s="258">
        <f>H18*E19</f>
        <v>0</v>
      </c>
      <c r="I19" s="250"/>
      <c r="J19" s="457"/>
    </row>
    <row r="20" spans="1:10">
      <c r="A20" s="463"/>
      <c r="B20" s="275"/>
      <c r="C20" s="248"/>
      <c r="D20" s="283" t="s">
        <v>116</v>
      </c>
      <c r="E20" s="284"/>
      <c r="F20" s="285">
        <f>SUM(F18:F19)</f>
        <v>93425.552000000011</v>
      </c>
      <c r="G20" s="286" t="s">
        <v>117</v>
      </c>
      <c r="H20" s="287">
        <f>H18+H19</f>
        <v>0</v>
      </c>
      <c r="I20" s="250"/>
      <c r="J20" s="457"/>
    </row>
    <row r="21" spans="1:10">
      <c r="A21" s="463"/>
      <c r="B21" s="275"/>
      <c r="C21" s="248"/>
      <c r="D21" s="288"/>
      <c r="E21" s="289"/>
      <c r="F21" s="290"/>
      <c r="G21" s="266"/>
      <c r="H21" s="267"/>
      <c r="I21" s="250"/>
      <c r="J21" s="457"/>
    </row>
    <row r="22" spans="1:10">
      <c r="A22" s="463"/>
      <c r="B22" s="275"/>
      <c r="C22" s="291" t="s">
        <v>118</v>
      </c>
      <c r="D22" s="291"/>
      <c r="E22" s="291"/>
      <c r="F22" s="292"/>
      <c r="G22" s="475"/>
      <c r="H22" s="291"/>
      <c r="I22" s="250"/>
      <c r="J22" s="457"/>
    </row>
    <row r="23" spans="1:10">
      <c r="A23" s="463"/>
      <c r="B23" s="275"/>
      <c r="C23" s="291"/>
      <c r="D23" s="291"/>
      <c r="E23" s="291"/>
      <c r="F23" s="291"/>
      <c r="G23" s="291"/>
      <c r="H23" s="291"/>
      <c r="I23" s="250"/>
      <c r="J23" s="457"/>
    </row>
    <row r="24" spans="1:10" ht="72" customHeight="1">
      <c r="A24" s="463"/>
      <c r="B24" s="487" t="s">
        <v>176</v>
      </c>
      <c r="C24" s="488"/>
      <c r="D24" s="461"/>
      <c r="E24" s="461"/>
      <c r="F24" s="460"/>
      <c r="G24" s="460"/>
      <c r="H24" s="460"/>
      <c r="I24" s="250"/>
      <c r="J24" s="457"/>
    </row>
    <row r="25" spans="1:10">
      <c r="A25" s="463"/>
      <c r="B25" s="275"/>
      <c r="C25" s="291"/>
      <c r="D25" s="291"/>
      <c r="E25" s="291"/>
      <c r="F25" s="291"/>
      <c r="G25" s="291"/>
      <c r="H25" s="291"/>
      <c r="I25" s="250"/>
      <c r="J25" s="457"/>
    </row>
    <row r="26" spans="1:10">
      <c r="A26" s="463"/>
      <c r="B26" s="275"/>
      <c r="C26" s="291"/>
      <c r="D26" s="291"/>
      <c r="E26" s="291"/>
      <c r="F26" s="291"/>
      <c r="G26" s="291"/>
      <c r="H26" s="291"/>
      <c r="I26" s="250"/>
      <c r="J26" s="457"/>
    </row>
    <row r="27" spans="1:10">
      <c r="A27" s="463"/>
      <c r="B27" s="485" t="s">
        <v>175</v>
      </c>
      <c r="C27" s="486"/>
      <c r="D27" s="486"/>
      <c r="E27" s="486"/>
      <c r="F27" s="486"/>
      <c r="G27" s="486"/>
      <c r="H27" s="486"/>
      <c r="I27" s="250"/>
      <c r="J27" s="457"/>
    </row>
    <row r="28" spans="1:10">
      <c r="A28" s="463"/>
      <c r="B28" s="275"/>
      <c r="C28" s="291"/>
      <c r="D28" s="291"/>
      <c r="E28" s="291"/>
      <c r="F28" s="291"/>
      <c r="G28" s="291"/>
      <c r="H28" s="291"/>
      <c r="I28" s="250"/>
      <c r="J28" s="457"/>
    </row>
    <row r="29" spans="1:10">
      <c r="A29" s="463"/>
      <c r="B29" s="275"/>
      <c r="C29" s="291"/>
      <c r="D29" s="291"/>
      <c r="E29" s="291"/>
      <c r="F29" s="291"/>
      <c r="G29" s="291"/>
      <c r="H29" s="291"/>
      <c r="I29" s="250"/>
      <c r="J29" s="457"/>
    </row>
    <row r="30" spans="1:10">
      <c r="A30" s="463"/>
      <c r="B30" s="275"/>
      <c r="C30" s="291"/>
      <c r="D30" s="291"/>
      <c r="E30" s="291"/>
      <c r="F30" s="291"/>
      <c r="G30" s="291"/>
      <c r="H30" s="291"/>
      <c r="I30" s="250"/>
      <c r="J30" s="457"/>
    </row>
    <row r="31" spans="1:10">
      <c r="A31" s="463"/>
      <c r="B31" s="275"/>
      <c r="C31" s="291"/>
      <c r="D31" s="291"/>
      <c r="E31" s="291"/>
      <c r="F31" s="291"/>
      <c r="G31" s="291"/>
      <c r="H31" s="291"/>
      <c r="I31" s="250"/>
      <c r="J31" s="457"/>
    </row>
    <row r="32" spans="1:10">
      <c r="A32" s="463"/>
      <c r="B32" s="470"/>
      <c r="C32" s="471"/>
      <c r="D32" s="471"/>
      <c r="E32" s="471"/>
      <c r="F32" s="471"/>
      <c r="G32" s="471"/>
      <c r="H32" s="471"/>
      <c r="I32" s="250"/>
      <c r="J32" s="457"/>
    </row>
    <row r="33" spans="1:10" ht="16.5" thickBot="1">
      <c r="A33" s="463"/>
      <c r="B33" s="472"/>
      <c r="C33" s="473"/>
      <c r="D33" s="473"/>
      <c r="E33" s="473"/>
      <c r="F33" s="473"/>
      <c r="G33" s="473"/>
      <c r="H33" s="473"/>
      <c r="I33" s="474"/>
      <c r="J33" s="457"/>
    </row>
    <row r="34" spans="1:10">
      <c r="A34" s="482"/>
      <c r="B34" s="482"/>
      <c r="C34" s="482"/>
      <c r="D34" s="482"/>
      <c r="E34" s="482"/>
      <c r="F34" s="482"/>
      <c r="G34" s="482"/>
      <c r="H34" s="482"/>
      <c r="I34" s="463"/>
      <c r="J34" s="457"/>
    </row>
  </sheetData>
  <sheetProtection password="CED6" sheet="1" objects="1" scenarios="1"/>
  <mergeCells count="7">
    <mergeCell ref="B1:I1"/>
    <mergeCell ref="B3:I3"/>
    <mergeCell ref="A34:H34"/>
    <mergeCell ref="A2:H2"/>
    <mergeCell ref="D14:E14"/>
    <mergeCell ref="B27:H27"/>
    <mergeCell ref="B24:C24"/>
  </mergeCells>
  <printOptions horizontalCentered="1"/>
  <pageMargins left="0.23622047244094491" right="0.23622047244094491" top="0.74803149606299213" bottom="0.74803149606299213" header="0.31496062992125984" footer="0.31496062992125984"/>
  <pageSetup paperSize="8" scale="110" orientation="landscape" r:id="rId1"/>
  <customProperties>
    <customPr name="EpmWorksheetKeyString_GUID" r:id="rId2"/>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D1:AD2"/>
  <sheetViews>
    <sheetView topLeftCell="C1" zoomScale="90" zoomScaleNormal="90" workbookViewId="0">
      <selection activeCell="V106" sqref="V106"/>
    </sheetView>
  </sheetViews>
  <sheetFormatPr defaultRowHeight="12.75"/>
  <sheetData>
    <row r="1" spans="4:30">
      <c r="D1" s="489" t="s">
        <v>99</v>
      </c>
      <c r="E1" s="489"/>
      <c r="F1" s="489"/>
      <c r="G1" s="489"/>
      <c r="H1" s="489"/>
      <c r="I1" s="489"/>
      <c r="J1" s="489"/>
      <c r="K1" s="489"/>
      <c r="L1" s="489"/>
      <c r="M1" s="489"/>
      <c r="N1" s="489"/>
      <c r="O1" s="489"/>
      <c r="P1" s="489"/>
      <c r="Q1" s="489"/>
      <c r="R1" s="489"/>
      <c r="S1" s="489"/>
      <c r="T1" s="489"/>
      <c r="U1" s="489"/>
      <c r="V1" s="489"/>
      <c r="W1" s="489"/>
      <c r="X1" s="489"/>
      <c r="Y1" s="489"/>
      <c r="Z1" s="489"/>
      <c r="AA1" s="489"/>
      <c r="AB1" s="489"/>
      <c r="AC1" s="489"/>
      <c r="AD1" s="489"/>
    </row>
    <row r="2" spans="4:30">
      <c r="D2" s="489"/>
      <c r="E2" s="489"/>
      <c r="F2" s="489"/>
      <c r="G2" s="489"/>
      <c r="H2" s="489"/>
      <c r="I2" s="489"/>
      <c r="J2" s="489"/>
      <c r="K2" s="489"/>
      <c r="L2" s="489"/>
      <c r="M2" s="489"/>
      <c r="N2" s="489"/>
      <c r="O2" s="489"/>
      <c r="P2" s="489"/>
      <c r="Q2" s="489"/>
      <c r="R2" s="489"/>
      <c r="S2" s="489"/>
      <c r="T2" s="489"/>
      <c r="U2" s="489"/>
      <c r="V2" s="489"/>
      <c r="W2" s="489"/>
      <c r="X2" s="489"/>
      <c r="Y2" s="489"/>
      <c r="Z2" s="489"/>
      <c r="AA2" s="489"/>
      <c r="AB2" s="489"/>
      <c r="AC2" s="489"/>
      <c r="AD2" s="489"/>
    </row>
  </sheetData>
  <mergeCells count="1">
    <mergeCell ref="D1:AD2"/>
  </mergeCells>
  <pageMargins left="0.7" right="0.7" top="0.75" bottom="0.75" header="0.3" footer="0.3"/>
  <pageSetup paperSize="8" scale="59" orientation="landscape" r:id="rId1"/>
  <customProperties>
    <customPr name="EpmWorksheetKeyString_GUID" r:id="rId2"/>
  </customProperties>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customProperties>
    <customPr name="EpmWorksheetKeyString_GUID" r:id="rId1"/>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A251"/>
  <sheetViews>
    <sheetView zoomScale="90" zoomScaleNormal="90" workbookViewId="0">
      <selection activeCell="Y228" sqref="Y228"/>
    </sheetView>
  </sheetViews>
  <sheetFormatPr defaultRowHeight="12.75"/>
  <cols>
    <col min="23" max="23" width="8.85546875" bestFit="1" customWidth="1"/>
    <col min="24" max="24" width="9.140625" bestFit="1" customWidth="1"/>
    <col min="25" max="25" width="25" bestFit="1" customWidth="1"/>
  </cols>
  <sheetData>
    <row r="1" spans="1:21">
      <c r="A1" s="492" t="s">
        <v>126</v>
      </c>
      <c r="B1" s="492"/>
      <c r="C1" s="492"/>
      <c r="D1" s="492"/>
      <c r="E1" s="492"/>
      <c r="F1" s="492"/>
      <c r="G1" s="492"/>
      <c r="H1" s="492"/>
      <c r="I1" s="492"/>
      <c r="J1" s="492"/>
      <c r="K1" s="492"/>
      <c r="L1" s="492"/>
      <c r="M1" s="492"/>
      <c r="N1" s="492"/>
      <c r="O1" s="492"/>
      <c r="P1" s="492"/>
      <c r="Q1" s="492"/>
      <c r="R1" s="492"/>
      <c r="S1" s="492"/>
      <c r="T1" s="492"/>
      <c r="U1" s="492"/>
    </row>
    <row r="2" spans="1:21" ht="15.95" customHeight="1">
      <c r="A2" s="492"/>
      <c r="B2" s="492"/>
      <c r="C2" s="492"/>
      <c r="D2" s="492"/>
      <c r="E2" s="492"/>
      <c r="F2" s="492"/>
      <c r="G2" s="492"/>
      <c r="H2" s="492"/>
      <c r="I2" s="492"/>
      <c r="J2" s="492"/>
      <c r="K2" s="492"/>
      <c r="L2" s="492"/>
      <c r="M2" s="492"/>
      <c r="N2" s="492"/>
      <c r="O2" s="492"/>
      <c r="P2" s="492"/>
      <c r="Q2" s="492"/>
      <c r="R2" s="492"/>
      <c r="S2" s="492"/>
      <c r="T2" s="492"/>
      <c r="U2" s="492"/>
    </row>
    <row r="3" spans="1:21">
      <c r="A3" s="3" t="s">
        <v>122</v>
      </c>
      <c r="B3" s="319" t="s">
        <v>123</v>
      </c>
    </row>
    <row r="41" spans="1:21">
      <c r="A41" s="3" t="s">
        <v>122</v>
      </c>
      <c r="B41" s="490" t="s">
        <v>124</v>
      </c>
      <c r="C41" s="491"/>
      <c r="D41" s="491"/>
      <c r="E41" s="491"/>
      <c r="F41" s="491"/>
      <c r="G41" s="491"/>
      <c r="H41" s="491"/>
      <c r="I41" s="491"/>
      <c r="J41" s="491"/>
      <c r="K41" s="491"/>
      <c r="L41" s="491"/>
      <c r="M41" s="491"/>
      <c r="N41" s="491"/>
      <c r="O41" s="491"/>
      <c r="P41" s="491"/>
      <c r="Q41" s="491"/>
      <c r="R41" s="491"/>
      <c r="S41" s="491"/>
      <c r="T41" s="491"/>
      <c r="U41" s="491"/>
    </row>
    <row r="42" spans="1:21">
      <c r="B42" s="491"/>
      <c r="C42" s="491"/>
      <c r="D42" s="491"/>
      <c r="E42" s="491"/>
      <c r="F42" s="491"/>
      <c r="G42" s="491"/>
      <c r="H42" s="491"/>
      <c r="I42" s="491"/>
      <c r="J42" s="491"/>
      <c r="K42" s="491"/>
      <c r="L42" s="491"/>
      <c r="M42" s="491"/>
      <c r="N42" s="491"/>
      <c r="O42" s="491"/>
      <c r="P42" s="491"/>
      <c r="Q42" s="491"/>
      <c r="R42" s="491"/>
      <c r="S42" s="491"/>
      <c r="T42" s="491"/>
      <c r="U42" s="491"/>
    </row>
    <row r="43" spans="1:21">
      <c r="B43" s="491"/>
      <c r="C43" s="491"/>
      <c r="D43" s="491"/>
      <c r="E43" s="491"/>
      <c r="F43" s="491"/>
      <c r="G43" s="491"/>
      <c r="H43" s="491"/>
      <c r="I43" s="491"/>
      <c r="J43" s="491"/>
      <c r="K43" s="491"/>
      <c r="L43" s="491"/>
      <c r="M43" s="491"/>
      <c r="N43" s="491"/>
      <c r="O43" s="491"/>
      <c r="P43" s="491"/>
      <c r="Q43" s="491"/>
      <c r="R43" s="491"/>
      <c r="S43" s="491"/>
      <c r="T43" s="491"/>
      <c r="U43" s="491"/>
    </row>
    <row r="76" spans="1:21">
      <c r="A76" s="3" t="s">
        <v>122</v>
      </c>
      <c r="B76" s="490" t="s">
        <v>125</v>
      </c>
      <c r="C76" s="491"/>
      <c r="D76" s="491"/>
      <c r="E76" s="491"/>
      <c r="F76" s="491"/>
      <c r="G76" s="491"/>
      <c r="H76" s="491"/>
      <c r="I76" s="491"/>
      <c r="J76" s="491"/>
      <c r="K76" s="491"/>
      <c r="L76" s="491"/>
      <c r="M76" s="491"/>
      <c r="N76" s="491"/>
      <c r="O76" s="491"/>
      <c r="P76" s="491"/>
      <c r="Q76" s="491"/>
      <c r="R76" s="491"/>
      <c r="S76" s="491"/>
      <c r="T76" s="491"/>
      <c r="U76" s="491"/>
    </row>
    <row r="77" spans="1:21">
      <c r="B77" s="491"/>
      <c r="C77" s="491"/>
      <c r="D77" s="491"/>
      <c r="E77" s="491"/>
      <c r="F77" s="491"/>
      <c r="G77" s="491"/>
      <c r="H77" s="491"/>
      <c r="I77" s="491"/>
      <c r="J77" s="491"/>
      <c r="K77" s="491"/>
      <c r="L77" s="491"/>
      <c r="M77" s="491"/>
      <c r="N77" s="491"/>
      <c r="O77" s="491"/>
      <c r="P77" s="491"/>
      <c r="Q77" s="491"/>
      <c r="R77" s="491"/>
      <c r="S77" s="491"/>
      <c r="T77" s="491"/>
      <c r="U77" s="491"/>
    </row>
    <row r="78" spans="1:21">
      <c r="B78" s="491"/>
      <c r="C78" s="491"/>
      <c r="D78" s="491"/>
      <c r="E78" s="491"/>
      <c r="F78" s="491"/>
      <c r="G78" s="491"/>
      <c r="H78" s="491"/>
      <c r="I78" s="491"/>
      <c r="J78" s="491"/>
      <c r="K78" s="491"/>
      <c r="L78" s="491"/>
      <c r="M78" s="491"/>
      <c r="N78" s="491"/>
      <c r="O78" s="491"/>
      <c r="P78" s="491"/>
      <c r="Q78" s="491"/>
      <c r="R78" s="491"/>
      <c r="S78" s="491"/>
      <c r="T78" s="491"/>
      <c r="U78" s="491"/>
    </row>
    <row r="79" spans="1:21">
      <c r="B79" s="491"/>
      <c r="C79" s="491"/>
      <c r="D79" s="491"/>
      <c r="E79" s="491"/>
      <c r="F79" s="491"/>
      <c r="G79" s="491"/>
      <c r="H79" s="491"/>
      <c r="I79" s="491"/>
      <c r="J79" s="491"/>
      <c r="K79" s="491"/>
      <c r="L79" s="491"/>
      <c r="M79" s="491"/>
      <c r="N79" s="491"/>
      <c r="O79" s="491"/>
      <c r="P79" s="491"/>
      <c r="Q79" s="491"/>
      <c r="R79" s="491"/>
      <c r="S79" s="491"/>
      <c r="T79" s="491"/>
      <c r="U79" s="491"/>
    </row>
    <row r="152" spans="1:2">
      <c r="A152" s="3" t="s">
        <v>122</v>
      </c>
      <c r="B152" s="319" t="s">
        <v>127</v>
      </c>
    </row>
    <row r="245" spans="23:27">
      <c r="W245" s="493" t="s">
        <v>139</v>
      </c>
      <c r="X245" s="493"/>
      <c r="Y245" s="494">
        <f>AVERAGE(W248:X248)</f>
        <v>100.7801</v>
      </c>
    </row>
    <row r="246" spans="23:27">
      <c r="W246" s="493"/>
      <c r="X246" s="493"/>
      <c r="Y246" s="495"/>
    </row>
    <row r="248" spans="23:27">
      <c r="W248" s="368">
        <f>42.62*1.21</f>
        <v>51.570199999999993</v>
      </c>
      <c r="X248" s="368">
        <f>149.99</f>
        <v>149.99</v>
      </c>
    </row>
    <row r="249" spans="23:27">
      <c r="X249" s="369">
        <v>-0.3</v>
      </c>
      <c r="Y249" s="3" t="s">
        <v>141</v>
      </c>
    </row>
    <row r="250" spans="23:27">
      <c r="X250" s="370">
        <f>X248*0.7</f>
        <v>104.99299999999999</v>
      </c>
      <c r="Y250" s="370">
        <f>X248*0.6</f>
        <v>89.994</v>
      </c>
      <c r="Z250" s="3" t="s">
        <v>140</v>
      </c>
      <c r="AA250" s="370">
        <f>AVERAGE(X250:Y250)</f>
        <v>97.493499999999997</v>
      </c>
    </row>
    <row r="251" spans="23:27" ht="18">
      <c r="X251" s="372">
        <f>120/X250-1</f>
        <v>0.14293333841303713</v>
      </c>
      <c r="Y251" s="371"/>
      <c r="AA251" s="372">
        <f>120/AA250-1</f>
        <v>0.23085128752173234</v>
      </c>
    </row>
  </sheetData>
  <mergeCells count="5">
    <mergeCell ref="B41:U43"/>
    <mergeCell ref="B76:U79"/>
    <mergeCell ref="A1:U2"/>
    <mergeCell ref="W245:X246"/>
    <mergeCell ref="Y245:Y246"/>
  </mergeCells>
  <hyperlinks>
    <hyperlink ref="B3" r:id="rId1"/>
    <hyperlink ref="B41" r:id="rId2"/>
    <hyperlink ref="B76" display="https://www.amazon.es/Targus-TSB96201GL-maletines-port%C3%A1til- Mochila/dp/B07JQJTRHY/ref=sr_1_10?__mk_es_ES=%C3%85M%C3%85%C5%BD%C3%95%C3%91&amp;keywords=Targus%2BMochila%2Bportatil&amp;qid=1648464511&amp;refinements=p_36%3A1323856031&amp;rnid=1323854031&amp;s=electronics&amp;s"/>
    <hyperlink ref="B152" r:id="rId3"/>
  </hyperlinks>
  <pageMargins left="0.7" right="0.7" top="0.75" bottom="0.75" header="0.3" footer="0.3"/>
  <pageSetup paperSize="9" orientation="portrait" verticalDpi="0" r:id="rId4"/>
  <customProperties>
    <customPr name="EpmWorksheetKeyString_GUID" r:id="rId5"/>
  </customProperties>
  <drawing r:id="rId6"/>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56"/>
  <sheetViews>
    <sheetView workbookViewId="0">
      <selection activeCell="L25" sqref="L25"/>
    </sheetView>
  </sheetViews>
  <sheetFormatPr defaultRowHeight="12.75"/>
  <cols>
    <col min="3" max="3" width="9.85546875" customWidth="1"/>
    <col min="4" max="4" width="10.140625" customWidth="1"/>
    <col min="5" max="5" width="10.85546875" customWidth="1"/>
    <col min="10" max="10" width="10.140625" bestFit="1" customWidth="1"/>
  </cols>
  <sheetData>
    <row r="1" spans="1:11">
      <c r="A1" s="503" t="s">
        <v>161</v>
      </c>
      <c r="B1" s="504"/>
      <c r="C1" s="504"/>
      <c r="D1" s="504"/>
      <c r="E1" s="504"/>
      <c r="F1" s="504"/>
      <c r="G1" s="504"/>
      <c r="H1" s="504"/>
      <c r="I1" s="504"/>
      <c r="J1" s="504"/>
      <c r="K1" s="504"/>
    </row>
    <row r="2" spans="1:11">
      <c r="A2" s="504"/>
      <c r="B2" s="504"/>
      <c r="C2" s="504"/>
      <c r="D2" s="504"/>
      <c r="E2" s="504"/>
      <c r="F2" s="504"/>
      <c r="G2" s="504"/>
      <c r="H2" s="504"/>
      <c r="I2" s="504"/>
      <c r="J2" s="504"/>
      <c r="K2" s="504"/>
    </row>
    <row r="3" spans="1:11">
      <c r="A3" s="505" t="s">
        <v>163</v>
      </c>
      <c r="B3" s="505"/>
      <c r="I3" s="506" t="s">
        <v>164</v>
      </c>
      <c r="J3" s="506"/>
    </row>
    <row r="4" spans="1:11" ht="26.45" customHeight="1">
      <c r="A4" s="505"/>
      <c r="B4" s="505"/>
      <c r="I4" s="506"/>
      <c r="J4" s="506"/>
    </row>
    <row r="6" spans="1:11" ht="15">
      <c r="B6" s="406">
        <v>9.99</v>
      </c>
      <c r="J6" s="406">
        <v>7.5</v>
      </c>
    </row>
    <row r="7" spans="1:11" ht="15">
      <c r="B7" s="406">
        <v>5.99</v>
      </c>
      <c r="J7" s="406">
        <v>5.99</v>
      </c>
    </row>
    <row r="8" spans="1:11" ht="15">
      <c r="B8" s="407"/>
      <c r="C8" s="502" t="s">
        <v>153</v>
      </c>
      <c r="D8" s="502"/>
      <c r="E8" s="502"/>
      <c r="J8" s="406">
        <v>7.99</v>
      </c>
    </row>
    <row r="9" spans="1:11" ht="15">
      <c r="B9" s="406">
        <v>9.99</v>
      </c>
      <c r="J9" s="406">
        <v>4.99</v>
      </c>
    </row>
    <row r="10" spans="1:11" ht="15">
      <c r="B10" s="406">
        <v>7.5</v>
      </c>
      <c r="F10" s="502" t="s">
        <v>153</v>
      </c>
      <c r="G10" s="502"/>
      <c r="H10" s="502"/>
      <c r="I10" s="502"/>
      <c r="J10" s="407"/>
    </row>
    <row r="12" spans="1:11" ht="15">
      <c r="A12" s="408" t="s">
        <v>139</v>
      </c>
      <c r="B12" s="409">
        <f>AVERAGE(B6:B11)</f>
        <v>8.3674999999999997</v>
      </c>
      <c r="I12" s="408" t="s">
        <v>139</v>
      </c>
      <c r="J12" s="409">
        <f>AVERAGE(J6:J11)</f>
        <v>6.6174999999999997</v>
      </c>
    </row>
    <row r="14" spans="1:11" ht="17.45" customHeight="1">
      <c r="D14" s="502" t="s">
        <v>139</v>
      </c>
      <c r="E14" s="502"/>
      <c r="F14" s="417">
        <f>AVERAGE(B12:J12)</f>
        <v>7.4924999999999997</v>
      </c>
      <c r="H14" s="497" t="s">
        <v>167</v>
      </c>
      <c r="I14" s="497"/>
      <c r="J14" s="497"/>
    </row>
    <row r="15" spans="1:11" ht="15">
      <c r="D15" s="498" t="s">
        <v>165</v>
      </c>
      <c r="E15" s="498"/>
      <c r="F15" s="409">
        <v>7.5</v>
      </c>
      <c r="H15" s="419">
        <v>5</v>
      </c>
      <c r="I15" s="424" t="s">
        <v>168</v>
      </c>
      <c r="J15" s="421">
        <f>(F15-H15)/H15</f>
        <v>0.5</v>
      </c>
    </row>
    <row r="16" spans="1:11">
      <c r="F16" s="3"/>
      <c r="H16" s="420" t="s">
        <v>169</v>
      </c>
    </row>
    <row r="18" spans="1:11">
      <c r="A18" s="499" t="s">
        <v>162</v>
      </c>
      <c r="B18" s="500"/>
      <c r="C18" s="500"/>
      <c r="D18" s="500"/>
      <c r="E18" s="500"/>
      <c r="F18" s="500"/>
      <c r="G18" s="500"/>
      <c r="H18" s="500"/>
      <c r="I18" s="500"/>
      <c r="J18" s="500"/>
      <c r="K18" s="500"/>
    </row>
    <row r="19" spans="1:11">
      <c r="A19" s="500"/>
      <c r="B19" s="500"/>
      <c r="C19" s="500"/>
      <c r="D19" s="500"/>
      <c r="E19" s="500"/>
      <c r="F19" s="500"/>
      <c r="G19" s="500"/>
      <c r="H19" s="500"/>
      <c r="I19" s="500"/>
      <c r="J19" s="500"/>
      <c r="K19" s="500"/>
    </row>
    <row r="20" spans="1:11" ht="12.6" customHeight="1">
      <c r="C20" s="501" t="s">
        <v>166</v>
      </c>
    </row>
    <row r="21" spans="1:11" ht="15.75">
      <c r="B21" s="410">
        <v>45200</v>
      </c>
      <c r="C21" s="501"/>
      <c r="D21" s="78" t="s">
        <v>154</v>
      </c>
      <c r="F21" s="411" t="s">
        <v>155</v>
      </c>
    </row>
    <row r="22" spans="1:11">
      <c r="C22" s="501"/>
      <c r="E22" s="418"/>
    </row>
    <row r="23" spans="1:11" ht="15">
      <c r="B23" s="406">
        <v>39.950000000000003</v>
      </c>
      <c r="C23" s="406">
        <v>0</v>
      </c>
      <c r="D23" s="412">
        <v>0</v>
      </c>
      <c r="E23" s="418"/>
      <c r="F23" s="413" t="s">
        <v>156</v>
      </c>
    </row>
    <row r="24" spans="1:11" ht="15">
      <c r="A24" s="414" t="s">
        <v>157</v>
      </c>
      <c r="B24" s="406">
        <v>31.95</v>
      </c>
      <c r="C24" s="406">
        <v>0</v>
      </c>
      <c r="D24" s="412">
        <v>0</v>
      </c>
      <c r="E24" s="418"/>
      <c r="F24" s="413" t="s">
        <v>158</v>
      </c>
    </row>
    <row r="25" spans="1:11" ht="15">
      <c r="B25" s="406">
        <v>27.99</v>
      </c>
      <c r="C25" s="406">
        <v>-0.92735537190083051</v>
      </c>
      <c r="D25" s="412">
        <v>-3.2069162617890966E-2</v>
      </c>
      <c r="E25" s="418"/>
      <c r="F25" s="413" t="s">
        <v>159</v>
      </c>
    </row>
    <row r="26" spans="1:11" ht="15">
      <c r="B26" s="406">
        <v>33.479999999999997</v>
      </c>
      <c r="C26" s="406">
        <v>5.1659504132231397</v>
      </c>
      <c r="D26" s="412">
        <v>0.18245183887915936</v>
      </c>
      <c r="E26" s="418"/>
      <c r="F26" s="413" t="s">
        <v>160</v>
      </c>
    </row>
    <row r="27" spans="1:11" ht="15">
      <c r="B27" s="406"/>
      <c r="C27" s="406"/>
      <c r="D27" s="412"/>
      <c r="E27" s="418"/>
      <c r="F27" s="413"/>
    </row>
    <row r="28" spans="1:11" ht="15">
      <c r="B28" s="415">
        <f>AVERAGE(B23:B26)</f>
        <v>33.342500000000001</v>
      </c>
      <c r="C28" s="272">
        <v>1.0596487603305773</v>
      </c>
      <c r="D28" s="416">
        <v>3.7595669065317097E-2</v>
      </c>
      <c r="H28" s="497" t="s">
        <v>167</v>
      </c>
      <c r="I28" s="497"/>
      <c r="J28" s="497"/>
    </row>
    <row r="29" spans="1:11" ht="15">
      <c r="D29" s="498" t="s">
        <v>165</v>
      </c>
      <c r="E29" s="498"/>
      <c r="F29" s="409">
        <v>33.5</v>
      </c>
      <c r="H29" s="419">
        <v>35.950000000000003</v>
      </c>
      <c r="I29" s="424" t="s">
        <v>168</v>
      </c>
      <c r="J29" s="423">
        <f>(F29-H29)/H29</f>
        <v>-6.8150208623087696E-2</v>
      </c>
    </row>
    <row r="30" spans="1:11">
      <c r="H30" s="420" t="s">
        <v>169</v>
      </c>
      <c r="J30" s="272"/>
    </row>
    <row r="31" spans="1:11">
      <c r="J31" s="422"/>
    </row>
    <row r="39" spans="2:12">
      <c r="B39" s="453" t="s">
        <v>173</v>
      </c>
      <c r="C39" s="454"/>
      <c r="D39" s="454"/>
      <c r="E39" s="454"/>
      <c r="F39" s="454"/>
      <c r="G39" s="454"/>
      <c r="H39" s="454"/>
      <c r="I39" s="454"/>
      <c r="J39" s="454"/>
      <c r="K39" s="454"/>
      <c r="L39" s="454"/>
    </row>
    <row r="40" spans="2:12">
      <c r="B40" s="453">
        <v>1700</v>
      </c>
      <c r="C40" s="454"/>
      <c r="D40" s="454"/>
      <c r="E40" s="454"/>
      <c r="F40" s="454"/>
      <c r="G40" s="454"/>
      <c r="H40" s="454"/>
      <c r="I40" s="454"/>
      <c r="J40" s="454"/>
      <c r="K40" s="454"/>
      <c r="L40" s="454"/>
    </row>
    <row r="41" spans="2:12">
      <c r="B41" s="454"/>
      <c r="C41" s="454"/>
      <c r="D41" s="454"/>
      <c r="E41" s="454"/>
      <c r="F41" s="454"/>
      <c r="G41" s="454"/>
      <c r="H41" s="454"/>
      <c r="I41" s="454"/>
      <c r="J41" s="454"/>
      <c r="K41" s="454"/>
      <c r="L41" s="454"/>
    </row>
    <row r="42" spans="2:12">
      <c r="B42" s="454"/>
      <c r="C42" s="454"/>
      <c r="D42" s="454"/>
      <c r="E42" s="454"/>
      <c r="F42" s="454"/>
      <c r="G42" s="454"/>
      <c r="H42" s="454"/>
      <c r="I42" s="454"/>
      <c r="J42" s="454"/>
      <c r="K42" s="454"/>
      <c r="L42" s="454"/>
    </row>
    <row r="43" spans="2:12">
      <c r="B43" s="454"/>
      <c r="C43" s="454"/>
      <c r="D43" s="454"/>
      <c r="E43" s="454"/>
      <c r="F43" s="454"/>
      <c r="G43" s="454"/>
      <c r="H43" s="454"/>
      <c r="I43" s="454"/>
      <c r="J43" s="454"/>
      <c r="K43" s="454"/>
      <c r="L43" s="454"/>
    </row>
    <row r="44" spans="2:12">
      <c r="B44" s="454"/>
      <c r="C44" s="454"/>
      <c r="D44" s="454"/>
      <c r="E44" s="454"/>
      <c r="F44" s="454"/>
      <c r="G44" s="454"/>
      <c r="H44" s="454"/>
      <c r="I44" s="454"/>
      <c r="J44" s="454"/>
      <c r="K44" s="454"/>
      <c r="L44" s="454"/>
    </row>
    <row r="45" spans="2:12">
      <c r="B45" s="454"/>
      <c r="C45" s="454"/>
      <c r="D45" s="454"/>
      <c r="E45" s="454"/>
      <c r="F45" s="454"/>
      <c r="G45" s="454"/>
      <c r="H45" s="454"/>
      <c r="I45" s="454"/>
      <c r="J45" s="454"/>
      <c r="K45" s="454"/>
      <c r="L45" s="454"/>
    </row>
    <row r="46" spans="2:12">
      <c r="B46" s="454"/>
      <c r="C46" s="454"/>
      <c r="D46" s="454"/>
      <c r="E46" s="454"/>
      <c r="F46" s="454"/>
      <c r="G46" s="454"/>
      <c r="H46" s="454"/>
      <c r="I46" s="454"/>
      <c r="J46" s="454"/>
      <c r="K46" s="454"/>
      <c r="L46" s="454"/>
    </row>
    <row r="47" spans="2:12">
      <c r="B47" s="454"/>
      <c r="C47" s="454"/>
      <c r="D47" s="454"/>
      <c r="E47" s="454"/>
      <c r="F47" s="454"/>
      <c r="G47" s="454"/>
      <c r="H47" s="454"/>
      <c r="I47" s="454"/>
      <c r="J47" s="454"/>
      <c r="K47" s="454"/>
      <c r="L47" s="454"/>
    </row>
    <row r="48" spans="2:12">
      <c r="B48" s="453" t="s">
        <v>173</v>
      </c>
      <c r="C48" s="454"/>
      <c r="D48" s="454"/>
      <c r="E48" s="454"/>
      <c r="F48" s="454"/>
      <c r="G48" s="454"/>
      <c r="H48" s="454"/>
      <c r="I48" s="454"/>
      <c r="J48" s="454"/>
      <c r="K48" s="454"/>
      <c r="L48" s="454"/>
    </row>
    <row r="49" spans="2:12">
      <c r="B49" s="453">
        <v>1530</v>
      </c>
      <c r="C49" s="454"/>
      <c r="D49" s="454"/>
      <c r="E49" s="454"/>
      <c r="F49" s="454"/>
      <c r="G49" s="454"/>
      <c r="H49" s="454"/>
      <c r="I49" s="454"/>
      <c r="J49" s="454"/>
      <c r="K49" s="454"/>
      <c r="L49" s="454"/>
    </row>
    <row r="50" spans="2:12">
      <c r="B50" s="454"/>
      <c r="C50" s="454"/>
      <c r="D50" s="454"/>
      <c r="E50" s="454"/>
      <c r="F50" s="454"/>
      <c r="G50" s="454"/>
      <c r="H50" s="454"/>
      <c r="I50" s="454"/>
      <c r="J50" s="454"/>
      <c r="K50" s="454"/>
      <c r="L50" s="454"/>
    </row>
    <row r="51" spans="2:12">
      <c r="B51" s="454"/>
      <c r="C51" s="454"/>
      <c r="D51" s="454"/>
      <c r="E51" s="454"/>
      <c r="F51" s="454"/>
      <c r="G51" s="454"/>
      <c r="H51" s="454"/>
      <c r="I51" s="454"/>
      <c r="J51" s="454"/>
      <c r="K51" s="454"/>
      <c r="L51" s="454"/>
    </row>
    <row r="52" spans="2:12">
      <c r="B52" s="454"/>
      <c r="C52" s="454"/>
      <c r="D52" s="454"/>
      <c r="E52" s="454"/>
      <c r="F52" s="454"/>
      <c r="G52" s="454"/>
      <c r="H52" s="454"/>
      <c r="I52" s="454"/>
      <c r="J52" s="454"/>
      <c r="K52" s="454"/>
      <c r="L52" s="455"/>
    </row>
    <row r="53" spans="2:12">
      <c r="B53" s="454"/>
      <c r="C53" s="454"/>
      <c r="D53" s="454"/>
      <c r="E53" s="454"/>
      <c r="F53" s="454"/>
      <c r="G53" s="454"/>
      <c r="H53" s="454"/>
      <c r="I53" s="454"/>
      <c r="J53" s="454"/>
      <c r="K53" s="454"/>
      <c r="L53" s="454"/>
    </row>
    <row r="54" spans="2:12">
      <c r="B54" s="454"/>
      <c r="C54" s="454"/>
      <c r="D54" s="454"/>
      <c r="E54" s="454"/>
      <c r="F54" s="454"/>
      <c r="G54" s="454"/>
      <c r="H54" s="454"/>
      <c r="I54" s="454"/>
      <c r="J54" s="454"/>
      <c r="K54" s="454"/>
      <c r="L54" s="454"/>
    </row>
    <row r="55" spans="2:12">
      <c r="B55" s="454"/>
      <c r="C55" s="454"/>
      <c r="D55" s="454"/>
      <c r="E55" s="454"/>
      <c r="F55" s="454"/>
      <c r="G55" s="454"/>
      <c r="H55" s="454"/>
      <c r="I55" s="496">
        <f>(69003-157883)/157883</f>
        <v>-0.56294851250609623</v>
      </c>
      <c r="J55" s="496"/>
      <c r="K55" s="454"/>
      <c r="L55" s="454"/>
    </row>
    <row r="56" spans="2:12" ht="14.1" customHeight="1">
      <c r="B56" s="454"/>
      <c r="C56" s="454"/>
      <c r="D56" s="454"/>
      <c r="E56" s="454"/>
      <c r="F56" s="454"/>
      <c r="G56" s="454"/>
      <c r="H56" s="454"/>
      <c r="I56" s="496"/>
      <c r="J56" s="496"/>
      <c r="K56" s="454"/>
      <c r="L56" s="454"/>
    </row>
  </sheetData>
  <mergeCells count="13">
    <mergeCell ref="D14:E14"/>
    <mergeCell ref="H14:J14"/>
    <mergeCell ref="A1:K2"/>
    <mergeCell ref="A3:B4"/>
    <mergeCell ref="I3:J4"/>
    <mergeCell ref="C8:E8"/>
    <mergeCell ref="F10:I10"/>
    <mergeCell ref="I55:J56"/>
    <mergeCell ref="H28:J28"/>
    <mergeCell ref="D29:E29"/>
    <mergeCell ref="A18:K19"/>
    <mergeCell ref="D15:E15"/>
    <mergeCell ref="C20:C22"/>
  </mergeCells>
  <hyperlinks>
    <hyperlink ref="F23" r:id="rId1"/>
    <hyperlink ref="F24" r:id="rId2"/>
    <hyperlink ref="F25" r:id="rId3"/>
    <hyperlink ref="F26" r:id="rId4"/>
  </hyperlinks>
  <pageMargins left="0.7" right="0.7" top="0.75" bottom="0.75" header="0.3" footer="0.3"/>
  <pageSetup orientation="portrait" r:id="rId5"/>
  <drawing r:id="rId6"/>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U29"/>
  <sheetViews>
    <sheetView zoomScale="70" zoomScaleNormal="70" workbookViewId="0">
      <selection activeCell="O5" sqref="O5:O6"/>
    </sheetView>
  </sheetViews>
  <sheetFormatPr defaultColWidth="11.42578125" defaultRowHeight="15"/>
  <cols>
    <col min="1" max="1" width="2.42578125" style="148" customWidth="1"/>
    <col min="2" max="2" width="68.140625" style="146" customWidth="1"/>
    <col min="3" max="5" width="14" style="201" customWidth="1"/>
    <col min="6" max="6" width="15" style="201" bestFit="1" customWidth="1"/>
    <col min="7" max="7" width="14" style="201" customWidth="1"/>
    <col min="8" max="8" width="15.42578125" style="201" customWidth="1"/>
    <col min="9" max="11" width="17" style="146" customWidth="1"/>
    <col min="12" max="13" width="15.42578125" style="146" customWidth="1"/>
    <col min="14" max="15" width="13.85546875" style="146" customWidth="1"/>
    <col min="16" max="16" width="21.140625" style="146" customWidth="1"/>
    <col min="17" max="17" width="15.140625" style="146" customWidth="1"/>
    <col min="18" max="18" width="14.42578125" style="147" customWidth="1"/>
    <col min="19" max="19" width="12.85546875" style="148" customWidth="1"/>
    <col min="20" max="16384" width="11.42578125" style="148"/>
  </cols>
  <sheetData>
    <row r="1" spans="2:21" ht="23.1" customHeight="1">
      <c r="B1" s="510" t="s">
        <v>119</v>
      </c>
      <c r="C1" s="510"/>
      <c r="D1" s="510"/>
      <c r="E1" s="510"/>
      <c r="F1" s="510"/>
      <c r="G1" s="510"/>
      <c r="H1" s="510"/>
      <c r="I1" s="510"/>
      <c r="J1" s="510"/>
      <c r="K1" s="510"/>
      <c r="L1" s="510"/>
      <c r="M1" s="510"/>
      <c r="N1" s="510"/>
      <c r="O1" s="510"/>
      <c r="P1" s="510"/>
      <c r="Q1" s="510"/>
      <c r="R1" s="510"/>
    </row>
    <row r="2" spans="2:21" ht="15.95" customHeight="1" thickBot="1">
      <c r="B2" s="149"/>
      <c r="C2" s="377"/>
      <c r="D2" s="511" t="s">
        <v>146</v>
      </c>
      <c r="E2" s="511"/>
      <c r="F2" s="511"/>
      <c r="G2" s="511"/>
      <c r="H2" s="511"/>
      <c r="I2" s="513"/>
      <c r="J2" s="513"/>
      <c r="K2" s="513"/>
      <c r="L2" s="513"/>
      <c r="M2" s="513"/>
      <c r="N2" s="513"/>
      <c r="O2" s="513"/>
      <c r="P2" s="513"/>
      <c r="Q2" s="513"/>
      <c r="R2" s="513"/>
      <c r="S2" s="335">
        <v>0.3</v>
      </c>
    </row>
    <row r="3" spans="2:21" ht="27" thickBot="1">
      <c r="B3" s="149"/>
      <c r="C3" s="378"/>
      <c r="D3" s="512"/>
      <c r="E3" s="512"/>
      <c r="F3" s="512"/>
      <c r="G3" s="512"/>
      <c r="H3" s="512"/>
      <c r="I3" s="514" t="s">
        <v>145</v>
      </c>
      <c r="J3" s="514"/>
      <c r="K3" s="514"/>
      <c r="L3" s="514"/>
      <c r="M3" s="514"/>
      <c r="N3" s="514"/>
      <c r="O3" s="514"/>
      <c r="P3" s="514"/>
      <c r="Q3" s="514"/>
      <c r="R3" s="150"/>
      <c r="S3" s="331" t="s">
        <v>136</v>
      </c>
    </row>
    <row r="4" spans="2:21" s="157" customFormat="1" ht="64.5" thickBot="1">
      <c r="B4" s="152" t="s">
        <v>73</v>
      </c>
      <c r="C4" s="152" t="s">
        <v>52</v>
      </c>
      <c r="D4" s="392" t="s">
        <v>147</v>
      </c>
      <c r="E4" s="392" t="s">
        <v>148</v>
      </c>
      <c r="F4" s="392" t="s">
        <v>142</v>
      </c>
      <c r="G4" s="392" t="s">
        <v>149</v>
      </c>
      <c r="H4" s="392" t="s">
        <v>150</v>
      </c>
      <c r="I4" s="323" t="s">
        <v>129</v>
      </c>
      <c r="J4" s="320" t="s">
        <v>54</v>
      </c>
      <c r="K4" s="320" t="s">
        <v>55</v>
      </c>
      <c r="L4" s="320" t="s">
        <v>133</v>
      </c>
      <c r="M4" s="320" t="s">
        <v>142</v>
      </c>
      <c r="N4" s="386" t="s">
        <v>138</v>
      </c>
      <c r="O4" s="324" t="s">
        <v>130</v>
      </c>
      <c r="P4" s="320" t="s">
        <v>131</v>
      </c>
      <c r="Q4" s="387" t="s">
        <v>128</v>
      </c>
      <c r="R4" s="388" t="s">
        <v>132</v>
      </c>
      <c r="S4" s="330" t="s">
        <v>134</v>
      </c>
      <c r="T4" s="332" t="s">
        <v>137</v>
      </c>
      <c r="U4" s="330" t="s">
        <v>135</v>
      </c>
    </row>
    <row r="5" spans="2:21" ht="20.25">
      <c r="B5" s="379" t="s">
        <v>72</v>
      </c>
      <c r="C5" s="380" t="s">
        <v>65</v>
      </c>
      <c r="D5" s="380">
        <v>1550</v>
      </c>
      <c r="E5" s="393">
        <f>J5</f>
        <v>33.5</v>
      </c>
      <c r="F5" s="393">
        <f>D5*E5</f>
        <v>51925</v>
      </c>
      <c r="G5" s="393">
        <f>E5*1.1</f>
        <v>36.85</v>
      </c>
      <c r="H5" s="393">
        <f>G5*D5</f>
        <v>57117.5</v>
      </c>
      <c r="I5" s="381">
        <f>1700*90%</f>
        <v>1530</v>
      </c>
      <c r="J5" s="382">
        <f>L5</f>
        <v>33.5</v>
      </c>
      <c r="K5" s="195">
        <f t="shared" ref="K5:K6" si="0">I5*J5</f>
        <v>51255</v>
      </c>
      <c r="L5" s="374">
        <v>33.5</v>
      </c>
      <c r="M5" s="383">
        <f>L5*I5</f>
        <v>51255</v>
      </c>
      <c r="N5" s="384">
        <f>L5*0.7</f>
        <v>23.45</v>
      </c>
      <c r="O5" s="456">
        <f>ROUND(J5*1.1,2)</f>
        <v>36.85</v>
      </c>
      <c r="P5" s="195">
        <f>I5*O5</f>
        <v>56380.5</v>
      </c>
      <c r="Q5" s="325"/>
      <c r="R5" s="385">
        <f>P5-K5</f>
        <v>5125.5</v>
      </c>
      <c r="S5" s="334">
        <f>T5*0.7</f>
        <v>25.2</v>
      </c>
      <c r="T5" s="329">
        <v>36</v>
      </c>
      <c r="U5" s="333">
        <f>(O5-S5)/O5</f>
        <v>0.3161465400271371</v>
      </c>
    </row>
    <row r="6" spans="2:21" ht="20.25">
      <c r="B6" s="158" t="s">
        <v>71</v>
      </c>
      <c r="C6" s="159" t="s">
        <v>65</v>
      </c>
      <c r="D6" s="159">
        <v>1550</v>
      </c>
      <c r="E6" s="393">
        <f t="shared" ref="E6:E8" si="1">J6</f>
        <v>7.5</v>
      </c>
      <c r="F6" s="393">
        <f t="shared" ref="F6:F8" si="2">D6*E6</f>
        <v>11625</v>
      </c>
      <c r="G6" s="393">
        <f t="shared" ref="G6:G8" si="3">E6*1.1</f>
        <v>8.25</v>
      </c>
      <c r="H6" s="393">
        <f t="shared" ref="H6:H8" si="4">G6*D6</f>
        <v>12787.5</v>
      </c>
      <c r="I6" s="381">
        <f>1700*90%</f>
        <v>1530</v>
      </c>
      <c r="J6" s="326">
        <f t="shared" ref="J6" si="5">L6</f>
        <v>7.5</v>
      </c>
      <c r="K6" s="195">
        <f t="shared" si="0"/>
        <v>11475</v>
      </c>
      <c r="L6" s="373">
        <v>7.5</v>
      </c>
      <c r="M6" s="375">
        <f t="shared" ref="M6" si="6">L6*I6</f>
        <v>11475</v>
      </c>
      <c r="N6" s="366">
        <f t="shared" ref="N6" si="7">L6*0.7</f>
        <v>5.25</v>
      </c>
      <c r="O6" s="456">
        <f t="shared" ref="O6" si="8">ROUND(J6*1.1,2)</f>
        <v>8.25</v>
      </c>
      <c r="P6" s="195">
        <f t="shared" ref="P6" si="9">I6*O6</f>
        <v>12622.5</v>
      </c>
      <c r="Q6" s="325"/>
      <c r="R6" s="327">
        <f t="shared" ref="R6" si="10">P6-K6</f>
        <v>1147.5</v>
      </c>
      <c r="S6" s="334">
        <f t="shared" ref="S6:S8" si="11">T6*0.7</f>
        <v>3.5</v>
      </c>
      <c r="T6" s="329">
        <v>5</v>
      </c>
      <c r="U6" s="333">
        <f t="shared" ref="U6:U8" si="12">(O6-S6)/O6</f>
        <v>0.5757575757575758</v>
      </c>
    </row>
    <row r="7" spans="2:21" ht="15.75">
      <c r="B7" s="164" t="s">
        <v>100</v>
      </c>
      <c r="C7" s="159" t="s">
        <v>65</v>
      </c>
      <c r="D7" s="159">
        <v>1550</v>
      </c>
      <c r="E7" s="393">
        <f t="shared" si="1"/>
        <v>0</v>
      </c>
      <c r="F7" s="393">
        <f t="shared" si="2"/>
        <v>0</v>
      </c>
      <c r="G7" s="393">
        <f t="shared" si="3"/>
        <v>0</v>
      </c>
      <c r="H7" s="393">
        <f t="shared" si="4"/>
        <v>0</v>
      </c>
      <c r="I7" s="426"/>
      <c r="J7" s="427"/>
      <c r="K7" s="195"/>
      <c r="L7" s="428"/>
      <c r="M7" s="429"/>
      <c r="N7" s="366"/>
      <c r="O7" s="430"/>
      <c r="P7" s="195"/>
      <c r="Q7" s="325"/>
      <c r="R7" s="431"/>
      <c r="S7" s="334">
        <f t="shared" si="11"/>
        <v>35</v>
      </c>
      <c r="T7" s="329">
        <v>50</v>
      </c>
      <c r="U7" s="333" t="e">
        <f t="shared" si="12"/>
        <v>#DIV/0!</v>
      </c>
    </row>
    <row r="8" spans="2:21" ht="15.75">
      <c r="B8" s="164" t="s">
        <v>101</v>
      </c>
      <c r="C8" s="159" t="s">
        <v>65</v>
      </c>
      <c r="D8" s="159">
        <v>38</v>
      </c>
      <c r="E8" s="393">
        <f t="shared" si="1"/>
        <v>0</v>
      </c>
      <c r="F8" s="393">
        <f t="shared" si="2"/>
        <v>0</v>
      </c>
      <c r="G8" s="393">
        <f t="shared" si="3"/>
        <v>0</v>
      </c>
      <c r="H8" s="393">
        <f t="shared" si="4"/>
        <v>0</v>
      </c>
      <c r="I8" s="426"/>
      <c r="J8" s="427"/>
      <c r="K8" s="195"/>
      <c r="L8" s="432"/>
      <c r="M8" s="429"/>
      <c r="N8" s="366"/>
      <c r="O8" s="430"/>
      <c r="P8" s="195"/>
      <c r="Q8" s="325"/>
      <c r="R8" s="431"/>
      <c r="S8" s="334">
        <f t="shared" si="11"/>
        <v>105</v>
      </c>
      <c r="T8" s="329">
        <v>150</v>
      </c>
      <c r="U8" s="333" t="e">
        <f t="shared" si="12"/>
        <v>#DIV/0!</v>
      </c>
    </row>
    <row r="9" spans="2:21" ht="15.75" thickBot="1">
      <c r="B9" s="190"/>
      <c r="C9" s="191"/>
      <c r="D9" s="191"/>
      <c r="E9" s="191"/>
      <c r="F9" s="191"/>
      <c r="G9" s="191"/>
      <c r="H9" s="191"/>
      <c r="I9" s="192"/>
      <c r="J9" s="193"/>
      <c r="K9" s="196"/>
      <c r="L9" s="196"/>
      <c r="M9" s="196"/>
      <c r="N9" s="196"/>
      <c r="O9" s="196"/>
      <c r="P9" s="196"/>
      <c r="Q9" s="196"/>
      <c r="R9" s="193"/>
    </row>
    <row r="10" spans="2:21" ht="18.75" thickBot="1">
      <c r="B10" s="165" t="s">
        <v>64</v>
      </c>
      <c r="C10" s="212"/>
      <c r="D10" s="212"/>
      <c r="E10" s="212" t="s">
        <v>142</v>
      </c>
      <c r="F10" s="394">
        <f>SUM(F5:F8)</f>
        <v>63550</v>
      </c>
      <c r="G10" s="212"/>
      <c r="H10" s="394">
        <f>SUM(H5:H8)</f>
        <v>69905</v>
      </c>
      <c r="I10" s="166"/>
      <c r="J10" s="306"/>
      <c r="K10" s="224">
        <f>SUM(K5:K8)</f>
        <v>62730</v>
      </c>
      <c r="L10" s="307" t="s">
        <v>143</v>
      </c>
      <c r="M10" s="425">
        <f>M5+M6</f>
        <v>62730</v>
      </c>
      <c r="N10" s="307"/>
      <c r="O10" s="376">
        <f>O5+O6</f>
        <v>45.1</v>
      </c>
      <c r="P10" s="425">
        <f>P5+P6</f>
        <v>69003</v>
      </c>
      <c r="Q10" s="328"/>
      <c r="R10" s="224">
        <f>SUM(R5:R8)</f>
        <v>6273</v>
      </c>
    </row>
    <row r="11" spans="2:21" ht="29.25" customHeight="1" thickBot="1">
      <c r="B11" s="190" t="s">
        <v>66</v>
      </c>
      <c r="C11" s="304"/>
      <c r="D11" s="304"/>
      <c r="E11" s="212" t="s">
        <v>151</v>
      </c>
      <c r="F11" s="394">
        <f>H10-F10</f>
        <v>6355</v>
      </c>
      <c r="G11" s="395">
        <f>F11/F10</f>
        <v>0.1</v>
      </c>
      <c r="H11" s="304"/>
      <c r="I11" s="166"/>
      <c r="J11" s="188"/>
      <c r="K11" s="198"/>
      <c r="L11" s="301" t="s">
        <v>144</v>
      </c>
      <c r="M11" s="376">
        <f>M7+M8</f>
        <v>0</v>
      </c>
      <c r="N11" s="301"/>
      <c r="O11" s="376">
        <f>O7+O8</f>
        <v>0</v>
      </c>
      <c r="P11" s="376">
        <f>P7+P8</f>
        <v>0</v>
      </c>
      <c r="Q11" s="301"/>
      <c r="R11" s="189"/>
    </row>
    <row r="12" spans="2:21" s="304" customFormat="1" ht="20.45" customHeight="1" thickBot="1">
      <c r="I12" s="305"/>
      <c r="J12" s="509" t="s">
        <v>172</v>
      </c>
      <c r="K12" s="509"/>
      <c r="L12" s="509"/>
      <c r="M12" s="509"/>
      <c r="N12" s="302"/>
      <c r="O12" s="302"/>
      <c r="P12" s="302"/>
      <c r="Q12" s="302"/>
      <c r="R12" s="303"/>
    </row>
    <row r="13" spans="2:21" s="304" customFormat="1" ht="23.1" customHeight="1" thickBot="1">
      <c r="B13" s="340" t="s">
        <v>69</v>
      </c>
      <c r="C13" s="336">
        <v>0.9</v>
      </c>
      <c r="D13" s="336"/>
      <c r="E13" s="336"/>
      <c r="F13" s="336"/>
      <c r="G13" s="336"/>
      <c r="H13" s="336"/>
      <c r="I13" s="337"/>
      <c r="J13" s="437">
        <f>C13</f>
        <v>0.9</v>
      </c>
      <c r="K13" s="438">
        <f>K10</f>
        <v>62730</v>
      </c>
      <c r="L13" s="517" t="s">
        <v>170</v>
      </c>
      <c r="M13" s="518"/>
      <c r="P13" s="347">
        <f>SUM(P5:P8)</f>
        <v>69003</v>
      </c>
      <c r="R13" s="303"/>
    </row>
    <row r="14" spans="2:21" s="304" customFormat="1" ht="13.5" customHeight="1">
      <c r="B14" s="341" t="s">
        <v>68</v>
      </c>
      <c r="C14" s="213">
        <v>0.05</v>
      </c>
      <c r="D14" s="213"/>
      <c r="E14" s="213"/>
      <c r="F14" s="213"/>
      <c r="G14" s="213"/>
      <c r="H14" s="213"/>
      <c r="I14" s="367"/>
      <c r="J14" s="439"/>
      <c r="K14" s="434"/>
      <c r="L14" s="435"/>
      <c r="M14" s="440"/>
      <c r="R14" s="303"/>
    </row>
    <row r="15" spans="2:21" s="304" customFormat="1" ht="14.25" customHeight="1">
      <c r="B15" s="342" t="s">
        <v>50</v>
      </c>
      <c r="C15" s="213">
        <v>0.05</v>
      </c>
      <c r="D15" s="213"/>
      <c r="E15" s="213"/>
      <c r="F15" s="213"/>
      <c r="G15" s="213"/>
      <c r="H15" s="213"/>
      <c r="I15" s="367"/>
      <c r="J15" s="439"/>
      <c r="K15" s="434"/>
      <c r="L15" s="435"/>
      <c r="M15" s="440"/>
      <c r="R15" s="303"/>
    </row>
    <row r="16" spans="2:21" s="304" customFormat="1" ht="13.5" customHeight="1">
      <c r="B16" s="343" t="s">
        <v>70</v>
      </c>
      <c r="C16" s="338">
        <f>C14+C15</f>
        <v>0.1</v>
      </c>
      <c r="D16" s="338"/>
      <c r="E16" s="338"/>
      <c r="F16" s="338"/>
      <c r="G16" s="338"/>
      <c r="H16" s="338"/>
      <c r="I16" s="339"/>
      <c r="J16" s="441">
        <f>C16</f>
        <v>0.1</v>
      </c>
      <c r="K16" s="433">
        <f>K13*$C$16</f>
        <v>6273</v>
      </c>
      <c r="L16" s="515" t="s">
        <v>171</v>
      </c>
      <c r="M16" s="516"/>
      <c r="R16" s="308"/>
    </row>
    <row r="17" spans="2:18" s="304" customFormat="1" ht="13.5" customHeight="1">
      <c r="B17" s="344"/>
      <c r="C17" s="367"/>
      <c r="D17" s="367"/>
      <c r="E17" s="367"/>
      <c r="F17" s="367"/>
      <c r="G17" s="367"/>
      <c r="H17" s="367"/>
      <c r="I17" s="367"/>
      <c r="J17" s="442"/>
      <c r="K17" s="436"/>
      <c r="L17" s="434"/>
      <c r="M17" s="443"/>
      <c r="N17" s="302"/>
      <c r="O17" s="302"/>
      <c r="P17" s="302"/>
      <c r="Q17" s="302"/>
      <c r="R17" s="303"/>
    </row>
    <row r="18" spans="2:18" ht="15.75">
      <c r="B18" s="345"/>
      <c r="C18" s="200"/>
      <c r="D18" s="200"/>
      <c r="E18" s="200"/>
      <c r="F18" s="200"/>
      <c r="G18" s="200"/>
      <c r="H18" s="200"/>
      <c r="I18" s="200"/>
      <c r="J18" s="444"/>
      <c r="K18" s="435"/>
      <c r="L18" s="445"/>
      <c r="M18" s="446"/>
      <c r="N18" s="321"/>
      <c r="O18" s="321"/>
      <c r="P18" s="321"/>
      <c r="Q18" s="321"/>
      <c r="R18" s="148"/>
    </row>
    <row r="19" spans="2:18" ht="16.5" thickBot="1">
      <c r="B19" s="344"/>
      <c r="C19" s="191"/>
      <c r="D19" s="191"/>
      <c r="E19" s="191"/>
      <c r="F19" s="191"/>
      <c r="G19" s="191"/>
      <c r="H19" s="191"/>
      <c r="I19" s="191"/>
      <c r="J19" s="447"/>
      <c r="K19" s="448"/>
      <c r="L19" s="449"/>
      <c r="M19" s="450"/>
      <c r="N19" s="196"/>
      <c r="O19" s="196"/>
      <c r="P19" s="196"/>
      <c r="Q19" s="196"/>
      <c r="R19" s="189"/>
    </row>
    <row r="20" spans="2:18" ht="21" thickBot="1">
      <c r="B20" s="348" t="s">
        <v>98</v>
      </c>
      <c r="C20" s="346"/>
      <c r="D20" s="346"/>
      <c r="E20" s="346"/>
      <c r="F20" s="346"/>
      <c r="G20" s="346"/>
      <c r="H20" s="346"/>
      <c r="I20" s="346"/>
      <c r="J20" s="451">
        <f>K20/$K$24</f>
        <v>1</v>
      </c>
      <c r="K20" s="452">
        <f>K13+K16</f>
        <v>69003</v>
      </c>
      <c r="L20" s="507" t="s">
        <v>98</v>
      </c>
      <c r="M20" s="508"/>
      <c r="N20" s="322"/>
      <c r="O20" s="400"/>
      <c r="P20" s="401"/>
      <c r="Q20" s="308"/>
      <c r="R20" s="189"/>
    </row>
    <row r="21" spans="2:18" ht="30">
      <c r="B21" s="309"/>
      <c r="C21" s="310"/>
      <c r="D21" s="310"/>
      <c r="E21" s="310"/>
      <c r="F21" s="310"/>
      <c r="G21" s="310"/>
      <c r="H21" s="310"/>
      <c r="I21" s="311"/>
      <c r="J21" s="312"/>
      <c r="K21" s="313"/>
      <c r="L21" s="314"/>
      <c r="M21" s="314"/>
      <c r="N21" s="314"/>
      <c r="O21" s="402"/>
      <c r="P21" s="402" t="s">
        <v>152</v>
      </c>
      <c r="Q21" s="314"/>
      <c r="R21" s="312"/>
    </row>
    <row r="22" spans="2:18" ht="15.75">
      <c r="B22" s="315"/>
      <c r="C22" s="310"/>
      <c r="D22" s="310"/>
      <c r="E22" s="310"/>
      <c r="F22" s="310"/>
      <c r="G22" s="310"/>
      <c r="H22" s="310"/>
      <c r="I22" s="315"/>
      <c r="J22" s="315"/>
      <c r="K22" s="318"/>
      <c r="L22" s="316"/>
      <c r="M22" s="316"/>
      <c r="N22" s="316"/>
      <c r="O22" s="401"/>
      <c r="P22" s="405">
        <f>P13-K20</f>
        <v>0</v>
      </c>
      <c r="Q22" s="316"/>
      <c r="R22" s="317"/>
    </row>
    <row r="23" spans="2:18" ht="16.5" thickBot="1">
      <c r="I23" s="145"/>
      <c r="J23" s="145"/>
      <c r="K23" s="203"/>
      <c r="L23" s="361"/>
      <c r="M23" s="361"/>
      <c r="N23" s="361"/>
      <c r="O23" s="403"/>
      <c r="P23" s="403"/>
      <c r="Q23" s="361"/>
      <c r="R23" s="317"/>
    </row>
    <row r="24" spans="2:18" ht="15.75" customHeight="1">
      <c r="B24" s="349" t="s">
        <v>60</v>
      </c>
      <c r="C24" s="350"/>
      <c r="D24" s="389"/>
      <c r="E24" s="389"/>
      <c r="F24" s="389"/>
      <c r="G24" s="389"/>
      <c r="H24" s="397">
        <f>H10</f>
        <v>69905</v>
      </c>
      <c r="I24" s="352"/>
      <c r="J24" s="351"/>
      <c r="K24" s="398">
        <f>K20</f>
        <v>69003</v>
      </c>
      <c r="L24" s="230"/>
      <c r="M24" s="230"/>
      <c r="N24" s="230"/>
      <c r="O24" s="404"/>
      <c r="P24" s="404"/>
      <c r="Q24" s="230"/>
      <c r="R24" s="317"/>
    </row>
    <row r="25" spans="2:18" ht="15.75" customHeight="1">
      <c r="B25" s="353" t="s">
        <v>61</v>
      </c>
      <c r="C25" s="354">
        <v>0.21</v>
      </c>
      <c r="D25" s="390"/>
      <c r="E25" s="390"/>
      <c r="F25" s="390"/>
      <c r="G25" s="390"/>
      <c r="H25" s="365">
        <f>H24*C25</f>
        <v>14680.05</v>
      </c>
      <c r="I25" s="356"/>
      <c r="J25" s="355"/>
      <c r="K25" s="365">
        <f>K24*21/100</f>
        <v>14490.63</v>
      </c>
      <c r="L25" s="215"/>
      <c r="M25" s="215"/>
      <c r="N25" s="215"/>
      <c r="O25" s="215"/>
      <c r="P25" s="215"/>
      <c r="Q25" s="215"/>
      <c r="R25" s="317"/>
    </row>
    <row r="26" spans="2:18" ht="16.5" customHeight="1" thickBot="1">
      <c r="B26" s="357" t="s">
        <v>62</v>
      </c>
      <c r="C26" s="358"/>
      <c r="D26" s="391"/>
      <c r="E26" s="391"/>
      <c r="F26" s="391"/>
      <c r="G26" s="391"/>
      <c r="H26" s="396">
        <f>H24+H25</f>
        <v>84585.05</v>
      </c>
      <c r="I26" s="360"/>
      <c r="J26" s="359"/>
      <c r="K26" s="399">
        <f>SUM(K24,K25)</f>
        <v>83493.63</v>
      </c>
      <c r="L26" s="215"/>
      <c r="M26" s="215"/>
      <c r="N26" s="215"/>
      <c r="O26" s="215"/>
      <c r="P26" s="215"/>
      <c r="Q26" s="215"/>
      <c r="R26" s="317"/>
    </row>
    <row r="27" spans="2:18" ht="15.75">
      <c r="B27" s="179"/>
      <c r="C27" s="179"/>
      <c r="D27" s="179"/>
      <c r="E27" s="179"/>
      <c r="F27" s="179"/>
      <c r="G27" s="179"/>
      <c r="H27" s="179"/>
      <c r="I27" s="179"/>
      <c r="J27" s="180"/>
      <c r="K27" s="180"/>
      <c r="L27" s="362"/>
      <c r="M27" s="362"/>
      <c r="N27" s="362"/>
      <c r="O27" s="362"/>
      <c r="P27" s="362"/>
      <c r="Q27" s="362"/>
      <c r="R27" s="317"/>
    </row>
    <row r="28" spans="2:18">
      <c r="L28" s="363"/>
      <c r="M28" s="363"/>
      <c r="N28" s="363"/>
      <c r="O28" s="363"/>
      <c r="P28" s="363"/>
      <c r="Q28" s="363"/>
      <c r="R28" s="317"/>
    </row>
    <row r="29" spans="2:18">
      <c r="L29" s="363"/>
      <c r="M29" s="363"/>
      <c r="N29" s="363"/>
      <c r="O29" s="363"/>
      <c r="P29" s="363"/>
      <c r="Q29" s="363"/>
      <c r="R29" s="364"/>
    </row>
  </sheetData>
  <mergeCells count="8">
    <mergeCell ref="L20:M20"/>
    <mergeCell ref="J12:M12"/>
    <mergeCell ref="B1:R1"/>
    <mergeCell ref="D2:H3"/>
    <mergeCell ref="I2:R2"/>
    <mergeCell ref="I3:Q3"/>
    <mergeCell ref="L16:M16"/>
    <mergeCell ref="L13:M13"/>
  </mergeCells>
  <pageMargins left="0.7" right="0.7" top="0.75" bottom="0.75" header="0.3" footer="0.3"/>
  <pageSetup paperSize="9" scale="4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22</vt:i4>
      </vt:variant>
      <vt:variant>
        <vt:lpstr>Intervals amb nom</vt:lpstr>
      </vt:variant>
      <vt:variant>
        <vt:i4>2</vt:i4>
      </vt:variant>
    </vt:vector>
  </HeadingPairs>
  <TitlesOfParts>
    <vt:vector size="24" baseType="lpstr">
      <vt:lpstr>EST. MITJANA REVISIÓ SALARIS</vt:lpstr>
      <vt:lpstr>Full1</vt:lpstr>
      <vt:lpstr>Licitació KIT 1</vt:lpstr>
      <vt:lpstr>KIT 2 AMB PACK</vt:lpstr>
      <vt:lpstr>Licitació KIT 2 CON PACK</vt:lpstr>
      <vt:lpstr>taules salarials</vt:lpstr>
      <vt:lpstr>LOT 1 2022</vt:lpstr>
      <vt:lpstr>LOT 1 2023</vt:lpstr>
      <vt:lpstr>LOT 1 2024</vt:lpstr>
      <vt:lpstr>LOT 1 2025</vt:lpstr>
      <vt:lpstr>LOT 1 2026</vt:lpstr>
      <vt:lpstr>LOT 2 2022</vt:lpstr>
      <vt:lpstr>LOT 2 2023</vt:lpstr>
      <vt:lpstr>LOT 2 2024</vt:lpstr>
      <vt:lpstr>LOT 2 2025</vt:lpstr>
      <vt:lpstr>LOT 2 2026</vt:lpstr>
      <vt:lpstr>ANNEX4</vt:lpstr>
      <vt:lpstr>INFO KIT</vt:lpstr>
      <vt:lpstr>Full4</vt:lpstr>
      <vt:lpstr>ARTICLES_BenchMarking</vt:lpstr>
      <vt:lpstr>ACT_Oct23</vt:lpstr>
      <vt:lpstr>TMARE_Oct23 (2)</vt:lpstr>
      <vt:lpstr>'EST. MITJANA REVISIÓ SALARIS'!Àrea_d'impressió</vt:lpstr>
      <vt:lpstr>Full1!Àrea_d'impressió</vt:lpstr>
    </vt:vector>
  </TitlesOfParts>
  <Company>Ajuntament de Barcelona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 de Xarxa</dc:creator>
  <cp:lastModifiedBy>Ajuntament de Barcelona</cp:lastModifiedBy>
  <cp:lastPrinted>2023-12-01T13:34:03Z</cp:lastPrinted>
  <dcterms:created xsi:type="dcterms:W3CDTF">2005-12-20T09:42:34Z</dcterms:created>
  <dcterms:modified xsi:type="dcterms:W3CDTF">2024-03-21T08:12:05Z</dcterms:modified>
</cp:coreProperties>
</file>