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omments1.xml" ContentType="application/vnd.openxmlformats-officedocument.spreadsheetml.comments+xml"/>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80" windowWidth="19300" windowHeight="10900"/>
  </bookViews>
  <sheets>
    <sheet name="Annex4 bis lot 2" sheetId="9" r:id="rId1"/>
    <sheet name="Full1" sheetId="1" state="hidden" r:id="rId2"/>
    <sheet name="Full2" sheetId="2" state="hidden" r:id="rId3"/>
    <sheet name="pbl 5 lots" sheetId="3" state="hidden" r:id="rId4"/>
    <sheet name="CD+CI 5 lots" sheetId="4" state="hidden" r:id="rId5"/>
    <sheet name="Execució 5 lots" sheetId="5" state="hidden" r:id="rId6"/>
    <sheet name="VEC 5 Lots" sheetId="6" state="hidden" r:id="rId7"/>
  </sheets>
  <externalReferences>
    <externalReference r:id="rId8"/>
    <externalReference r:id="rId9"/>
    <externalReference r:id="rId10"/>
  </externalReferences>
  <calcPr calcId="145621"/>
</workbook>
</file>

<file path=xl/calcChain.xml><?xml version="1.0" encoding="utf-8"?>
<calcChain xmlns="http://schemas.openxmlformats.org/spreadsheetml/2006/main">
  <c r="K43" i="3" l="1"/>
  <c r="C52" i="6" l="1"/>
  <c r="D37" i="6"/>
  <c r="C35" i="6"/>
  <c r="C77" i="6" s="1"/>
  <c r="D36" i="6"/>
  <c r="C34" i="6"/>
  <c r="C33" i="6"/>
  <c r="C75" i="6" s="1"/>
  <c r="F75" i="6" s="1"/>
  <c r="D22" i="6"/>
  <c r="C20" i="6"/>
  <c r="C19" i="6"/>
  <c r="F6" i="6"/>
  <c r="F7" i="6"/>
  <c r="F12" i="6" s="1"/>
  <c r="F8" i="6"/>
  <c r="F9" i="6"/>
  <c r="F10" i="6"/>
  <c r="F11" i="6"/>
  <c r="F5" i="6"/>
  <c r="F78" i="6"/>
  <c r="F79" i="6"/>
  <c r="F80" i="6"/>
  <c r="D77" i="6"/>
  <c r="D81" i="6" s="1"/>
  <c r="C76" i="6"/>
  <c r="F76" i="6" s="1"/>
  <c r="C74" i="6"/>
  <c r="F74" i="6" s="1"/>
  <c r="F46" i="6"/>
  <c r="F47" i="6"/>
  <c r="F48" i="6"/>
  <c r="F49" i="6"/>
  <c r="F50" i="6"/>
  <c r="F51" i="6"/>
  <c r="D52" i="6"/>
  <c r="D50" i="6"/>
  <c r="F45" i="6"/>
  <c r="D49" i="6"/>
  <c r="I75" i="5"/>
  <c r="H42" i="3"/>
  <c r="F52" i="6" l="1"/>
  <c r="F77" i="6"/>
  <c r="C81" i="6"/>
  <c r="D63" i="6"/>
  <c r="C61" i="6"/>
  <c r="C60" i="6"/>
  <c r="D65" i="4"/>
  <c r="E65" i="4"/>
  <c r="H20" i="4"/>
  <c r="H19" i="4"/>
  <c r="K66" i="5"/>
  <c r="H49" i="4"/>
  <c r="F51" i="4"/>
  <c r="E51" i="4"/>
  <c r="H52" i="4"/>
  <c r="H53" i="4"/>
  <c r="G54" i="4" l="1"/>
  <c r="H50" i="4"/>
  <c r="H48" i="4"/>
  <c r="H51" i="4" l="1"/>
  <c r="D39" i="6"/>
  <c r="J67" i="3" l="1"/>
  <c r="J66" i="3"/>
  <c r="G9" i="9"/>
  <c r="F9" i="9"/>
  <c r="H64" i="4"/>
  <c r="H63" i="4"/>
  <c r="H58" i="3"/>
  <c r="H57" i="3"/>
  <c r="F33" i="6"/>
  <c r="F34" i="6"/>
  <c r="F35" i="6"/>
  <c r="F36" i="6"/>
  <c r="F37" i="6"/>
  <c r="F38" i="6"/>
  <c r="F32" i="6"/>
  <c r="E80" i="6"/>
  <c r="J58" i="3"/>
  <c r="J46" i="3"/>
  <c r="J34" i="3"/>
  <c r="H34" i="3"/>
  <c r="K55" i="5"/>
  <c r="H111" i="5"/>
  <c r="G65" i="4"/>
  <c r="H62" i="4"/>
  <c r="K94" i="5"/>
  <c r="G51" i="4"/>
  <c r="G55" i="4" s="1"/>
  <c r="F54" i="4"/>
  <c r="E54" i="4"/>
  <c r="D51" i="4"/>
  <c r="I67" i="5"/>
  <c r="I73" i="5" s="1"/>
  <c r="H67" i="5"/>
  <c r="E37" i="4"/>
  <c r="F37" i="4"/>
  <c r="G37" i="4"/>
  <c r="D37" i="4"/>
  <c r="K47" i="5"/>
  <c r="D22" i="4"/>
  <c r="K36" i="5"/>
  <c r="K28" i="5"/>
  <c r="H9" i="3"/>
  <c r="H8" i="3"/>
  <c r="H7" i="3"/>
  <c r="J18" i="5"/>
  <c r="I18" i="5"/>
  <c r="H18" i="5"/>
  <c r="K13" i="5"/>
  <c r="F39" i="6" l="1"/>
  <c r="H107" i="5"/>
  <c r="H73" i="5"/>
  <c r="J69" i="3"/>
  <c r="D55" i="4"/>
  <c r="H21" i="3"/>
  <c r="H20" i="3"/>
  <c r="G11" i="4"/>
  <c r="G8" i="4"/>
  <c r="D8" i="4"/>
  <c r="D12" i="4" s="1"/>
  <c r="D11" i="4"/>
  <c r="H10" i="4"/>
  <c r="H9" i="4"/>
  <c r="H6" i="4"/>
  <c r="H7" i="4"/>
  <c r="H5" i="4"/>
  <c r="E11" i="4"/>
  <c r="E8" i="4"/>
  <c r="F8" i="4"/>
  <c r="D40" i="4"/>
  <c r="E40" i="4"/>
  <c r="G40" i="4"/>
  <c r="F40" i="4"/>
  <c r="H35" i="4"/>
  <c r="H37" i="4" s="1"/>
  <c r="H36" i="4"/>
  <c r="H38" i="4"/>
  <c r="H34" i="4"/>
  <c r="H44" i="3" l="1"/>
  <c r="H43" i="3"/>
  <c r="H75" i="5"/>
  <c r="H8" i="4"/>
  <c r="H12" i="4" s="1"/>
  <c r="G12" i="4"/>
  <c r="G41" i="4"/>
  <c r="D41" i="4"/>
  <c r="H41" i="4" s="1"/>
  <c r="H11" i="4"/>
  <c r="H66" i="3" l="1"/>
  <c r="J21" i="3"/>
  <c r="J20" i="3"/>
  <c r="C39" i="6" l="1"/>
  <c r="D64" i="4" l="1"/>
  <c r="E69" i="4"/>
  <c r="F65" i="4"/>
  <c r="F69" i="4" s="1"/>
  <c r="G67" i="4"/>
  <c r="G66" i="4"/>
  <c r="D67" i="4"/>
  <c r="D66" i="4"/>
  <c r="K56" i="3"/>
  <c r="G71" i="5"/>
  <c r="G111" i="5" s="1"/>
  <c r="J71" i="5"/>
  <c r="J111" i="5" s="1"/>
  <c r="F19" i="6"/>
  <c r="F20" i="6"/>
  <c r="F22" i="6"/>
  <c r="F24" i="6"/>
  <c r="J32" i="3"/>
  <c r="K32" i="3" s="1"/>
  <c r="J31" i="3"/>
  <c r="H56" i="5"/>
  <c r="I56" i="5"/>
  <c r="G12" i="9"/>
  <c r="H95" i="5"/>
  <c r="K91" i="5"/>
  <c r="G91" i="5"/>
  <c r="K90" i="5"/>
  <c r="J90" i="5"/>
  <c r="G90" i="5"/>
  <c r="G67" i="5"/>
  <c r="G73" i="5" s="1"/>
  <c r="K67" i="5"/>
  <c r="K51" i="5"/>
  <c r="K52" i="5"/>
  <c r="J52" i="5"/>
  <c r="G52" i="5"/>
  <c r="K32" i="5"/>
  <c r="G33" i="5"/>
  <c r="J35" i="5"/>
  <c r="J51" i="5"/>
  <c r="G51" i="5"/>
  <c r="G32" i="5"/>
  <c r="G29" i="5"/>
  <c r="K29" i="5" s="1"/>
  <c r="J33" i="5"/>
  <c r="J32" i="5"/>
  <c r="J29" i="5"/>
  <c r="I29" i="5"/>
  <c r="H29" i="5"/>
  <c r="G78" i="5" l="1"/>
  <c r="G107" i="5"/>
  <c r="G114" i="5" s="1"/>
  <c r="J37" i="5"/>
  <c r="H22" i="3"/>
  <c r="C21" i="6"/>
  <c r="G68" i="4"/>
  <c r="H65" i="4"/>
  <c r="K55" i="3"/>
  <c r="K57" i="3"/>
  <c r="K31" i="3"/>
  <c r="D68" i="4"/>
  <c r="H66" i="4"/>
  <c r="J67" i="5"/>
  <c r="H65" i="3" l="1"/>
  <c r="K65" i="3" s="1"/>
  <c r="K42" i="3"/>
  <c r="J73" i="5"/>
  <c r="G75" i="5"/>
  <c r="G69" i="4"/>
  <c r="J22" i="3"/>
  <c r="K22" i="3" s="1"/>
  <c r="D69" i="4"/>
  <c r="H69" i="4" s="1"/>
  <c r="H68" i="4"/>
  <c r="H45" i="3" l="1"/>
  <c r="K45" i="3" s="1"/>
  <c r="K73" i="5"/>
  <c r="C48" i="6"/>
  <c r="J74" i="5"/>
  <c r="K74" i="5" s="1"/>
  <c r="B35" i="5"/>
  <c r="B16" i="5"/>
  <c r="H87" i="5"/>
  <c r="I87" i="5"/>
  <c r="K86" i="5"/>
  <c r="J87" i="5"/>
  <c r="G87" i="5"/>
  <c r="G93" i="5" s="1"/>
  <c r="C59" i="6" s="1"/>
  <c r="G35" i="5"/>
  <c r="H51" i="5"/>
  <c r="H32" i="5"/>
  <c r="J75" i="5" l="1"/>
  <c r="H68" i="3"/>
  <c r="K68" i="3" s="1"/>
  <c r="H46" i="3"/>
  <c r="K93" i="5"/>
  <c r="C62" i="6"/>
  <c r="J95" i="5"/>
  <c r="G95" i="5"/>
  <c r="H19" i="3"/>
  <c r="C18" i="6"/>
  <c r="G37" i="5"/>
  <c r="K35" i="5"/>
  <c r="K37" i="5" s="1"/>
  <c r="B114" i="5"/>
  <c r="K87" i="5"/>
  <c r="K104" i="5"/>
  <c r="E55" i="4"/>
  <c r="C62" i="4"/>
  <c r="C68" i="4"/>
  <c r="C67" i="4"/>
  <c r="C66" i="4"/>
  <c r="C65" i="4"/>
  <c r="C64" i="4"/>
  <c r="C63" i="4"/>
  <c r="E39" i="6"/>
  <c r="J48" i="5"/>
  <c r="I48" i="5"/>
  <c r="H48" i="5"/>
  <c r="G48" i="5"/>
  <c r="G54" i="5" s="1"/>
  <c r="D64" i="6" l="1"/>
  <c r="C66" i="6"/>
  <c r="F64" i="6"/>
  <c r="J54" i="5"/>
  <c r="J107" i="5"/>
  <c r="K107" i="5" s="1"/>
  <c r="K95" i="5"/>
  <c r="F59" i="6"/>
  <c r="D62" i="6"/>
  <c r="F62" i="6" s="1"/>
  <c r="H23" i="3"/>
  <c r="J19" i="3"/>
  <c r="J23" i="3" s="1"/>
  <c r="F18" i="6"/>
  <c r="D21" i="6"/>
  <c r="C25" i="6"/>
  <c r="K33" i="3"/>
  <c r="K48" i="5"/>
  <c r="H39" i="4"/>
  <c r="F41" i="4"/>
  <c r="K54" i="5"/>
  <c r="D23" i="6"/>
  <c r="F23" i="6" s="1"/>
  <c r="F22" i="4"/>
  <c r="E23" i="4"/>
  <c r="D23" i="4" s="1"/>
  <c r="F23" i="4"/>
  <c r="E24" i="4"/>
  <c r="D24" i="4" s="1"/>
  <c r="F24" i="4"/>
  <c r="G24" i="4" s="1"/>
  <c r="E25" i="4"/>
  <c r="F25" i="4"/>
  <c r="E26" i="4"/>
  <c r="F26" i="4"/>
  <c r="K54" i="3" l="1"/>
  <c r="K58" i="3" s="1"/>
  <c r="F21" i="6"/>
  <c r="F25" i="6" s="1"/>
  <c r="D25" i="6"/>
  <c r="K19" i="3"/>
  <c r="K23" i="3"/>
  <c r="E41" i="4"/>
  <c r="J56" i="5"/>
  <c r="K56" i="5" s="1"/>
  <c r="K30" i="3"/>
  <c r="K34" i="3" s="1"/>
  <c r="G56" i="5"/>
  <c r="H40" i="4"/>
  <c r="C38" i="4" s="1"/>
  <c r="G22" i="4"/>
  <c r="G25" i="4"/>
  <c r="H21" i="4"/>
  <c r="H22" i="4" s="1"/>
  <c r="E22" i="4"/>
  <c r="D25" i="4"/>
  <c r="H23" i="4"/>
  <c r="H24" i="4"/>
  <c r="C50" i="4"/>
  <c r="C49" i="4"/>
  <c r="C48" i="4"/>
  <c r="F61" i="6"/>
  <c r="F65" i="6"/>
  <c r="F66" i="6" s="1"/>
  <c r="E66" i="6"/>
  <c r="H25" i="4" l="1"/>
  <c r="C23" i="4" s="1"/>
  <c r="C39" i="4"/>
  <c r="G26" i="4"/>
  <c r="D26" i="4"/>
  <c r="D66" i="6"/>
  <c r="F63" i="6"/>
  <c r="F60" i="6"/>
  <c r="E81" i="6"/>
  <c r="C34" i="4" l="1"/>
  <c r="C37" i="4"/>
  <c r="H26" i="4"/>
  <c r="C25" i="4" s="1"/>
  <c r="C24" i="4"/>
  <c r="C19" i="4"/>
  <c r="C35" i="4"/>
  <c r="C36" i="4"/>
  <c r="C46" i="6" l="1"/>
  <c r="C40" i="4"/>
  <c r="C22" i="4"/>
  <c r="C21" i="4"/>
  <c r="C20" i="4"/>
  <c r="K75" i="5" l="1"/>
  <c r="K46" i="3"/>
  <c r="K44" i="3"/>
  <c r="F55" i="4" l="1"/>
  <c r="F12" i="9" l="1"/>
  <c r="E12" i="9"/>
  <c r="I12" i="9" s="1"/>
  <c r="I13" i="9" s="1"/>
  <c r="I9" i="9"/>
  <c r="I10" i="9" s="1"/>
  <c r="I15" i="9" l="1"/>
  <c r="I16" i="9" s="1"/>
  <c r="G10" i="9"/>
  <c r="G13" i="9"/>
  <c r="I17" i="9" l="1"/>
  <c r="G15" i="9"/>
  <c r="G17" i="9" l="1"/>
  <c r="H36" i="1" l="1"/>
  <c r="I35" i="1"/>
  <c r="H35" i="1"/>
  <c r="H32" i="1"/>
  <c r="H93" i="5"/>
  <c r="I90" i="5"/>
  <c r="I91" i="5" s="1"/>
  <c r="H90" i="5"/>
  <c r="H91" i="5" s="1"/>
  <c r="K83" i="5"/>
  <c r="D33" i="1"/>
  <c r="D32" i="1"/>
  <c r="D31" i="1"/>
  <c r="B31" i="1"/>
  <c r="J91" i="5" l="1"/>
  <c r="E8" i="1"/>
  <c r="H12" i="1"/>
  <c r="H11" i="1"/>
  <c r="M11" i="1"/>
  <c r="M10" i="1"/>
  <c r="O5" i="1"/>
  <c r="M5" i="1"/>
  <c r="I15" i="1"/>
  <c r="G15" i="1"/>
  <c r="G19" i="1"/>
  <c r="E17" i="1"/>
  <c r="E15" i="1"/>
  <c r="C12" i="1"/>
  <c r="B7" i="1"/>
  <c r="B8" i="1" s="1"/>
  <c r="C11" i="1"/>
  <c r="J10" i="1"/>
  <c r="H9" i="1"/>
  <c r="H10" i="1"/>
  <c r="F10" i="1"/>
  <c r="E9" i="2" l="1"/>
  <c r="K63" i="5"/>
  <c r="B7" i="2" l="1"/>
  <c r="E7" i="2" s="1"/>
  <c r="E5" i="2"/>
  <c r="K44" i="5"/>
  <c r="K25" i="5" l="1"/>
  <c r="J13" i="5" l="1"/>
  <c r="K6" i="5"/>
  <c r="E3" i="2"/>
  <c r="G2" i="1"/>
  <c r="G108" i="5" l="1"/>
  <c r="G10" i="5"/>
  <c r="H112" i="5"/>
  <c r="I14" i="5"/>
  <c r="H16" i="5"/>
  <c r="H14" i="5"/>
  <c r="H10" i="5"/>
  <c r="C6" i="6" l="1"/>
  <c r="I10" i="5"/>
  <c r="I16" i="5" s="1"/>
  <c r="J10" i="5"/>
  <c r="J108" i="5" s="1"/>
  <c r="C7" i="6"/>
  <c r="H108" i="5"/>
  <c r="I108" i="5"/>
  <c r="G112" i="5"/>
  <c r="I112" i="5"/>
  <c r="H114" i="5"/>
  <c r="G14" i="5"/>
  <c r="G16" i="5"/>
  <c r="J14" i="5"/>
  <c r="J16" i="5" s="1"/>
  <c r="J112" i="5"/>
  <c r="C7" i="4"/>
  <c r="K9" i="5"/>
  <c r="K10" i="5" s="1"/>
  <c r="J114" i="5" l="1"/>
  <c r="J115" i="5" s="1"/>
  <c r="K115" i="5" s="1"/>
  <c r="H6" i="3"/>
  <c r="H10" i="3" s="1"/>
  <c r="G18" i="5"/>
  <c r="K18" i="5" s="1"/>
  <c r="H116" i="5"/>
  <c r="K67" i="3"/>
  <c r="K66" i="3"/>
  <c r="K108" i="5"/>
  <c r="C8" i="6"/>
  <c r="C5" i="6"/>
  <c r="K16" i="5"/>
  <c r="K14" i="5"/>
  <c r="I114" i="5"/>
  <c r="K111" i="5"/>
  <c r="K112" i="5" s="1"/>
  <c r="C9" i="4"/>
  <c r="C5" i="4"/>
  <c r="C6" i="4"/>
  <c r="J8" i="3"/>
  <c r="J7" i="3"/>
  <c r="K114" i="5" l="1"/>
  <c r="K69" i="3"/>
  <c r="D8" i="6"/>
  <c r="D12" i="6" s="1"/>
  <c r="C12" i="6"/>
  <c r="H69" i="3"/>
  <c r="D10" i="6"/>
  <c r="J6" i="3"/>
  <c r="K7" i="3"/>
  <c r="K8" i="3"/>
  <c r="G116" i="5"/>
  <c r="I116" i="5"/>
  <c r="C10" i="4"/>
  <c r="K116" i="5" l="1"/>
  <c r="J116" i="5"/>
  <c r="K6" i="3"/>
  <c r="J9" i="3"/>
  <c r="C11" i="4"/>
  <c r="C8" i="4"/>
  <c r="K9" i="3" l="1"/>
  <c r="K10" i="3" s="1"/>
  <c r="J10" i="3"/>
  <c r="F81" i="6" l="1"/>
  <c r="H54" i="4"/>
  <c r="C53" i="4" s="1"/>
  <c r="H55" i="4" l="1"/>
  <c r="C51" i="4" s="1"/>
  <c r="C52" i="4"/>
  <c r="C54" i="4" l="1"/>
</calcChain>
</file>

<file path=xl/comments1.xml><?xml version="1.0" encoding="utf-8"?>
<comments xmlns="http://schemas.openxmlformats.org/spreadsheetml/2006/main">
  <authors>
    <author>Ajuntament de Barcelona</author>
  </authors>
  <commentList>
    <comment ref="H16" authorId="0">
      <text>
        <r>
          <rPr>
            <b/>
            <sz val="9"/>
            <color indexed="81"/>
            <rFont val="Tahoma"/>
            <family val="2"/>
          </rPr>
          <t>Ajuntament de Barcelona:</t>
        </r>
        <r>
          <rPr>
            <sz val="9"/>
            <color indexed="81"/>
            <rFont val="Tahoma"/>
            <family val="2"/>
          </rPr>
          <t xml:space="preserve">
Afegeix tipus IVA aplicable</t>
        </r>
      </text>
    </comment>
  </commentList>
</comments>
</file>

<file path=xl/sharedStrings.xml><?xml version="1.0" encoding="utf-8"?>
<sst xmlns="http://schemas.openxmlformats.org/spreadsheetml/2006/main" count="318" uniqueCount="96">
  <si>
    <t>LOT 1</t>
  </si>
  <si>
    <t>Any</t>
  </si>
  <si>
    <t>Mesos</t>
  </si>
  <si>
    <t>C. Orgànic</t>
  </si>
  <si>
    <t>C. Econòmic</t>
  </si>
  <si>
    <t>Programa</t>
  </si>
  <si>
    <t>Import net €</t>
  </si>
  <si>
    <t>% IVA</t>
  </si>
  <si>
    <t>Import IVA</t>
  </si>
  <si>
    <t>Import total</t>
  </si>
  <si>
    <t>0103</t>
  </si>
  <si>
    <t>EXECUCIÓ CONTRACTE</t>
  </si>
  <si>
    <t>LICITACIÓ</t>
  </si>
  <si>
    <t>Despeses per preu global</t>
  </si>
  <si>
    <t>Gestió global dels Habitatges amb Serveis per a persones grans</t>
  </si>
  <si>
    <t>Subtotal Despeses per preu global</t>
  </si>
  <si>
    <t>Despeses per preu unitari</t>
  </si>
  <si>
    <t>Prestació de serveis complementaris d'auxiliar de geriatria</t>
  </si>
  <si>
    <t>Subtotal Despeses per preu unitari</t>
  </si>
  <si>
    <t>Preu base de licitació</t>
  </si>
  <si>
    <t>IVA</t>
  </si>
  <si>
    <t>Preu total del contracte</t>
  </si>
  <si>
    <t>LOT 1 QUADRE DE DESPESES DIRECTES I INDIRECTES</t>
  </si>
  <si>
    <t>%</t>
  </si>
  <si>
    <t>TOTAL CONTRACTE</t>
  </si>
  <si>
    <t>Costos salarials</t>
  </si>
  <si>
    <t>Costos Seguretat Social</t>
  </si>
  <si>
    <t>Costos de Funcionament</t>
  </si>
  <si>
    <t>Costos directes</t>
  </si>
  <si>
    <t>Despeses generals de gestió</t>
  </si>
  <si>
    <t>Marge empresarial</t>
  </si>
  <si>
    <t>Costos indirectes</t>
  </si>
  <si>
    <t>Costos totals</t>
  </si>
  <si>
    <t>Hores
 anuals</t>
  </si>
  <si>
    <t>Pressupost net prestació</t>
  </si>
  <si>
    <t>Pressupost net eventual pròrrogues</t>
  </si>
  <si>
    <t>Pressupost net modificat amb increment de cost</t>
  </si>
  <si>
    <t xml:space="preserve">TOTAL CONTRACTE </t>
  </si>
  <si>
    <t>Preu hora</t>
  </si>
  <si>
    <t>Hores anuals</t>
  </si>
  <si>
    <t>Subtotal Despeses per provisions</t>
  </si>
  <si>
    <t>LOT 2</t>
  </si>
  <si>
    <t>LOT 2 QUADRE DE DESPESES DIRECTES I INDIRECTES</t>
  </si>
  <si>
    <t>Costos Salarials</t>
  </si>
  <si>
    <t>mesos</t>
  </si>
  <si>
    <t>LOT 3</t>
  </si>
  <si>
    <t>Modificació</t>
  </si>
  <si>
    <t>Lot 3</t>
  </si>
  <si>
    <t>lot 2</t>
  </si>
  <si>
    <t>LOT 3 QUADRE DE DESPESES DIRECTES I INDIRECTES</t>
  </si>
  <si>
    <t xml:space="preserve">TOTAL </t>
  </si>
  <si>
    <t>LOT 4</t>
  </si>
  <si>
    <t>LOT 4 QUADRE DE DESPESES DIRECTES I INDIRECTES</t>
  </si>
  <si>
    <t>Lot 5</t>
  </si>
  <si>
    <t>LOT 5 QUADRE DE DESPESES DIRECTES I INDIRECTES</t>
  </si>
  <si>
    <t>LOT 5</t>
  </si>
  <si>
    <r>
      <t xml:space="preserve">pressupost total  de </t>
    </r>
    <r>
      <rPr>
        <sz val="11"/>
        <color rgb="FF000000"/>
        <rFont val="Calibri"/>
        <family val="2"/>
        <scheme val="minor"/>
      </rPr>
      <t xml:space="preserve">10.438.883,19 € </t>
    </r>
    <r>
      <rPr>
        <b/>
        <sz val="10"/>
        <color theme="1"/>
        <rFont val="Calibri"/>
        <family val="2"/>
        <scheme val="minor"/>
      </rPr>
      <t xml:space="preserve"> </t>
    </r>
    <r>
      <rPr>
        <b/>
        <sz val="10"/>
        <color rgb="FF000000"/>
        <rFont val="Calibri"/>
        <family val="2"/>
        <scheme val="minor"/>
      </rPr>
      <t>IVA inclòs</t>
    </r>
    <r>
      <rPr>
        <sz val="10"/>
        <color rgb="FF000000"/>
        <rFont val="Calibri"/>
        <family val="2"/>
        <scheme val="minor"/>
      </rPr>
      <t xml:space="preserve">,  en lloc dels </t>
    </r>
    <r>
      <rPr>
        <sz val="11"/>
        <color rgb="FF000000"/>
        <rFont val="Calibri"/>
        <family val="2"/>
        <scheme val="minor"/>
      </rPr>
      <t xml:space="preserve">10.381.644,00 € proposats </t>
    </r>
  </si>
  <si>
    <t>GESTIÓ DELS HABITATGES AMB SERVEIS PER A PERSONES GRANS I DELS SERVEIS DE SUPORT I ATENCIÓ PERSONAL</t>
  </si>
  <si>
    <t>36 MESOS</t>
  </si>
  <si>
    <t>Codi</t>
  </si>
  <si>
    <t>Descripció</t>
  </si>
  <si>
    <t>Quantitat estimada hores/ 3 anys</t>
  </si>
  <si>
    <t>Preu u/t Sortida</t>
  </si>
  <si>
    <t>Import sortida</t>
  </si>
  <si>
    <t>Preu u/t  Proveïdor</t>
  </si>
  <si>
    <t>Import  Proveïdor</t>
  </si>
  <si>
    <t>Despeses per preu GLOBAL</t>
  </si>
  <si>
    <t>PREU GLOBAL</t>
  </si>
  <si>
    <t>Subtotal preu global</t>
  </si>
  <si>
    <t>Subtotal preu global proveidor</t>
  </si>
  <si>
    <t>Despeses per preu UNITARI</t>
  </si>
  <si>
    <t>PREU UNITARI</t>
  </si>
  <si>
    <t>Subtotal preu unitari de proveidor</t>
  </si>
  <si>
    <t>IMPORT:</t>
  </si>
  <si>
    <t xml:space="preserve">IMPORT:                    </t>
  </si>
  <si>
    <t>IVA (%):</t>
  </si>
  <si>
    <t>TOTAL:</t>
  </si>
  <si>
    <t xml:space="preserve">TOTAL PROVEIDOR: </t>
  </si>
  <si>
    <t>Barcelona, en la data de signatura</t>
  </si>
  <si>
    <t>Subtotal de provisions</t>
  </si>
  <si>
    <t>EXECUCIÓ CONTRACTE DELS 5 LOTS</t>
  </si>
  <si>
    <t>'Gestió global de la Gestió dels Habitatges amb Serveis per a persones grans</t>
  </si>
  <si>
    <t>TOTALS</t>
  </si>
  <si>
    <t>Preu
 hora</t>
  </si>
  <si>
    <t>HORES TOTALS</t>
  </si>
  <si>
    <t>Hores totals</t>
  </si>
  <si>
    <t>Hores 
anuals</t>
  </si>
  <si>
    <t>Hores
licitació</t>
  </si>
  <si>
    <t xml:space="preserve">   TOTAL 5 LOTS</t>
  </si>
  <si>
    <t>1  D'OCTUBRE 2025</t>
  </si>
  <si>
    <t>30 SEPTEMBRE 2028</t>
  </si>
  <si>
    <t>VEC 5 (5 LOTS)</t>
  </si>
  <si>
    <t>* El present annex s'ha de presentar en format pdf i degudament signat</t>
  </si>
  <si>
    <r>
      <rPr>
        <b/>
        <sz val="12"/>
        <color rgb="FFFF0000"/>
        <rFont val="Calibri"/>
        <family val="2"/>
        <scheme val="minor"/>
      </rPr>
      <t xml:space="preserve">EXP 015_P2400043   </t>
    </r>
    <r>
      <rPr>
        <b/>
        <sz val="12"/>
        <rFont val="Calibri"/>
        <family val="2"/>
        <scheme val="minor"/>
      </rPr>
      <t xml:space="preserve">                    ANNEX-4 BIS. LOT 2</t>
    </r>
  </si>
  <si>
    <t>Per al període inicial del contracte:</t>
  </si>
  <si>
    <t>Les quantitats indicades per l’IMSS com a preu global net així com del preu unitari net determinat constitueixen la xifra màxima per sobre de la qual s'estimarà que les ofertes de les licitadores excedeixen el tipus de la licitació i, per tant, seran excloses.</t>
  </si>
</sst>
</file>

<file path=xl/styles.xml><?xml version="1.0" encoding="utf-8"?>
<styleSheet xmlns="http://schemas.openxmlformats.org/spreadsheetml/2006/main" xmlns:mc="http://schemas.openxmlformats.org/markup-compatibility/2006" xmlns:x14ac="http://schemas.microsoft.com/office/spreadsheetml/2009/9/ac" mc:Ignorable="x14ac">
  <numFmts count="22">
    <numFmt numFmtId="8" formatCode="#,##0.00\ &quot;€&quot;;[Red]\-#,##0.00\ &quot;€&quot;"/>
    <numFmt numFmtId="44" formatCode="_-* #,##0.00\ &quot;€&quot;_-;\-* #,##0.00\ &quot;€&quot;_-;_-* &quot;-&quot;??\ &quot;€&quot;_-;_-@_-"/>
    <numFmt numFmtId="43" formatCode="_-* #,##0.00\ _€_-;\-* #,##0.00\ _€_-;_-* &quot;-&quot;??\ _€_-;_-@_-"/>
    <numFmt numFmtId="164" formatCode="#,##0.00\ &quot;€&quot;"/>
    <numFmt numFmtId="165" formatCode="#,##0.0000\ &quot;€&quot;"/>
    <numFmt numFmtId="166" formatCode="#,##0.0000\ &quot;€&quot;;[Red]\-#,##0.0000\ &quot;€&quot;"/>
    <numFmt numFmtId="167" formatCode="#,##0.00000\ &quot;€&quot;;[Red]\-#,##0.00000\ &quot;€&quot;"/>
    <numFmt numFmtId="168" formatCode="0.0000%"/>
    <numFmt numFmtId="169" formatCode="_-* #,##0.00\ [$€-403]_-;\-* #,##0.00\ [$€-403]_-;_-* &quot;-&quot;??\ [$€-403]_-;_-@_-"/>
    <numFmt numFmtId="170" formatCode="_-* #,##0.0000\ _€_-;\-* #,##0.0000\ _€_-;_-* &quot;-&quot;????\ _€_-;_-@_-"/>
    <numFmt numFmtId="171" formatCode="_-* #,##0.00000\ _€_-;\-* #,##0.00000\ _€_-;_-* &quot;-&quot;??\ _€_-;_-@_-"/>
    <numFmt numFmtId="172" formatCode="0.00000"/>
    <numFmt numFmtId="173" formatCode="0.000"/>
    <numFmt numFmtId="174" formatCode="#,##0.00000\ &quot;€&quot;"/>
    <numFmt numFmtId="175" formatCode="0.000000"/>
    <numFmt numFmtId="176" formatCode="0.0000000"/>
    <numFmt numFmtId="177" formatCode="#,##0.000000\ &quot;€&quot;"/>
    <numFmt numFmtId="178" formatCode="_-* #,##0.00000\ _€_-;\-* #,##0.00000\ _€_-;_-* &quot;-&quot;?????\ _€_-;_-@_-"/>
    <numFmt numFmtId="179" formatCode="#,##0.0000000\ &quot;€&quot;"/>
    <numFmt numFmtId="180" formatCode="#,##0.000\ &quot;€&quot;"/>
    <numFmt numFmtId="181" formatCode="0.0000"/>
    <numFmt numFmtId="182" formatCode="_-* #,##0.0000\ _€_-;\-* #,##0.0000\ _€_-;_-* &quot;-&quot;??\ _€_-;_-@_-"/>
  </numFmts>
  <fonts count="40" x14ac:knownFonts="1">
    <font>
      <sz val="11"/>
      <color theme="1"/>
      <name val="Calibri"/>
      <family val="2"/>
      <scheme val="minor"/>
    </font>
    <font>
      <sz val="11"/>
      <color theme="1"/>
      <name val="Calibri"/>
      <family val="2"/>
      <scheme val="minor"/>
    </font>
    <font>
      <b/>
      <sz val="11"/>
      <color theme="1"/>
      <name val="Calibri"/>
      <family val="2"/>
      <scheme val="minor"/>
    </font>
    <font>
      <sz val="9"/>
      <color theme="1"/>
      <name val="Arial"/>
      <family val="2"/>
    </font>
    <font>
      <sz val="16"/>
      <name val="Calibri"/>
      <family val="2"/>
      <scheme val="minor"/>
    </font>
    <font>
      <sz val="16"/>
      <name val="Arial"/>
      <family val="2"/>
    </font>
    <font>
      <sz val="12"/>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2"/>
      <color rgb="FF000000"/>
      <name val="Calibri"/>
      <family val="2"/>
      <scheme val="minor"/>
    </font>
    <font>
      <b/>
      <i/>
      <sz val="12"/>
      <color rgb="FF000000"/>
      <name val="Calibri"/>
      <family val="2"/>
      <scheme val="minor"/>
    </font>
    <font>
      <sz val="12"/>
      <color rgb="FF000000"/>
      <name val="Calibri"/>
      <family val="2"/>
      <scheme val="minor"/>
    </font>
    <font>
      <i/>
      <sz val="12"/>
      <name val="Calibri"/>
      <family val="2"/>
      <scheme val="minor"/>
    </font>
    <font>
      <b/>
      <sz val="14"/>
      <name val="Calibri"/>
      <family val="2"/>
      <scheme val="minor"/>
    </font>
    <font>
      <i/>
      <sz val="9"/>
      <name val="Calibri"/>
      <family val="2"/>
      <scheme val="minor"/>
    </font>
    <font>
      <sz val="9"/>
      <name val="Calibri"/>
      <family val="2"/>
      <scheme val="minor"/>
    </font>
    <font>
      <b/>
      <sz val="13"/>
      <name val="Calibri"/>
      <family val="2"/>
      <scheme val="minor"/>
    </font>
    <font>
      <b/>
      <sz val="11"/>
      <name val="Calibri"/>
      <family val="2"/>
      <scheme val="minor"/>
    </font>
    <font>
      <sz val="11"/>
      <name val="Calibri"/>
      <family val="2"/>
      <scheme val="minor"/>
    </font>
    <font>
      <sz val="11"/>
      <color rgb="FFFF0000"/>
      <name val="Calibri"/>
      <family val="2"/>
      <scheme val="minor"/>
    </font>
    <font>
      <b/>
      <sz val="16"/>
      <name val="Calibri"/>
      <family val="2"/>
      <scheme val="minor"/>
    </font>
    <font>
      <b/>
      <sz val="16"/>
      <color rgb="FF000000"/>
      <name val="Calibri"/>
      <family val="2"/>
      <scheme val="minor"/>
    </font>
    <font>
      <sz val="16"/>
      <color theme="1"/>
      <name val="Calibri"/>
      <family val="2"/>
      <scheme val="minor"/>
    </font>
    <font>
      <sz val="16"/>
      <color rgb="FF000000"/>
      <name val="Calibri"/>
      <family val="2"/>
      <scheme val="minor"/>
    </font>
    <font>
      <sz val="11"/>
      <color theme="1"/>
      <name val="Arial"/>
      <family val="2"/>
    </font>
    <font>
      <sz val="11"/>
      <color rgb="FF000000"/>
      <name val="Arial"/>
      <family val="2"/>
    </font>
    <font>
      <sz val="10"/>
      <color rgb="FF000000"/>
      <name val="Calibri"/>
      <family val="2"/>
      <scheme val="minor"/>
    </font>
    <font>
      <sz val="11"/>
      <color rgb="FF000000"/>
      <name val="Calibri"/>
      <family val="2"/>
      <scheme val="minor"/>
    </font>
    <font>
      <b/>
      <sz val="10"/>
      <color theme="1"/>
      <name val="Calibri"/>
      <family val="2"/>
      <scheme val="minor"/>
    </font>
    <font>
      <b/>
      <sz val="10"/>
      <color rgb="FF000000"/>
      <name val="Calibri"/>
      <family val="2"/>
      <scheme val="minor"/>
    </font>
    <font>
      <sz val="10"/>
      <name val="Arial"/>
      <family val="2"/>
    </font>
    <font>
      <b/>
      <sz val="12"/>
      <color rgb="FFFF0000"/>
      <name val="Calibri"/>
      <family val="2"/>
      <scheme val="minor"/>
    </font>
    <font>
      <b/>
      <sz val="10"/>
      <name val="Calibri"/>
      <family val="2"/>
      <scheme val="minor"/>
    </font>
    <font>
      <sz val="10"/>
      <name val="Arial"/>
      <family val="2"/>
    </font>
    <font>
      <sz val="14"/>
      <color rgb="FFFF0000"/>
      <name val="Calibri"/>
      <family val="2"/>
      <scheme val="minor"/>
    </font>
    <font>
      <b/>
      <sz val="14"/>
      <color rgb="FF000000"/>
      <name val="Calibri"/>
      <family val="2"/>
      <scheme val="minor"/>
    </font>
    <font>
      <sz val="9"/>
      <color indexed="81"/>
      <name val="Tahoma"/>
      <family val="2"/>
    </font>
    <font>
      <b/>
      <sz val="9"/>
      <color indexed="81"/>
      <name val="Tahoma"/>
      <family val="2"/>
    </font>
    <font>
      <b/>
      <sz val="12"/>
      <name val="Arial"/>
      <family val="2"/>
    </font>
  </fonts>
  <fills count="15">
    <fill>
      <patternFill patternType="none"/>
    </fill>
    <fill>
      <patternFill patternType="gray125"/>
    </fill>
    <fill>
      <patternFill patternType="solid">
        <fgColor rgb="FFD8D8D8"/>
        <bgColor indexed="64"/>
      </patternFill>
    </fill>
    <fill>
      <patternFill patternType="solid">
        <fgColor rgb="FFFFFF00"/>
        <bgColor indexed="64"/>
      </patternFill>
    </fill>
    <fill>
      <patternFill patternType="solid">
        <fgColor rgb="FFC2D69A"/>
        <bgColor indexed="64"/>
      </patternFill>
    </fill>
    <fill>
      <patternFill patternType="solid">
        <fgColor rgb="FFEAF1DD"/>
        <bgColor indexed="64"/>
      </patternFill>
    </fill>
    <fill>
      <patternFill patternType="solid">
        <fgColor rgb="FFD7E4BC"/>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CDCDC"/>
        <bgColor indexed="64"/>
      </patternFill>
    </fill>
    <fill>
      <patternFill patternType="solid">
        <fgColor rgb="FF00B050"/>
        <bgColor indexed="64"/>
      </patternFill>
    </fill>
    <fill>
      <patternFill patternType="solid">
        <fgColor indexed="51"/>
        <bgColor indexed="64"/>
      </patternFill>
    </fill>
    <fill>
      <patternFill patternType="solid">
        <fgColor theme="6" tint="0.39997558519241921"/>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0" fontId="31" fillId="0" borderId="0"/>
    <xf numFmtId="44" fontId="34" fillId="0" borderId="0" applyFont="0" applyFill="0" applyBorder="0" applyAlignment="0" applyProtection="0"/>
    <xf numFmtId="43" fontId="34" fillId="0" borderId="0" applyFont="0" applyFill="0" applyBorder="0" applyAlignment="0" applyProtection="0"/>
    <xf numFmtId="9" fontId="34" fillId="0" borderId="0" applyFont="0" applyFill="0" applyBorder="0" applyAlignment="0" applyProtection="0"/>
    <xf numFmtId="0" fontId="1" fillId="0" borderId="0"/>
  </cellStyleXfs>
  <cellXfs count="253">
    <xf numFmtId="0" fontId="0" fillId="0" borderId="0" xfId="0"/>
    <xf numFmtId="8" fontId="0" fillId="0" borderId="0" xfId="0" applyNumberFormat="1"/>
    <xf numFmtId="8" fontId="3" fillId="0" borderId="1" xfId="0" applyNumberFormat="1" applyFont="1" applyBorder="1" applyAlignment="1">
      <alignment horizontal="justify" vertical="center" wrapText="1"/>
    </xf>
    <xf numFmtId="10" fontId="0" fillId="0" borderId="0" xfId="2" applyNumberFormat="1" applyFont="1"/>
    <xf numFmtId="43" fontId="0" fillId="0" borderId="0" xfId="1" applyFont="1"/>
    <xf numFmtId="43" fontId="0" fillId="0" borderId="0" xfId="0" applyNumberFormat="1"/>
    <xf numFmtId="8" fontId="3" fillId="0" borderId="3" xfId="0" applyNumberFormat="1" applyFont="1" applyBorder="1" applyAlignment="1">
      <alignment horizontal="justify" vertical="center" wrapText="1"/>
    </xf>
    <xf numFmtId="8" fontId="3" fillId="0" borderId="0" xfId="0" applyNumberFormat="1" applyFont="1" applyAlignment="1">
      <alignment horizontal="justify" vertical="center"/>
    </xf>
    <xf numFmtId="0" fontId="4" fillId="0" borderId="0" xfId="0" applyFont="1"/>
    <xf numFmtId="0" fontId="5" fillId="0" borderId="0" xfId="0" applyFont="1"/>
    <xf numFmtId="0" fontId="6" fillId="0" borderId="0" xfId="0" applyFont="1"/>
    <xf numFmtId="0" fontId="8" fillId="0" borderId="0" xfId="0" applyFont="1" applyAlignment="1">
      <alignment horizontal="right" vertical="center"/>
    </xf>
    <xf numFmtId="0" fontId="8" fillId="0" borderId="0" xfId="0" applyFont="1" applyAlignment="1">
      <alignment vertical="center"/>
    </xf>
    <xf numFmtId="0" fontId="9" fillId="0" borderId="0" xfId="0" applyFont="1" applyAlignment="1">
      <alignment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5" borderId="6" xfId="0" applyFont="1" applyFill="1" applyBorder="1" applyAlignment="1">
      <alignment horizontal="left" vertical="center" wrapText="1"/>
    </xf>
    <xf numFmtId="0" fontId="11" fillId="5" borderId="7" xfId="0" applyFont="1" applyFill="1" applyBorder="1" applyAlignment="1">
      <alignment vertical="center" wrapText="1"/>
    </xf>
    <xf numFmtId="0" fontId="11" fillId="5" borderId="3" xfId="0" applyFont="1" applyFill="1" applyBorder="1" applyAlignment="1">
      <alignment vertical="center" wrapText="1"/>
    </xf>
    <xf numFmtId="0" fontId="10" fillId="0" borderId="0" xfId="0" applyFont="1" applyAlignment="1">
      <alignment horizontal="right" vertical="center"/>
    </xf>
    <xf numFmtId="0" fontId="8" fillId="0" borderId="0" xfId="0" applyFont="1"/>
    <xf numFmtId="164" fontId="7" fillId="0" borderId="1" xfId="0" applyNumberFormat="1" applyFont="1" applyBorder="1" applyAlignment="1">
      <alignment horizontal="right"/>
    </xf>
    <xf numFmtId="164" fontId="8" fillId="0" borderId="0" xfId="0" applyNumberFormat="1" applyFont="1" applyBorder="1" applyAlignment="1">
      <alignment horizontal="right"/>
    </xf>
    <xf numFmtId="164" fontId="7" fillId="0" borderId="0" xfId="0" applyNumberFormat="1" applyFont="1" applyBorder="1" applyAlignment="1">
      <alignment horizontal="right"/>
    </xf>
    <xf numFmtId="164" fontId="7" fillId="0" borderId="0" xfId="0" applyNumberFormat="1" applyFont="1" applyAlignment="1">
      <alignment horizontal="right" vertical="center" wrapText="1"/>
    </xf>
    <xf numFmtId="164" fontId="11" fillId="5" borderId="7" xfId="0" applyNumberFormat="1" applyFont="1" applyFill="1" applyBorder="1" applyAlignment="1">
      <alignment horizontal="right" vertical="center" wrapText="1"/>
    </xf>
    <xf numFmtId="164" fontId="11" fillId="5" borderId="3" xfId="0" applyNumberFormat="1" applyFont="1" applyFill="1" applyBorder="1" applyAlignment="1">
      <alignment horizontal="right" vertical="center" wrapText="1"/>
    </xf>
    <xf numFmtId="0" fontId="12" fillId="0" borderId="0" xfId="0" applyFont="1" applyBorder="1" applyAlignment="1">
      <alignment vertical="center" wrapText="1"/>
    </xf>
    <xf numFmtId="0" fontId="10" fillId="0" borderId="8" xfId="0" applyFont="1" applyBorder="1" applyAlignment="1">
      <alignment horizontal="right" vertical="center"/>
    </xf>
    <xf numFmtId="0" fontId="8" fillId="0" borderId="9" xfId="0" applyFont="1" applyBorder="1"/>
    <xf numFmtId="164" fontId="8" fillId="0" borderId="1" xfId="0" applyNumberFormat="1" applyFont="1" applyBorder="1" applyAlignment="1">
      <alignment horizontal="right"/>
    </xf>
    <xf numFmtId="0" fontId="8" fillId="0" borderId="0" xfId="0" applyFont="1" applyAlignment="1">
      <alignment vertical="center" wrapText="1"/>
    </xf>
    <xf numFmtId="164" fontId="8" fillId="0" borderId="0" xfId="0" applyNumberFormat="1" applyFont="1" applyAlignment="1">
      <alignment horizontal="right" vertical="center" wrapText="1"/>
    </xf>
    <xf numFmtId="0" fontId="10" fillId="5" borderId="7" xfId="0" applyFont="1" applyFill="1" applyBorder="1" applyAlignment="1">
      <alignment horizontal="right" vertical="center" wrapText="1"/>
    </xf>
    <xf numFmtId="164" fontId="7" fillId="5" borderId="1" xfId="0" applyNumberFormat="1" applyFont="1" applyFill="1" applyBorder="1" applyAlignment="1">
      <alignment horizontal="right" vertical="center" wrapText="1"/>
    </xf>
    <xf numFmtId="0" fontId="11" fillId="0" borderId="0" xfId="0" applyFont="1" applyAlignment="1">
      <alignment horizontal="right" vertical="center" wrapText="1"/>
    </xf>
    <xf numFmtId="10" fontId="11" fillId="0" borderId="0" xfId="0" applyNumberFormat="1" applyFont="1" applyAlignment="1">
      <alignment horizontal="right" vertical="center" wrapText="1"/>
    </xf>
    <xf numFmtId="0" fontId="11" fillId="6" borderId="6" xfId="0" applyFont="1" applyFill="1" applyBorder="1" applyAlignment="1">
      <alignment horizontal="left" vertical="center" wrapText="1"/>
    </xf>
    <xf numFmtId="0" fontId="10" fillId="6" borderId="7" xfId="0" applyFont="1" applyFill="1" applyBorder="1" applyAlignment="1">
      <alignment horizontal="right" vertical="center" wrapText="1"/>
    </xf>
    <xf numFmtId="164" fontId="7" fillId="6" borderId="7" xfId="0" applyNumberFormat="1" applyFont="1" applyFill="1" applyBorder="1" applyAlignment="1">
      <alignment horizontal="right" wrapText="1"/>
    </xf>
    <xf numFmtId="164" fontId="7" fillId="6" borderId="1" xfId="0" applyNumberFormat="1" applyFont="1" applyFill="1" applyBorder="1" applyAlignment="1">
      <alignment horizontal="right" wrapText="1"/>
    </xf>
    <xf numFmtId="0" fontId="9" fillId="0" borderId="0" xfId="0" applyFont="1"/>
    <xf numFmtId="0" fontId="9" fillId="0" borderId="1" xfId="0" applyFont="1" applyBorder="1" applyAlignment="1">
      <alignment horizontal="justify" vertical="center" wrapText="1"/>
    </xf>
    <xf numFmtId="0" fontId="9" fillId="8" borderId="2" xfId="0" applyFont="1" applyFill="1" applyBorder="1" applyAlignment="1">
      <alignment horizontal="justify" vertical="center" wrapText="1"/>
    </xf>
    <xf numFmtId="0" fontId="9" fillId="10" borderId="2" xfId="0" applyFont="1" applyFill="1" applyBorder="1" applyAlignment="1">
      <alignment horizontal="justify" vertical="center" wrapText="1"/>
    </xf>
    <xf numFmtId="164" fontId="13" fillId="0" borderId="13" xfId="0" applyNumberFormat="1" applyFont="1" applyBorder="1" applyAlignment="1">
      <alignment horizontal="right" vertical="center" wrapText="1"/>
    </xf>
    <xf numFmtId="164" fontId="13" fillId="0" borderId="14" xfId="0" applyNumberFormat="1" applyFont="1" applyBorder="1" applyAlignment="1">
      <alignment horizontal="right" vertical="center" wrapText="1"/>
    </xf>
    <xf numFmtId="164" fontId="9" fillId="8" borderId="14" xfId="0" applyNumberFormat="1" applyFont="1" applyFill="1" applyBorder="1" applyAlignment="1">
      <alignment horizontal="right" vertical="center" wrapText="1"/>
    </xf>
    <xf numFmtId="164" fontId="6" fillId="0" borderId="14" xfId="0" applyNumberFormat="1" applyFont="1" applyBorder="1" applyAlignment="1">
      <alignment horizontal="right" vertical="center" wrapText="1"/>
    </xf>
    <xf numFmtId="164" fontId="0" fillId="9" borderId="14" xfId="0" applyNumberFormat="1" applyFill="1" applyBorder="1"/>
    <xf numFmtId="164" fontId="17" fillId="10" borderId="2" xfId="0" applyNumberFormat="1" applyFont="1" applyFill="1" applyBorder="1" applyAlignment="1">
      <alignment horizontal="right" vertical="center" wrapText="1"/>
    </xf>
    <xf numFmtId="0" fontId="17" fillId="0" borderId="1" xfId="0" applyFont="1" applyBorder="1" applyAlignment="1">
      <alignment horizontal="center" vertical="center" wrapText="1"/>
    </xf>
    <xf numFmtId="0" fontId="14" fillId="0" borderId="3" xfId="0" applyFont="1" applyBorder="1" applyAlignment="1">
      <alignment horizontal="center" vertical="center" wrapText="1"/>
    </xf>
    <xf numFmtId="10" fontId="15" fillId="0" borderId="11" xfId="0" applyNumberFormat="1" applyFont="1" applyBorder="1" applyAlignment="1">
      <alignment horizontal="center" vertical="center" wrapText="1"/>
    </xf>
    <xf numFmtId="10" fontId="15" fillId="0" borderId="12" xfId="0" applyNumberFormat="1" applyFont="1" applyBorder="1" applyAlignment="1">
      <alignment horizontal="center" vertical="center" wrapText="1"/>
    </xf>
    <xf numFmtId="10" fontId="16" fillId="7" borderId="12" xfId="0" applyNumberFormat="1" applyFont="1" applyFill="1" applyBorder="1" applyAlignment="1">
      <alignment horizontal="center" vertical="center" wrapText="1"/>
    </xf>
    <xf numFmtId="10" fontId="9" fillId="8" borderId="12" xfId="0" applyNumberFormat="1" applyFont="1" applyFill="1" applyBorder="1" applyAlignment="1">
      <alignment horizontal="center"/>
    </xf>
    <xf numFmtId="10" fontId="16" fillId="0" borderId="12" xfId="0" applyNumberFormat="1" applyFont="1" applyBorder="1" applyAlignment="1">
      <alignment horizontal="center" vertical="center" wrapText="1"/>
    </xf>
    <xf numFmtId="10" fontId="9" fillId="8" borderId="12" xfId="0" applyNumberFormat="1" applyFont="1" applyFill="1" applyBorder="1" applyAlignment="1">
      <alignment horizontal="center" vertical="center" wrapText="1"/>
    </xf>
    <xf numFmtId="10" fontId="9" fillId="10" borderId="5" xfId="0" applyNumberFormat="1" applyFont="1" applyFill="1" applyBorder="1" applyAlignment="1">
      <alignment horizontal="center" vertical="center" wrapText="1"/>
    </xf>
    <xf numFmtId="0" fontId="6" fillId="0" borderId="15" xfId="0" applyFont="1" applyBorder="1" applyAlignment="1">
      <alignment horizontal="justify" vertical="center" wrapText="1"/>
    </xf>
    <xf numFmtId="0" fontId="6" fillId="7" borderId="14" xfId="0" applyFont="1" applyFill="1" applyBorder="1" applyAlignment="1">
      <alignment horizontal="justify" vertical="center" wrapText="1"/>
    </xf>
    <xf numFmtId="0" fontId="9" fillId="8" borderId="14" xfId="0" applyFont="1" applyFill="1" applyBorder="1"/>
    <xf numFmtId="0" fontId="6" fillId="0" borderId="14" xfId="0" applyFont="1" applyBorder="1" applyAlignment="1">
      <alignment horizontal="justify" vertical="center" wrapText="1"/>
    </xf>
    <xf numFmtId="0" fontId="12" fillId="0" borderId="1" xfId="0" applyFont="1" applyBorder="1" applyAlignment="1">
      <alignment vertical="center" wrapText="1"/>
    </xf>
    <xf numFmtId="164" fontId="7" fillId="0" borderId="1" xfId="0" applyNumberFormat="1" applyFont="1" applyBorder="1" applyAlignment="1">
      <alignment horizontal="right" vertical="center"/>
    </xf>
    <xf numFmtId="164" fontId="8" fillId="0" borderId="1" xfId="0" applyNumberFormat="1" applyFont="1" applyBorder="1" applyAlignment="1">
      <alignment horizontal="right" vertical="center" wrapText="1"/>
    </xf>
    <xf numFmtId="164" fontId="7" fillId="0" borderId="1" xfId="0" applyNumberFormat="1" applyFont="1" applyBorder="1" applyAlignment="1">
      <alignment horizontal="right" vertical="center" wrapText="1"/>
    </xf>
    <xf numFmtId="0" fontId="10" fillId="4"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164" fontId="8" fillId="5" borderId="1" xfId="0" applyNumberFormat="1" applyFont="1" applyFill="1" applyBorder="1" applyAlignment="1">
      <alignment horizontal="right" vertical="center" wrapText="1"/>
    </xf>
    <xf numFmtId="0" fontId="18" fillId="0" borderId="10" xfId="0" applyFont="1" applyBorder="1" applyAlignment="1">
      <alignment horizontal="center" vertical="center" wrapText="1"/>
    </xf>
    <xf numFmtId="0" fontId="19" fillId="0" borderId="10" xfId="0" applyFont="1" applyBorder="1" applyAlignment="1">
      <alignment horizontal="center" vertical="center" wrapText="1"/>
    </xf>
    <xf numFmtId="164" fontId="19" fillId="0" borderId="10" xfId="0" applyNumberFormat="1" applyFont="1" applyBorder="1" applyAlignment="1">
      <alignment horizontal="center" vertical="center" wrapText="1"/>
    </xf>
    <xf numFmtId="165" fontId="19" fillId="0" borderId="10" xfId="0" applyNumberFormat="1" applyFont="1" applyFill="1" applyBorder="1" applyAlignment="1">
      <alignment horizontal="center" vertical="center" wrapText="1"/>
    </xf>
    <xf numFmtId="164" fontId="18" fillId="0" borderId="10" xfId="0" applyNumberFormat="1" applyFont="1" applyBorder="1" applyAlignment="1">
      <alignment horizontal="center" vertical="center" wrapText="1"/>
    </xf>
    <xf numFmtId="0" fontId="6" fillId="0" borderId="0" xfId="0" applyFont="1" applyAlignment="1">
      <alignment horizontal="right"/>
    </xf>
    <xf numFmtId="164" fontId="8" fillId="0" borderId="0" xfId="0" applyNumberFormat="1" applyFont="1"/>
    <xf numFmtId="0" fontId="8" fillId="0" borderId="0" xfId="0" applyNumberFormat="1" applyFont="1"/>
    <xf numFmtId="0" fontId="6" fillId="0" borderId="0" xfId="0" applyFont="1" applyAlignment="1">
      <alignment vertical="center"/>
    </xf>
    <xf numFmtId="164" fontId="8" fillId="0" borderId="0" xfId="0" applyNumberFormat="1" applyFont="1" applyAlignment="1">
      <alignment vertical="center"/>
    </xf>
    <xf numFmtId="0" fontId="8" fillId="0" borderId="0" xfId="0" applyNumberFormat="1" applyFont="1" applyAlignment="1">
      <alignment vertical="center"/>
    </xf>
    <xf numFmtId="0" fontId="12" fillId="0" borderId="5" xfId="0" applyFont="1" applyBorder="1" applyAlignment="1">
      <alignment vertical="center" wrapText="1"/>
    </xf>
    <xf numFmtId="164" fontId="8" fillId="0" borderId="5" xfId="0" applyNumberFormat="1" applyFont="1" applyBorder="1" applyAlignment="1">
      <alignment horizontal="right" vertical="center"/>
    </xf>
    <xf numFmtId="164" fontId="7" fillId="0" borderId="0" xfId="0" applyNumberFormat="1" applyFont="1" applyBorder="1" applyAlignment="1">
      <alignment horizontal="right" vertical="center"/>
    </xf>
    <xf numFmtId="164" fontId="8" fillId="0" borderId="2" xfId="0" applyNumberFormat="1" applyFont="1" applyBorder="1" applyAlignment="1">
      <alignment horizontal="right"/>
    </xf>
    <xf numFmtId="4" fontId="7" fillId="0" borderId="0" xfId="0" applyNumberFormat="1" applyFont="1" applyAlignment="1">
      <alignment horizontal="center" vertical="center"/>
    </xf>
    <xf numFmtId="164" fontId="8" fillId="0" borderId="0" xfId="0" applyNumberFormat="1" applyFont="1" applyBorder="1" applyAlignment="1">
      <alignment horizontal="right" vertical="center" wrapText="1"/>
    </xf>
    <xf numFmtId="164" fontId="7" fillId="0" borderId="0" xfId="0" applyNumberFormat="1" applyFont="1" applyBorder="1" applyAlignment="1">
      <alignment horizontal="right" vertical="center" wrapText="1"/>
    </xf>
    <xf numFmtId="4" fontId="8" fillId="0" borderId="0" xfId="0" applyNumberFormat="1" applyFont="1" applyAlignment="1">
      <alignment horizontal="center" vertical="center"/>
    </xf>
    <xf numFmtId="164" fontId="8" fillId="5" borderId="7" xfId="0" applyNumberFormat="1" applyFont="1" applyFill="1" applyBorder="1" applyAlignment="1">
      <alignment horizontal="right" vertical="center" wrapText="1"/>
    </xf>
    <xf numFmtId="164" fontId="6" fillId="0" borderId="0" xfId="0" applyNumberFormat="1" applyFont="1" applyAlignment="1">
      <alignment horizontal="right"/>
    </xf>
    <xf numFmtId="0" fontId="20" fillId="0" borderId="0" xfId="0" applyFont="1"/>
    <xf numFmtId="0" fontId="9" fillId="11" borderId="14" xfId="0" applyFont="1" applyFill="1" applyBorder="1"/>
    <xf numFmtId="164" fontId="9" fillId="11" borderId="14" xfId="0" applyNumberFormat="1" applyFont="1" applyFill="1" applyBorder="1" applyAlignment="1">
      <alignment horizontal="right" vertical="center" wrapText="1"/>
    </xf>
    <xf numFmtId="0" fontId="9" fillId="11" borderId="2" xfId="0" applyFont="1" applyFill="1" applyBorder="1" applyAlignment="1">
      <alignment horizontal="justify" vertical="center" wrapText="1"/>
    </xf>
    <xf numFmtId="10" fontId="9" fillId="11" borderId="12" xfId="0" applyNumberFormat="1" applyFont="1" applyFill="1" applyBorder="1" applyAlignment="1">
      <alignment horizontal="center" vertical="center" wrapText="1"/>
    </xf>
    <xf numFmtId="0" fontId="21" fillId="0" borderId="0" xfId="0" applyFont="1" applyAlignment="1">
      <alignment wrapText="1"/>
    </xf>
    <xf numFmtId="0" fontId="22" fillId="2" borderId="1"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49" fontId="24" fillId="0" borderId="4" xfId="0" applyNumberFormat="1" applyFont="1" applyBorder="1" applyAlignment="1">
      <alignment horizontal="center" vertical="center" wrapText="1"/>
    </xf>
    <xf numFmtId="0" fontId="24" fillId="0" borderId="4" xfId="0" applyFont="1" applyBorder="1" applyAlignment="1">
      <alignment horizontal="center" vertical="center" wrapText="1"/>
    </xf>
    <xf numFmtId="164" fontId="4" fillId="0" borderId="4" xfId="0" applyNumberFormat="1" applyFont="1" applyBorder="1" applyAlignment="1">
      <alignment horizontal="right" vertical="center" wrapText="1"/>
    </xf>
    <xf numFmtId="43" fontId="23" fillId="0" borderId="5" xfId="1" applyFont="1" applyBorder="1" applyAlignment="1">
      <alignment horizontal="center" vertical="center" wrapText="1"/>
    </xf>
    <xf numFmtId="164" fontId="4" fillId="0" borderId="2" xfId="0" applyNumberFormat="1" applyFont="1" applyBorder="1" applyAlignment="1">
      <alignment horizontal="right" vertical="center" wrapText="1"/>
    </xf>
    <xf numFmtId="0" fontId="4" fillId="0" borderId="0" xfId="0" applyFont="1" applyAlignment="1">
      <alignment wrapText="1"/>
    </xf>
    <xf numFmtId="164" fontId="21" fillId="2" borderId="2" xfId="0" applyNumberFormat="1" applyFont="1" applyFill="1" applyBorder="1" applyAlignment="1">
      <alignment horizontal="right" vertical="center"/>
    </xf>
    <xf numFmtId="164" fontId="4" fillId="0" borderId="0" xfId="0" applyNumberFormat="1" applyFont="1" applyAlignment="1">
      <alignment vertical="center"/>
    </xf>
    <xf numFmtId="0" fontId="18" fillId="0" borderId="0" xfId="0" applyFont="1"/>
    <xf numFmtId="0" fontId="19" fillId="0" borderId="0" xfId="0" applyFont="1"/>
    <xf numFmtId="164" fontId="19" fillId="0" borderId="10" xfId="0" applyNumberFormat="1" applyFont="1" applyBorder="1" applyAlignment="1">
      <alignment horizontal="right" vertical="center" wrapText="1"/>
    </xf>
    <xf numFmtId="164" fontId="19" fillId="0" borderId="10" xfId="0" applyNumberFormat="1" applyFont="1" applyFill="1" applyBorder="1" applyAlignment="1">
      <alignment horizontal="right" vertical="center" wrapText="1"/>
    </xf>
    <xf numFmtId="164" fontId="18" fillId="0" borderId="10" xfId="0" applyNumberFormat="1" applyFont="1" applyBorder="1" applyAlignment="1">
      <alignment horizontal="right" vertical="center" wrapText="1"/>
    </xf>
    <xf numFmtId="166" fontId="0" fillId="0" borderId="0" xfId="0" applyNumberFormat="1"/>
    <xf numFmtId="167" fontId="0" fillId="0" borderId="0" xfId="0" applyNumberFormat="1"/>
    <xf numFmtId="0" fontId="17" fillId="0" borderId="3" xfId="0" applyFont="1" applyBorder="1" applyAlignment="1">
      <alignment horizontal="center" vertical="center" wrapText="1"/>
    </xf>
    <xf numFmtId="43" fontId="0" fillId="0" borderId="0" xfId="1" applyFont="1" applyAlignment="1">
      <alignment horizontal="center" vertical="center"/>
    </xf>
    <xf numFmtId="4" fontId="0" fillId="0" borderId="0" xfId="0" applyNumberFormat="1"/>
    <xf numFmtId="4" fontId="25" fillId="0" borderId="0" xfId="0" applyNumberFormat="1" applyFont="1"/>
    <xf numFmtId="164" fontId="0" fillId="0" borderId="0" xfId="0" applyNumberFormat="1"/>
    <xf numFmtId="168" fontId="0" fillId="0" borderId="0" xfId="2" applyNumberFormat="1" applyFont="1"/>
    <xf numFmtId="4" fontId="26" fillId="0" borderId="0" xfId="0" applyNumberFormat="1" applyFont="1"/>
    <xf numFmtId="0" fontId="4" fillId="0" borderId="0" xfId="0" applyFont="1" applyAlignment="1">
      <alignment vertical="center"/>
    </xf>
    <xf numFmtId="0" fontId="27" fillId="0" borderId="0" xfId="0" applyFont="1" applyAlignment="1">
      <alignment vertical="center"/>
    </xf>
    <xf numFmtId="0" fontId="6" fillId="12" borderId="0" xfId="3" applyFont="1" applyFill="1"/>
    <xf numFmtId="0" fontId="6" fillId="0" borderId="0" xfId="3" applyFont="1"/>
    <xf numFmtId="0" fontId="6" fillId="0" borderId="0" xfId="3" applyFont="1" applyBorder="1"/>
    <xf numFmtId="0" fontId="6" fillId="0" borderId="0" xfId="3" applyFont="1" applyFill="1" applyBorder="1" applyAlignment="1" applyProtection="1">
      <alignment horizontal="right"/>
      <protection hidden="1"/>
    </xf>
    <xf numFmtId="0" fontId="6" fillId="0" borderId="0" xfId="3" applyFont="1" applyFill="1" applyBorder="1" applyProtection="1">
      <protection hidden="1"/>
    </xf>
    <xf numFmtId="0" fontId="9" fillId="0" borderId="0" xfId="3" applyFont="1" applyFill="1" applyBorder="1" applyProtection="1">
      <protection hidden="1"/>
    </xf>
    <xf numFmtId="0" fontId="8" fillId="0" borderId="0" xfId="3" applyFont="1" applyBorder="1" applyProtection="1">
      <protection hidden="1"/>
    </xf>
    <xf numFmtId="2" fontId="8" fillId="0" borderId="0" xfId="3" applyNumberFormat="1" applyFont="1" applyBorder="1" applyProtection="1">
      <protection hidden="1"/>
    </xf>
    <xf numFmtId="0" fontId="9" fillId="13" borderId="16" xfId="3" applyFont="1" applyFill="1" applyBorder="1" applyAlignment="1" applyProtection="1">
      <alignment horizontal="center" vertical="center" wrapText="1"/>
      <protection hidden="1"/>
    </xf>
    <xf numFmtId="0" fontId="9" fillId="13" borderId="17" xfId="3" applyFont="1" applyFill="1" applyBorder="1" applyAlignment="1" applyProtection="1">
      <alignment horizontal="center" vertical="center" wrapText="1"/>
      <protection hidden="1"/>
    </xf>
    <xf numFmtId="0" fontId="33" fillId="13" borderId="17" xfId="3" applyFont="1" applyFill="1" applyBorder="1" applyAlignment="1" applyProtection="1">
      <alignment horizontal="center" vertical="center" wrapText="1"/>
      <protection hidden="1"/>
    </xf>
    <xf numFmtId="2" fontId="9" fillId="13" borderId="17" xfId="3" applyNumberFormat="1" applyFont="1" applyFill="1" applyBorder="1" applyAlignment="1" applyProtection="1">
      <alignment horizontal="center" vertical="center" wrapText="1"/>
      <protection hidden="1"/>
    </xf>
    <xf numFmtId="0" fontId="9" fillId="13" borderId="18" xfId="3" applyFont="1" applyFill="1" applyBorder="1" applyAlignment="1" applyProtection="1">
      <alignment horizontal="center" vertical="center" wrapText="1"/>
      <protection hidden="1"/>
    </xf>
    <xf numFmtId="0" fontId="9" fillId="7" borderId="0" xfId="3" quotePrefix="1" applyFont="1" applyFill="1" applyBorder="1" applyAlignment="1" applyProtection="1">
      <alignment horizontal="center" vertical="center" wrapText="1"/>
      <protection hidden="1"/>
    </xf>
    <xf numFmtId="0" fontId="6" fillId="7" borderId="0" xfId="3" quotePrefix="1" applyFont="1" applyFill="1" applyBorder="1" applyAlignment="1" applyProtection="1">
      <alignment vertical="center" wrapText="1"/>
      <protection hidden="1"/>
    </xf>
    <xf numFmtId="169" fontId="9" fillId="0" borderId="0" xfId="3" applyNumberFormat="1" applyFont="1" applyBorder="1" applyAlignment="1" applyProtection="1">
      <alignment horizontal="center" vertical="center"/>
      <protection hidden="1"/>
    </xf>
    <xf numFmtId="169" fontId="9" fillId="0" borderId="19" xfId="3" applyNumberFormat="1" applyFont="1" applyBorder="1" applyAlignment="1" applyProtection="1">
      <alignment horizontal="center" vertical="center"/>
      <protection hidden="1"/>
    </xf>
    <xf numFmtId="169" fontId="6" fillId="0" borderId="20" xfId="3" applyNumberFormat="1" applyFont="1" applyBorder="1" applyAlignment="1" applyProtection="1">
      <alignment vertical="center"/>
      <protection hidden="1"/>
    </xf>
    <xf numFmtId="169" fontId="6" fillId="0" borderId="0" xfId="3" applyNumberFormat="1" applyFont="1" applyBorder="1" applyAlignment="1" applyProtection="1">
      <alignment vertical="center"/>
      <protection hidden="1"/>
    </xf>
    <xf numFmtId="0" fontId="6" fillId="0" borderId="16" xfId="3" quotePrefix="1" applyFont="1" applyFill="1" applyBorder="1" applyAlignment="1" applyProtection="1">
      <alignment horizontal="left" vertical="center" wrapText="1"/>
      <protection hidden="1"/>
    </xf>
    <xf numFmtId="0" fontId="6" fillId="7" borderId="17" xfId="3" quotePrefix="1" applyFont="1" applyFill="1" applyBorder="1" applyAlignment="1" applyProtection="1">
      <alignment vertical="center" wrapText="1"/>
      <protection hidden="1"/>
    </xf>
    <xf numFmtId="3" fontId="6" fillId="7" borderId="17" xfId="3" quotePrefix="1" applyNumberFormat="1" applyFont="1" applyFill="1" applyBorder="1" applyAlignment="1" applyProtection="1">
      <alignment horizontal="center" vertical="center" wrapText="1"/>
      <protection hidden="1"/>
    </xf>
    <xf numFmtId="169" fontId="6" fillId="0" borderId="17" xfId="3" applyNumberFormat="1" applyFont="1" applyBorder="1" applyAlignment="1" applyProtection="1">
      <alignment horizontal="center" vertical="center"/>
      <protection hidden="1"/>
    </xf>
    <xf numFmtId="169" fontId="6" fillId="0" borderId="17" xfId="3" applyNumberFormat="1" applyFont="1" applyBorder="1" applyAlignment="1" applyProtection="1">
      <alignment vertical="center"/>
      <protection hidden="1"/>
    </xf>
    <xf numFmtId="169" fontId="8" fillId="14" borderId="17" xfId="3" applyNumberFormat="1" applyFont="1" applyFill="1" applyBorder="1" applyAlignment="1" applyProtection="1">
      <alignment vertical="center"/>
      <protection locked="0" hidden="1"/>
    </xf>
    <xf numFmtId="169" fontId="9" fillId="8" borderId="3" xfId="3" applyNumberFormat="1" applyFont="1" applyFill="1" applyBorder="1" applyAlignment="1" applyProtection="1">
      <alignment vertical="center"/>
      <protection hidden="1"/>
    </xf>
    <xf numFmtId="169" fontId="7" fillId="8" borderId="21" xfId="3" applyNumberFormat="1" applyFont="1" applyFill="1" applyBorder="1" applyAlignment="1" applyProtection="1">
      <alignment horizontal="right" vertical="center"/>
      <protection hidden="1"/>
    </xf>
    <xf numFmtId="0" fontId="8" fillId="0" borderId="0" xfId="3" applyFont="1" applyBorder="1" applyAlignment="1" applyProtection="1">
      <alignment vertical="center"/>
      <protection hidden="1"/>
    </xf>
    <xf numFmtId="169" fontId="9" fillId="0" borderId="0" xfId="3" applyNumberFormat="1" applyFont="1" applyBorder="1" applyAlignment="1" applyProtection="1">
      <alignment horizontal="right" vertical="center"/>
      <protection hidden="1"/>
    </xf>
    <xf numFmtId="169" fontId="7" fillId="0" borderId="0" xfId="4" applyNumberFormat="1" applyFont="1" applyBorder="1" applyAlignment="1" applyProtection="1">
      <alignment vertical="center"/>
      <protection hidden="1"/>
    </xf>
    <xf numFmtId="0" fontId="12" fillId="0" borderId="22" xfId="3" applyFont="1" applyBorder="1" applyAlignment="1">
      <alignment horizontal="left" vertical="center" wrapText="1"/>
    </xf>
    <xf numFmtId="0" fontId="6" fillId="7" borderId="23" xfId="3" quotePrefix="1" applyFont="1" applyFill="1" applyBorder="1" applyAlignment="1" applyProtection="1">
      <alignment vertical="center" wrapText="1"/>
      <protection hidden="1"/>
    </xf>
    <xf numFmtId="169" fontId="6" fillId="0" borderId="23" xfId="3" applyNumberFormat="1" applyFont="1" applyBorder="1" applyAlignment="1" applyProtection="1">
      <alignment vertical="center"/>
      <protection hidden="1"/>
    </xf>
    <xf numFmtId="0" fontId="12" fillId="0" borderId="0" xfId="3" applyFont="1" applyFill="1" applyBorder="1" applyAlignment="1">
      <alignment horizontal="center" vertical="center" wrapText="1"/>
    </xf>
    <xf numFmtId="169" fontId="9" fillId="8" borderId="4" xfId="3" applyNumberFormat="1" applyFont="1" applyFill="1" applyBorder="1" applyAlignment="1" applyProtection="1">
      <alignment vertical="center"/>
      <protection hidden="1"/>
    </xf>
    <xf numFmtId="169" fontId="7" fillId="8" borderId="25" xfId="3" applyNumberFormat="1" applyFont="1" applyFill="1" applyBorder="1" applyAlignment="1" applyProtection="1">
      <alignment horizontal="right" vertical="center"/>
      <protection hidden="1"/>
    </xf>
    <xf numFmtId="0" fontId="6" fillId="0" borderId="26" xfId="3" applyFont="1" applyBorder="1" applyAlignment="1" applyProtection="1">
      <alignment horizontal="left" vertical="center"/>
      <protection hidden="1"/>
    </xf>
    <xf numFmtId="0" fontId="8" fillId="0" borderId="27" xfId="3" applyFont="1" applyBorder="1" applyAlignment="1" applyProtection="1">
      <alignment vertical="center"/>
      <protection hidden="1"/>
    </xf>
    <xf numFmtId="169" fontId="9" fillId="8" borderId="10" xfId="5" applyNumberFormat="1" applyFont="1" applyFill="1" applyBorder="1" applyAlignment="1" applyProtection="1">
      <alignment vertical="center"/>
      <protection hidden="1"/>
    </xf>
    <xf numFmtId="169" fontId="7" fillId="0" borderId="10" xfId="3" applyNumberFormat="1" applyFont="1" applyBorder="1" applyAlignment="1" applyProtection="1">
      <alignment horizontal="left" vertical="center"/>
      <protection hidden="1"/>
    </xf>
    <xf numFmtId="9" fontId="6" fillId="0" borderId="27" xfId="6" applyFont="1" applyBorder="1" applyAlignment="1" applyProtection="1">
      <alignment horizontal="center" vertical="center"/>
      <protection hidden="1"/>
    </xf>
    <xf numFmtId="169" fontId="6" fillId="0" borderId="10" xfId="5" applyNumberFormat="1" applyFont="1" applyBorder="1" applyAlignment="1" applyProtection="1">
      <alignment vertical="center"/>
      <protection hidden="1"/>
    </xf>
    <xf numFmtId="0" fontId="9" fillId="0" borderId="26" xfId="3" applyFont="1" applyBorder="1" applyAlignment="1" applyProtection="1">
      <alignment horizontal="left" vertical="center"/>
      <protection hidden="1"/>
    </xf>
    <xf numFmtId="0" fontId="7" fillId="0" borderId="27" xfId="3" applyFont="1" applyBorder="1" applyAlignment="1" applyProtection="1">
      <alignment vertical="center"/>
      <protection hidden="1"/>
    </xf>
    <xf numFmtId="0" fontId="9" fillId="0" borderId="0" xfId="3" applyFont="1" applyBorder="1" applyProtection="1">
      <protection hidden="1"/>
    </xf>
    <xf numFmtId="0" fontId="7" fillId="0" borderId="0" xfId="3" applyFont="1" applyBorder="1" applyProtection="1">
      <protection hidden="1"/>
    </xf>
    <xf numFmtId="169" fontId="9" fillId="0" borderId="0" xfId="5" applyNumberFormat="1" applyFont="1" applyBorder="1" applyProtection="1">
      <protection hidden="1"/>
    </xf>
    <xf numFmtId="169" fontId="7" fillId="0" borderId="0" xfId="3" applyNumberFormat="1" applyFont="1" applyBorder="1" applyAlignment="1" applyProtection="1">
      <alignment horizontal="right"/>
      <protection hidden="1"/>
    </xf>
    <xf numFmtId="169" fontId="9" fillId="0" borderId="0" xfId="3" applyNumberFormat="1" applyFont="1" applyBorder="1" applyProtection="1">
      <protection hidden="1"/>
    </xf>
    <xf numFmtId="0" fontId="6" fillId="0" borderId="0" xfId="3" applyFont="1" applyBorder="1" applyProtection="1">
      <protection hidden="1"/>
    </xf>
    <xf numFmtId="2" fontId="6" fillId="0" borderId="0" xfId="3" applyNumberFormat="1" applyFont="1" applyBorder="1" applyProtection="1">
      <protection hidden="1"/>
    </xf>
    <xf numFmtId="170" fontId="6" fillId="0" borderId="0" xfId="3" applyNumberFormat="1" applyFont="1"/>
    <xf numFmtId="171" fontId="0" fillId="0" borderId="0" xfId="1" applyNumberFormat="1" applyFont="1"/>
    <xf numFmtId="172" fontId="0" fillId="0" borderId="0" xfId="0" applyNumberFormat="1"/>
    <xf numFmtId="169" fontId="9" fillId="8" borderId="18" xfId="3" applyNumberFormat="1" applyFont="1" applyFill="1" applyBorder="1" applyAlignment="1" applyProtection="1">
      <alignment vertical="center"/>
      <protection hidden="1"/>
    </xf>
    <xf numFmtId="43" fontId="6" fillId="7" borderId="23" xfId="5" quotePrefix="1" applyNumberFormat="1" applyFont="1" applyFill="1" applyBorder="1" applyAlignment="1" applyProtection="1">
      <alignment horizontal="center" vertical="center" wrapText="1"/>
      <protection hidden="1"/>
    </xf>
    <xf numFmtId="169" fontId="8" fillId="0" borderId="0" xfId="3" applyNumberFormat="1" applyFont="1" applyBorder="1" applyAlignment="1" applyProtection="1">
      <alignment vertical="center"/>
      <protection hidden="1"/>
    </xf>
    <xf numFmtId="173" fontId="6" fillId="0" borderId="0" xfId="3" applyNumberFormat="1" applyFont="1"/>
    <xf numFmtId="164" fontId="0" fillId="0" borderId="0" xfId="1" applyNumberFormat="1" applyFont="1"/>
    <xf numFmtId="0" fontId="0" fillId="0" borderId="0" xfId="0" applyAlignment="1">
      <alignment horizontal="center" vertical="center"/>
    </xf>
    <xf numFmtId="8" fontId="6" fillId="0" borderId="0" xfId="0" applyNumberFormat="1" applyFont="1"/>
    <xf numFmtId="0" fontId="0" fillId="0" borderId="0" xfId="0" applyBorder="1"/>
    <xf numFmtId="175" fontId="0" fillId="0" borderId="0" xfId="0" applyNumberFormat="1"/>
    <xf numFmtId="176" fontId="0" fillId="0" borderId="0" xfId="0" applyNumberFormat="1"/>
    <xf numFmtId="173" fontId="0" fillId="0" borderId="0" xfId="0" applyNumberFormat="1"/>
    <xf numFmtId="174" fontId="0" fillId="0" borderId="0" xfId="0" applyNumberFormat="1"/>
    <xf numFmtId="171" fontId="0" fillId="0" borderId="0" xfId="0" applyNumberFormat="1"/>
    <xf numFmtId="178" fontId="0" fillId="0" borderId="0" xfId="0" applyNumberFormat="1"/>
    <xf numFmtId="177" fontId="0" fillId="0" borderId="0" xfId="0" applyNumberFormat="1"/>
    <xf numFmtId="165" fontId="0" fillId="0" borderId="0" xfId="0" applyNumberFormat="1"/>
    <xf numFmtId="179" fontId="0" fillId="0" borderId="0" xfId="0" applyNumberFormat="1"/>
    <xf numFmtId="164" fontId="4" fillId="0" borderId="0" xfId="0" applyNumberFormat="1" applyFont="1" applyBorder="1" applyAlignment="1">
      <alignment horizontal="right" vertical="center" wrapText="1"/>
    </xf>
    <xf numFmtId="175" fontId="0" fillId="0" borderId="0" xfId="0" applyNumberFormat="1" applyBorder="1"/>
    <xf numFmtId="174" fontId="19" fillId="0" borderId="0" xfId="0" applyNumberFormat="1" applyFont="1" applyBorder="1" applyAlignment="1">
      <alignment horizontal="right" vertical="center" wrapText="1"/>
    </xf>
    <xf numFmtId="174" fontId="0" fillId="0" borderId="0" xfId="0" applyNumberFormat="1" applyBorder="1"/>
    <xf numFmtId="2" fontId="0" fillId="0" borderId="0" xfId="0" applyNumberFormat="1" applyBorder="1"/>
    <xf numFmtId="0" fontId="0" fillId="0" borderId="0" xfId="0" applyAlignment="1">
      <alignment horizontal="center"/>
    </xf>
    <xf numFmtId="0" fontId="6" fillId="0" borderId="0" xfId="0" applyFont="1" applyAlignment="1">
      <alignment horizontal="center"/>
    </xf>
    <xf numFmtId="164" fontId="8" fillId="0" borderId="0" xfId="0" applyNumberFormat="1" applyFont="1" applyAlignment="1">
      <alignment horizontal="center"/>
    </xf>
    <xf numFmtId="0" fontId="18" fillId="8" borderId="10" xfId="0" applyFont="1" applyFill="1" applyBorder="1" applyAlignment="1">
      <alignment horizontal="center" vertical="center" wrapText="1"/>
    </xf>
    <xf numFmtId="8" fontId="0" fillId="0" borderId="10" xfId="0" applyNumberFormat="1" applyBorder="1" applyAlignment="1">
      <alignment horizontal="center" vertical="center"/>
    </xf>
    <xf numFmtId="0" fontId="0" fillId="0" borderId="10" xfId="0" applyBorder="1" applyAlignment="1">
      <alignment horizontal="center" vertical="center"/>
    </xf>
    <xf numFmtId="0" fontId="2" fillId="0" borderId="10" xfId="0" applyFont="1" applyBorder="1" applyAlignment="1">
      <alignment horizontal="center" wrapText="1"/>
    </xf>
    <xf numFmtId="0" fontId="2" fillId="0" borderId="11" xfId="0" applyFont="1" applyBorder="1" applyAlignment="1">
      <alignment horizontal="center" wrapText="1"/>
    </xf>
    <xf numFmtId="0" fontId="0" fillId="0" borderId="26" xfId="0" applyBorder="1" applyAlignment="1">
      <alignment horizontal="center" vertical="center"/>
    </xf>
    <xf numFmtId="0" fontId="0" fillId="7" borderId="0" xfId="0" applyFill="1"/>
    <xf numFmtId="0" fontId="35" fillId="0" borderId="0" xfId="0" applyFont="1"/>
    <xf numFmtId="180" fontId="19" fillId="0" borderId="10" xfId="0" applyNumberFormat="1" applyFont="1" applyBorder="1" applyAlignment="1">
      <alignment horizontal="right" vertical="center" wrapText="1"/>
    </xf>
    <xf numFmtId="180" fontId="19" fillId="0" borderId="10" xfId="0" applyNumberFormat="1" applyFont="1" applyFill="1" applyBorder="1" applyAlignment="1">
      <alignment horizontal="right" vertical="center" wrapText="1"/>
    </xf>
    <xf numFmtId="164" fontId="7" fillId="0" borderId="5" xfId="0" applyNumberFormat="1" applyFont="1" applyBorder="1" applyAlignment="1">
      <alignment horizontal="right" vertical="center"/>
    </xf>
    <xf numFmtId="164" fontId="0" fillId="7" borderId="0" xfId="0" applyNumberFormat="1" applyFill="1"/>
    <xf numFmtId="0" fontId="0" fillId="7" borderId="0" xfId="0" applyFill="1" applyBorder="1"/>
    <xf numFmtId="164" fontId="8" fillId="7" borderId="0" xfId="0" applyNumberFormat="1" applyFont="1" applyFill="1" applyBorder="1" applyAlignment="1">
      <alignment horizontal="right"/>
    </xf>
    <xf numFmtId="2" fontId="0" fillId="0" borderId="0" xfId="0" applyNumberFormat="1"/>
    <xf numFmtId="181" fontId="0" fillId="0" borderId="0" xfId="0" applyNumberFormat="1"/>
    <xf numFmtId="165" fontId="0" fillId="7" borderId="0" xfId="0" applyNumberFormat="1" applyFill="1"/>
    <xf numFmtId="174" fontId="0" fillId="7" borderId="0" xfId="0" applyNumberFormat="1" applyFill="1"/>
    <xf numFmtId="177" fontId="19" fillId="0" borderId="10" xfId="0" applyNumberFormat="1" applyFont="1" applyFill="1" applyBorder="1" applyAlignment="1">
      <alignment horizontal="right" vertical="center" wrapText="1"/>
    </xf>
    <xf numFmtId="164" fontId="13" fillId="0" borderId="13" xfId="1" applyNumberFormat="1" applyFont="1" applyBorder="1" applyAlignment="1">
      <alignment horizontal="right" vertical="center" wrapText="1"/>
    </xf>
    <xf numFmtId="164" fontId="8" fillId="0" borderId="1" xfId="0" applyNumberFormat="1" applyFont="1" applyBorder="1" applyAlignment="1">
      <alignment horizontal="right" vertical="center" indent="2"/>
    </xf>
    <xf numFmtId="164" fontId="8" fillId="0" borderId="2" xfId="0" applyNumberFormat="1" applyFont="1" applyBorder="1" applyAlignment="1">
      <alignment horizontal="right" vertical="center" indent="2"/>
    </xf>
    <xf numFmtId="164" fontId="8" fillId="0" borderId="0" xfId="0" applyNumberFormat="1" applyFont="1" applyBorder="1" applyAlignment="1">
      <alignment horizontal="right" vertical="center" indent="2"/>
    </xf>
    <xf numFmtId="164" fontId="8" fillId="0" borderId="1" xfId="0" applyNumberFormat="1" applyFont="1" applyBorder="1" applyAlignment="1">
      <alignment horizontal="right" vertical="center"/>
    </xf>
    <xf numFmtId="182" fontId="0" fillId="0" borderId="0" xfId="1" applyNumberFormat="1" applyFont="1"/>
    <xf numFmtId="174" fontId="7" fillId="7" borderId="0" xfId="0" applyNumberFormat="1" applyFont="1" applyFill="1" applyBorder="1" applyAlignment="1">
      <alignment horizontal="right" wrapText="1"/>
    </xf>
    <xf numFmtId="9" fontId="8" fillId="0" borderId="10" xfId="3" applyNumberFormat="1" applyFont="1" applyFill="1" applyBorder="1" applyAlignment="1" applyProtection="1">
      <alignment horizontal="right" vertical="center"/>
      <protection locked="0" hidden="1"/>
    </xf>
    <xf numFmtId="0" fontId="9" fillId="0" borderId="0" xfId="3" applyFont="1" applyBorder="1" applyAlignment="1" applyProtection="1">
      <alignment horizontal="left" vertical="center"/>
      <protection hidden="1"/>
    </xf>
    <xf numFmtId="0" fontId="7" fillId="0" borderId="0" xfId="3" applyFont="1" applyBorder="1" applyAlignment="1" applyProtection="1">
      <alignment vertical="center"/>
      <protection hidden="1"/>
    </xf>
    <xf numFmtId="169" fontId="9" fillId="8" borderId="0" xfId="5" applyNumberFormat="1" applyFont="1" applyFill="1" applyBorder="1" applyAlignment="1" applyProtection="1">
      <alignment vertical="center"/>
      <protection hidden="1"/>
    </xf>
    <xf numFmtId="169" fontId="7" fillId="0" borderId="0" xfId="3" applyNumberFormat="1" applyFont="1" applyBorder="1" applyAlignment="1" applyProtection="1">
      <alignment horizontal="left" vertical="center"/>
      <protection hidden="1"/>
    </xf>
    <xf numFmtId="0" fontId="36" fillId="3" borderId="0" xfId="3" applyFont="1" applyFill="1" applyBorder="1" applyAlignment="1">
      <alignment horizontal="left" vertical="center" wrapText="1"/>
    </xf>
    <xf numFmtId="169" fontId="9" fillId="0" borderId="6" xfId="3" applyNumberFormat="1" applyFont="1" applyBorder="1" applyAlignment="1" applyProtection="1">
      <alignment horizontal="right" vertical="center"/>
      <protection hidden="1"/>
    </xf>
    <xf numFmtId="169" fontId="9" fillId="0" borderId="21" xfId="3" applyNumberFormat="1" applyFont="1" applyBorder="1" applyAlignment="1" applyProtection="1">
      <alignment horizontal="right" vertical="center"/>
      <protection hidden="1"/>
    </xf>
    <xf numFmtId="169" fontId="9" fillId="0" borderId="24" xfId="3" applyNumberFormat="1" applyFont="1" applyBorder="1" applyAlignment="1" applyProtection="1">
      <alignment horizontal="right" vertical="center"/>
      <protection hidden="1"/>
    </xf>
    <xf numFmtId="169" fontId="9" fillId="0" borderId="25" xfId="3" applyNumberFormat="1" applyFont="1" applyBorder="1" applyAlignment="1" applyProtection="1">
      <alignment horizontal="right" vertical="center"/>
      <protection hidden="1"/>
    </xf>
    <xf numFmtId="0" fontId="6" fillId="0" borderId="0" xfId="3" applyFont="1" applyBorder="1" applyAlignment="1" applyProtection="1">
      <alignment horizontal="justify" vertical="center" wrapText="1"/>
      <protection hidden="1"/>
    </xf>
    <xf numFmtId="0" fontId="21" fillId="0" borderId="0" xfId="0" applyFont="1" applyAlignment="1">
      <alignment horizontal="center" wrapText="1"/>
    </xf>
    <xf numFmtId="164" fontId="7" fillId="3" borderId="6" xfId="0" applyNumberFormat="1" applyFont="1" applyFill="1" applyBorder="1" applyAlignment="1">
      <alignment horizontal="center"/>
    </xf>
    <xf numFmtId="164" fontId="7" fillId="3" borderId="7" xfId="0" applyNumberFormat="1" applyFont="1" applyFill="1" applyBorder="1" applyAlignment="1">
      <alignment horizontal="center"/>
    </xf>
    <xf numFmtId="164" fontId="7" fillId="3" borderId="3" xfId="0" applyNumberFormat="1" applyFont="1" applyFill="1" applyBorder="1" applyAlignment="1">
      <alignment horizontal="center"/>
    </xf>
    <xf numFmtId="0" fontId="2" fillId="0" borderId="10" xfId="0" applyFont="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39" fillId="0" borderId="6" xfId="3" applyFont="1" applyFill="1" applyBorder="1" applyAlignment="1">
      <alignment horizontal="center" vertical="center"/>
    </xf>
    <xf numFmtId="0" fontId="39" fillId="0" borderId="7" xfId="3" applyFont="1" applyFill="1" applyBorder="1" applyAlignment="1">
      <alignment horizontal="center" vertical="center"/>
    </xf>
    <xf numFmtId="0" fontId="39" fillId="0" borderId="3" xfId="3" applyFont="1" applyFill="1" applyBorder="1" applyAlignment="1">
      <alignment horizontal="center" vertical="center"/>
    </xf>
  </cellXfs>
  <cellStyles count="8">
    <cellStyle name="Coma" xfId="1" builtinId="3"/>
    <cellStyle name="Coma 2" xfId="5"/>
    <cellStyle name="Moneda 2" xfId="4"/>
    <cellStyle name="Normal" xfId="0" builtinId="0"/>
    <cellStyle name="Normal 2" xfId="3"/>
    <cellStyle name="Normal 3" xfId="7"/>
    <cellStyle name="Percentatge" xfId="2" builtinId="5"/>
    <cellStyle name="Percentatge 2" xfId="6"/>
  </cellStyles>
  <dxfs count="0"/>
  <tableStyles count="0" defaultTableStyle="TableStyleMedium2" defaultPivotStyle="PivotStyleLight16"/>
  <colors>
    <mruColors>
      <color rgb="FFE0A8A4"/>
      <color rgb="FF05FF76"/>
      <color rgb="FF99BA56"/>
      <color rgb="FFEED0CE"/>
      <color rgb="FFC5D79D"/>
      <color rgb="FF008E40"/>
      <color rgb="FFDCDCD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171645\Downloads\Lot%202%201301202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V171645\Downloads\Lot%203%201301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V171645\Downloads\Lot%205%20%201301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 2 2025"/>
      <sheetName val="CD+CI"/>
      <sheetName val="Licitació 2025"/>
      <sheetName val="Annex4 bis 2025"/>
      <sheetName val="VEC 2025"/>
      <sheetName val="LOT 2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PBL 2025"/>
      <sheetName val="LOT 2 2020"/>
      <sheetName val="Comparativa comprimida"/>
      <sheetName val="Comparativa definitiva Lot2"/>
      <sheetName val="Full1"/>
    </sheetNames>
    <sheetDataSet>
      <sheetData sheetId="0"/>
      <sheetData sheetId="1"/>
      <sheetData sheetId="2">
        <row r="13">
          <cell r="C13">
            <v>23.84</v>
          </cell>
          <cell r="D13">
            <v>173</v>
          </cell>
        </row>
        <row r="29">
          <cell r="I29">
            <v>609232.43731932249</v>
          </cell>
        </row>
        <row r="30">
          <cell r="H30">
            <v>42625.270612352579</v>
          </cell>
          <cell r="I30">
            <v>42625.270612352579</v>
          </cell>
        </row>
        <row r="31">
          <cell r="H31">
            <v>26074.308317267001</v>
          </cell>
          <cell r="I31">
            <v>26074.308317267001</v>
          </cell>
        </row>
        <row r="32">
          <cell r="H32">
            <v>68699.578929619573</v>
          </cell>
          <cell r="I32">
            <v>68699.58</v>
          </cell>
        </row>
        <row r="33">
          <cell r="H33">
            <v>677932.01624894212</v>
          </cell>
          <cell r="I33">
            <v>677932.01731932245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3 2025"/>
      <sheetName val="Licitació 2025"/>
      <sheetName val="LOT 3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3 2020"/>
      <sheetName val="PBL 2025"/>
      <sheetName val="VEC 2025"/>
      <sheetName val="Comparativa comprimida"/>
      <sheetName val="Comparativa Definitiva Lot3"/>
      <sheetName val="Full1"/>
    </sheetNames>
    <sheetDataSet>
      <sheetData sheetId="0"/>
      <sheetData sheetId="1"/>
      <sheetData sheetId="2">
        <row r="13">
          <cell r="C13">
            <v>157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2">
          <cell r="G12">
            <v>2975372.58</v>
          </cell>
        </row>
      </sheetData>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D+CI"/>
      <sheetName val="LOT 5 2025"/>
      <sheetName val="Licitació 2025"/>
      <sheetName val="PBL 2025"/>
      <sheetName val="VEC 2025"/>
      <sheetName val="Annex4 bis 2025"/>
      <sheetName val="LOT 5 Comparativa"/>
      <sheetName val="Revisió salaris"/>
      <sheetName val="IPC"/>
      <sheetName val="Subrogació"/>
      <sheetName val="triennis"/>
      <sheetName val="Auditories"/>
      <sheetName val="Despeses funcionament"/>
      <sheetName val="Altres despeses anterior plec"/>
      <sheetName val="Altres despeses"/>
      <sheetName val="Millores antic plec"/>
      <sheetName val="miscel-lània edificis"/>
      <sheetName val="Taules salarials"/>
      <sheetName val="LOT 5 2020"/>
      <sheetName val="Comparativa comprimida"/>
      <sheetName val="Comparativa Definitiva Lot5"/>
    </sheetNames>
    <sheetDataSet>
      <sheetData sheetId="0"/>
      <sheetData sheetId="1"/>
      <sheetData sheetId="2"/>
      <sheetData sheetId="3"/>
      <sheetData sheetId="4">
        <row r="11">
          <cell r="G11">
            <v>2174.21</v>
          </cell>
        </row>
        <row r="12">
          <cell r="F12">
            <v>2174.21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pageSetUpPr fitToPage="1"/>
  </sheetPr>
  <dimension ref="A1:M32"/>
  <sheetViews>
    <sheetView showGridLines="0" tabSelected="1" zoomScaleNormal="100" workbookViewId="0">
      <selection activeCell="C3" sqref="C3:G3"/>
    </sheetView>
  </sheetViews>
  <sheetFormatPr defaultColWidth="8.81640625" defaultRowHeight="15.5" x14ac:dyDescent="0.35"/>
  <cols>
    <col min="1" max="1" width="4.453125" style="128" customWidth="1"/>
    <col min="2" max="2" width="8.81640625" style="128"/>
    <col min="3" max="3" width="66.81640625" style="128" customWidth="1"/>
    <col min="4" max="4" width="35.81640625" style="128" bestFit="1" customWidth="1"/>
    <col min="5" max="5" width="17.1796875" style="128" bestFit="1" customWidth="1"/>
    <col min="6" max="6" width="18.54296875" style="128" customWidth="1"/>
    <col min="7" max="7" width="17.453125" style="128" bestFit="1" customWidth="1"/>
    <col min="8" max="8" width="35.54296875" style="128" bestFit="1" customWidth="1"/>
    <col min="9" max="9" width="21.54296875" style="128" bestFit="1" customWidth="1"/>
    <col min="10" max="10" width="4.1796875" style="128" customWidth="1"/>
    <col min="11" max="12" width="8.81640625" style="128"/>
    <col min="13" max="13" width="0" style="128" hidden="1" customWidth="1"/>
    <col min="14" max="16384" width="8.81640625" style="128"/>
  </cols>
  <sheetData>
    <row r="1" spans="1:13" ht="15.65" x14ac:dyDescent="0.35">
      <c r="A1" s="127"/>
      <c r="B1" s="127"/>
      <c r="C1" s="127"/>
      <c r="D1" s="127"/>
      <c r="E1" s="127"/>
      <c r="F1" s="127"/>
      <c r="G1" s="127"/>
      <c r="H1" s="127"/>
      <c r="I1" s="127"/>
      <c r="J1" s="127"/>
      <c r="K1" s="127"/>
    </row>
    <row r="2" spans="1:13" ht="16" thickBot="1" x14ac:dyDescent="0.4">
      <c r="A2" s="127"/>
      <c r="H2" s="129"/>
      <c r="I2" s="129"/>
      <c r="K2" s="127"/>
    </row>
    <row r="3" spans="1:13" ht="16" thickBot="1" x14ac:dyDescent="0.4">
      <c r="A3" s="127"/>
      <c r="C3" s="250" t="s">
        <v>57</v>
      </c>
      <c r="D3" s="251"/>
      <c r="E3" s="251"/>
      <c r="F3" s="251"/>
      <c r="G3" s="252"/>
      <c r="H3" s="130" t="s">
        <v>94</v>
      </c>
      <c r="I3" s="130"/>
      <c r="K3" s="127"/>
      <c r="M3" s="128">
        <v>0.04</v>
      </c>
    </row>
    <row r="4" spans="1:13" ht="15.65" x14ac:dyDescent="0.35">
      <c r="A4" s="127"/>
      <c r="B4" s="129"/>
      <c r="C4" s="131"/>
      <c r="D4" s="131"/>
      <c r="E4" s="131"/>
      <c r="F4" s="131"/>
      <c r="G4" s="131"/>
      <c r="H4" s="131"/>
      <c r="I4" s="130" t="s">
        <v>58</v>
      </c>
      <c r="K4" s="127"/>
      <c r="M4" s="128">
        <v>0</v>
      </c>
    </row>
    <row r="5" spans="1:13" ht="15.65" x14ac:dyDescent="0.3">
      <c r="A5" s="127"/>
      <c r="B5" s="129"/>
      <c r="C5" s="132" t="s">
        <v>93</v>
      </c>
      <c r="D5" s="133"/>
      <c r="E5" s="133"/>
      <c r="F5" s="133"/>
      <c r="G5" s="134"/>
      <c r="H5" s="133"/>
      <c r="I5" s="133"/>
      <c r="K5" s="127"/>
    </row>
    <row r="6" spans="1:13" ht="16" thickBot="1" x14ac:dyDescent="0.4">
      <c r="A6" s="127"/>
      <c r="B6" s="129"/>
      <c r="C6" s="133"/>
      <c r="D6" s="133"/>
      <c r="E6" s="133"/>
      <c r="F6" s="133"/>
      <c r="G6" s="134"/>
      <c r="H6" s="133"/>
      <c r="I6" s="133"/>
      <c r="K6" s="127"/>
    </row>
    <row r="7" spans="1:13" ht="26.5" thickBot="1" x14ac:dyDescent="0.4">
      <c r="A7" s="127"/>
      <c r="C7" s="135" t="s">
        <v>59</v>
      </c>
      <c r="D7" s="136" t="s">
        <v>60</v>
      </c>
      <c r="E7" s="137" t="s">
        <v>61</v>
      </c>
      <c r="F7" s="136" t="s">
        <v>62</v>
      </c>
      <c r="G7" s="138" t="s">
        <v>63</v>
      </c>
      <c r="H7" s="136" t="s">
        <v>64</v>
      </c>
      <c r="I7" s="139" t="s">
        <v>65</v>
      </c>
      <c r="K7" s="127"/>
    </row>
    <row r="8" spans="1:13" ht="20.149999999999999" customHeight="1" thickBot="1" x14ac:dyDescent="0.3">
      <c r="A8" s="127"/>
      <c r="B8" s="129"/>
      <c r="C8" s="140" t="s">
        <v>66</v>
      </c>
      <c r="D8" s="141"/>
      <c r="E8" s="142"/>
      <c r="F8" s="143"/>
      <c r="G8" s="144"/>
      <c r="H8" s="145"/>
      <c r="I8" s="145"/>
      <c r="K8" s="127"/>
    </row>
    <row r="9" spans="1:13" ht="37.5" customHeight="1" thickBot="1" x14ac:dyDescent="0.4">
      <c r="A9" s="127"/>
      <c r="C9" s="146" t="s">
        <v>81</v>
      </c>
      <c r="D9" s="147" t="s">
        <v>67</v>
      </c>
      <c r="E9" s="148">
        <v>1</v>
      </c>
      <c r="F9" s="149">
        <f>'Execució 5 lots'!$K$28</f>
        <v>2021423.1100000003</v>
      </c>
      <c r="G9" s="150">
        <f>'Execució 5 lots'!$K$28</f>
        <v>2021423.1100000003</v>
      </c>
      <c r="H9" s="151"/>
      <c r="I9" s="150">
        <f>H9*E9</f>
        <v>0</v>
      </c>
      <c r="K9" s="127"/>
    </row>
    <row r="10" spans="1:13" ht="20.149999999999999" customHeight="1" thickBot="1" x14ac:dyDescent="0.3">
      <c r="A10" s="127"/>
      <c r="B10" s="129"/>
      <c r="C10" s="141"/>
      <c r="D10" s="141"/>
      <c r="E10" s="238" t="s">
        <v>68</v>
      </c>
      <c r="F10" s="239"/>
      <c r="G10" s="152">
        <f>SUM(G9)</f>
        <v>2021423.1100000003</v>
      </c>
      <c r="H10" s="153" t="s">
        <v>69</v>
      </c>
      <c r="I10" s="181">
        <f>SUM(I9)</f>
        <v>0</v>
      </c>
      <c r="K10" s="127"/>
    </row>
    <row r="11" spans="1:13" ht="20.149999999999999" customHeight="1" thickBot="1" x14ac:dyDescent="0.4">
      <c r="A11" s="127"/>
      <c r="B11" s="129"/>
      <c r="C11" s="140" t="s">
        <v>70</v>
      </c>
      <c r="D11" s="154"/>
      <c r="E11" s="155"/>
      <c r="F11" s="155"/>
      <c r="G11" s="156"/>
      <c r="H11" s="156"/>
      <c r="I11" s="156"/>
      <c r="K11" s="127"/>
    </row>
    <row r="12" spans="1:13" ht="20.149999999999999" customHeight="1" thickBot="1" x14ac:dyDescent="0.4">
      <c r="A12" s="127"/>
      <c r="C12" s="157" t="s">
        <v>17</v>
      </c>
      <c r="D12" s="158" t="s">
        <v>71</v>
      </c>
      <c r="E12" s="182">
        <f>'[1]Licitació 2025'!D13*3</f>
        <v>519</v>
      </c>
      <c r="F12" s="182">
        <f>'[1]Licitació 2025'!C13</f>
        <v>23.84</v>
      </c>
      <c r="G12" s="159">
        <f>'Execució 5 lots'!$K$32</f>
        <v>12372.96</v>
      </c>
      <c r="H12" s="151"/>
      <c r="I12" s="159">
        <f>E12*H12</f>
        <v>0</v>
      </c>
      <c r="K12" s="127"/>
    </row>
    <row r="13" spans="1:13" ht="20.149999999999999" customHeight="1" thickBot="1" x14ac:dyDescent="0.4">
      <c r="A13" s="127"/>
      <c r="C13" s="160"/>
      <c r="D13" s="154"/>
      <c r="E13" s="240" t="s">
        <v>79</v>
      </c>
      <c r="F13" s="241"/>
      <c r="G13" s="161">
        <f>SUM(G12)</f>
        <v>12372.96</v>
      </c>
      <c r="H13" s="162" t="s">
        <v>72</v>
      </c>
      <c r="I13" s="161">
        <f>SUM(I12)</f>
        <v>0</v>
      </c>
      <c r="K13" s="127"/>
    </row>
    <row r="14" spans="1:13" ht="20.149999999999999" customHeight="1" x14ac:dyDescent="0.35">
      <c r="A14" s="127"/>
      <c r="C14" s="160"/>
      <c r="D14" s="154"/>
      <c r="E14" s="142"/>
      <c r="F14" s="142"/>
      <c r="G14" s="183"/>
      <c r="H14" s="154"/>
      <c r="I14" s="183"/>
      <c r="K14" s="127"/>
    </row>
    <row r="15" spans="1:13" ht="20.149999999999999" customHeight="1" x14ac:dyDescent="0.35">
      <c r="A15" s="127"/>
      <c r="C15" s="160"/>
      <c r="D15" s="154"/>
      <c r="E15" s="163" t="s">
        <v>73</v>
      </c>
      <c r="F15" s="164"/>
      <c r="G15" s="165">
        <f>G9+G12</f>
        <v>2033796.0700000003</v>
      </c>
      <c r="H15" s="166" t="s">
        <v>74</v>
      </c>
      <c r="I15" s="165">
        <f>I10+I13</f>
        <v>0</v>
      </c>
      <c r="K15" s="127"/>
    </row>
    <row r="16" spans="1:13" ht="20.149999999999999" customHeight="1" x14ac:dyDescent="0.35">
      <c r="A16" s="127"/>
      <c r="C16" s="160"/>
      <c r="D16" s="154"/>
      <c r="E16" s="163" t="s">
        <v>75</v>
      </c>
      <c r="F16" s="167">
        <v>0.04</v>
      </c>
      <c r="G16" s="168">
        <v>81351.839999999997</v>
      </c>
      <c r="H16" s="232">
        <v>0.04</v>
      </c>
      <c r="I16" s="168">
        <f>+I15*H16</f>
        <v>0</v>
      </c>
      <c r="K16" s="127"/>
    </row>
    <row r="17" spans="1:11" ht="20.149999999999999" customHeight="1" x14ac:dyDescent="0.35">
      <c r="A17" s="127"/>
      <c r="C17" s="160"/>
      <c r="D17" s="154"/>
      <c r="E17" s="169" t="s">
        <v>76</v>
      </c>
      <c r="F17" s="170"/>
      <c r="G17" s="165">
        <f>SUM(G15:G16)</f>
        <v>2115147.91</v>
      </c>
      <c r="H17" s="166" t="s">
        <v>77</v>
      </c>
      <c r="I17" s="165">
        <f>IF(I10+I13=0,0,I15+I16)</f>
        <v>0</v>
      </c>
      <c r="K17" s="127"/>
    </row>
    <row r="18" spans="1:11" ht="37" x14ac:dyDescent="0.35">
      <c r="A18" s="127"/>
      <c r="C18" s="237" t="s">
        <v>92</v>
      </c>
      <c r="D18" s="154"/>
      <c r="E18" s="233"/>
      <c r="F18" s="234"/>
      <c r="G18" s="235"/>
      <c r="H18" s="236"/>
      <c r="I18" s="235"/>
      <c r="K18" s="127"/>
    </row>
    <row r="19" spans="1:11" x14ac:dyDescent="0.35">
      <c r="A19" s="127"/>
      <c r="C19" s="160"/>
      <c r="D19" s="133"/>
      <c r="E19" s="171"/>
      <c r="F19" s="172"/>
      <c r="G19" s="173"/>
      <c r="H19" s="174"/>
      <c r="I19" s="175"/>
      <c r="K19" s="127"/>
    </row>
    <row r="20" spans="1:11" ht="15.65" x14ac:dyDescent="0.35">
      <c r="A20" s="127"/>
      <c r="C20" s="160"/>
      <c r="D20" s="176" t="s">
        <v>78</v>
      </c>
      <c r="E20" s="176"/>
      <c r="F20" s="176"/>
      <c r="G20" s="177"/>
      <c r="H20" s="176"/>
      <c r="I20" s="176"/>
      <c r="K20" s="127"/>
    </row>
    <row r="21" spans="1:11" x14ac:dyDescent="0.35">
      <c r="A21" s="127"/>
      <c r="C21" s="160"/>
      <c r="D21" s="242" t="s">
        <v>95</v>
      </c>
      <c r="E21" s="242"/>
      <c r="F21" s="242"/>
      <c r="G21" s="242"/>
      <c r="H21" s="242"/>
      <c r="I21" s="242"/>
      <c r="K21" s="127"/>
    </row>
    <row r="22" spans="1:11" x14ac:dyDescent="0.35">
      <c r="A22" s="127"/>
      <c r="C22" s="160"/>
      <c r="D22" s="242"/>
      <c r="E22" s="242"/>
      <c r="F22" s="242"/>
      <c r="G22" s="242"/>
      <c r="H22" s="242"/>
      <c r="I22" s="242"/>
      <c r="K22" s="127"/>
    </row>
    <row r="23" spans="1:11" x14ac:dyDescent="0.35">
      <c r="A23" s="127"/>
      <c r="C23" s="160"/>
      <c r="D23" s="242"/>
      <c r="E23" s="242"/>
      <c r="F23" s="242"/>
      <c r="G23" s="242"/>
      <c r="H23" s="242"/>
      <c r="I23" s="242"/>
      <c r="K23" s="127"/>
    </row>
    <row r="24" spans="1:11" x14ac:dyDescent="0.35">
      <c r="A24" s="127"/>
      <c r="C24" s="160"/>
      <c r="D24" s="242"/>
      <c r="E24" s="242"/>
      <c r="F24" s="242"/>
      <c r="G24" s="242"/>
      <c r="H24" s="242"/>
      <c r="I24" s="242"/>
      <c r="K24" s="127"/>
    </row>
    <row r="25" spans="1:11" x14ac:dyDescent="0.35">
      <c r="A25" s="127"/>
      <c r="B25" s="127"/>
      <c r="C25" s="127"/>
      <c r="D25" s="127"/>
      <c r="E25" s="127"/>
      <c r="F25" s="127"/>
      <c r="G25" s="127"/>
      <c r="H25" s="127"/>
      <c r="I25" s="127"/>
      <c r="J25" s="127"/>
      <c r="K25" s="127"/>
    </row>
    <row r="30" spans="1:11" x14ac:dyDescent="0.35">
      <c r="F30" s="178"/>
    </row>
    <row r="32" spans="1:11" x14ac:dyDescent="0.35">
      <c r="F32" s="184"/>
    </row>
  </sheetData>
  <sheetProtection password="CED6" sheet="1" objects="1" scenarios="1"/>
  <mergeCells count="4">
    <mergeCell ref="C3:G3"/>
    <mergeCell ref="E10:F10"/>
    <mergeCell ref="E13:F13"/>
    <mergeCell ref="D21:I24"/>
  </mergeCells>
  <dataValidations count="1">
    <dataValidation type="list" allowBlank="1" showInputMessage="1" showErrorMessage="1" sqref="H16">
      <formula1>$M$3:$M$4</formula1>
    </dataValidation>
  </dataValidations>
  <pageMargins left="0.7" right="0.7" top="0.75" bottom="0.75" header="0.3" footer="0.3"/>
  <pageSetup paperSize="9" scale="54" fitToHeight="0" orientation="landscape" r:id="rId1"/>
  <customProperties>
    <customPr name="EpmWorksheetKeyString_GUID" r:id="rId2"/>
  </customPropertie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6"/>
  <sheetViews>
    <sheetView workbookViewId="0">
      <selection activeCell="L34" sqref="L34"/>
    </sheetView>
  </sheetViews>
  <sheetFormatPr defaultRowHeight="14.5" x14ac:dyDescent="0.35"/>
  <cols>
    <col min="2" max="4" width="15.81640625" bestFit="1" customWidth="1"/>
    <col min="5" max="5" width="12" bestFit="1" customWidth="1"/>
    <col min="7" max="7" width="15.81640625" bestFit="1" customWidth="1"/>
    <col min="8" max="8" width="13.1796875" bestFit="1" customWidth="1"/>
    <col min="9" max="9" width="13.453125" bestFit="1" customWidth="1"/>
    <col min="10" max="10" width="13.1796875" bestFit="1" customWidth="1"/>
  </cols>
  <sheetData>
    <row r="2" spans="1:15" x14ac:dyDescent="0.25">
      <c r="A2" t="s">
        <v>0</v>
      </c>
      <c r="B2" s="4">
        <v>749654.38415165711</v>
      </c>
      <c r="C2" s="4">
        <v>750000</v>
      </c>
      <c r="G2" s="5">
        <f>B2-G3</f>
        <v>290.2529439071659</v>
      </c>
    </row>
    <row r="3" spans="1:15" x14ac:dyDescent="0.25">
      <c r="A3" t="s">
        <v>48</v>
      </c>
      <c r="B3" s="4">
        <v>668337.98879294214</v>
      </c>
      <c r="G3" s="4">
        <v>749364.13120774995</v>
      </c>
    </row>
    <row r="4" spans="1:15" x14ac:dyDescent="0.25">
      <c r="A4" t="s">
        <v>47</v>
      </c>
      <c r="B4" s="4">
        <v>592822.37</v>
      </c>
    </row>
    <row r="5" spans="1:15" x14ac:dyDescent="0.25">
      <c r="A5" t="s">
        <v>51</v>
      </c>
      <c r="B5" s="4">
        <v>716398.67</v>
      </c>
      <c r="M5">
        <f>24.18</f>
        <v>24.18</v>
      </c>
      <c r="N5">
        <v>23.84</v>
      </c>
      <c r="O5" s="3">
        <f>(M5-N5)/M5</f>
        <v>1.40612076095947E-2</v>
      </c>
    </row>
    <row r="6" spans="1:15" x14ac:dyDescent="0.25">
      <c r="A6" t="s">
        <v>53</v>
      </c>
      <c r="B6" s="119">
        <v>610171.75810072827</v>
      </c>
    </row>
    <row r="7" spans="1:15" x14ac:dyDescent="0.25">
      <c r="B7" s="5">
        <f>SUM(B2:B6)</f>
        <v>3337385.1710453276</v>
      </c>
    </row>
    <row r="8" spans="1:15" x14ac:dyDescent="0.25">
      <c r="B8" s="5">
        <f>B7*3</f>
        <v>10012155.513135983</v>
      </c>
      <c r="C8" s="121">
        <v>10381644</v>
      </c>
      <c r="D8" s="124">
        <v>10412044.42</v>
      </c>
      <c r="E8" s="120">
        <f>D8-C8</f>
        <v>30400.419999999925</v>
      </c>
    </row>
    <row r="9" spans="1:15" x14ac:dyDescent="0.25">
      <c r="F9">
        <v>8540</v>
      </c>
      <c r="G9">
        <v>24.18</v>
      </c>
      <c r="H9" s="4">
        <f>G9*F9</f>
        <v>206497.2</v>
      </c>
    </row>
    <row r="10" spans="1:15" x14ac:dyDescent="0.25">
      <c r="F10">
        <f>F9/2</f>
        <v>4270</v>
      </c>
      <c r="G10">
        <v>23.84</v>
      </c>
      <c r="H10" s="4">
        <f>F10*G10</f>
        <v>101796.8</v>
      </c>
      <c r="J10" s="5">
        <f>H9-H10</f>
        <v>104700.40000000001</v>
      </c>
      <c r="M10">
        <f>N5*O5</f>
        <v>0.33521918941273765</v>
      </c>
    </row>
    <row r="11" spans="1:15" x14ac:dyDescent="0.25">
      <c r="C11" s="5">
        <f>C8-J10</f>
        <v>10276943.6</v>
      </c>
      <c r="H11" s="5">
        <f>H9-H10</f>
        <v>104700.40000000001</v>
      </c>
      <c r="M11">
        <f>N5+M10</f>
        <v>24.175219189412736</v>
      </c>
    </row>
    <row r="12" spans="1:15" x14ac:dyDescent="0.25">
      <c r="C12" s="3">
        <f>(C11-B8)/C11</f>
        <v>2.5765256400163271E-2</v>
      </c>
      <c r="H12" s="5">
        <f>H11*10%</f>
        <v>10470.040000000001</v>
      </c>
    </row>
    <row r="13" spans="1:15" x14ac:dyDescent="0.25">
      <c r="H13" s="5"/>
    </row>
    <row r="15" spans="1:15" x14ac:dyDescent="0.25">
      <c r="D15" s="4">
        <v>10412044.418585885</v>
      </c>
      <c r="E15" s="5">
        <f>D15-C8</f>
        <v>30400.418585885316</v>
      </c>
      <c r="G15" s="5">
        <f>E15*4%</f>
        <v>1216.0167434354128</v>
      </c>
      <c r="I15" s="5">
        <f>E15-G15</f>
        <v>29184.401842449905</v>
      </c>
    </row>
    <row r="17" spans="2:9" x14ac:dyDescent="0.25">
      <c r="E17" s="123">
        <f>(C8-D15)/C8</f>
        <v>-2.9282855957963225E-3</v>
      </c>
    </row>
    <row r="19" spans="2:9" x14ac:dyDescent="0.25">
      <c r="G19" s="5">
        <f>C8+E15</f>
        <v>10412044.418585885</v>
      </c>
    </row>
    <row r="26" spans="2:9" x14ac:dyDescent="0.35">
      <c r="B26" s="126" t="s">
        <v>56</v>
      </c>
    </row>
    <row r="31" spans="2:9" x14ac:dyDescent="0.35">
      <c r="B31" s="3">
        <f>(10381644-10438883.19)/10381644</f>
        <v>-5.5134995960176899E-3</v>
      </c>
      <c r="D31">
        <f>10381644*B31</f>
        <v>-57239.189999999471</v>
      </c>
    </row>
    <row r="32" spans="2:9" x14ac:dyDescent="0.35">
      <c r="D32">
        <f>D31*-1</f>
        <v>57239.189999999471</v>
      </c>
      <c r="H32" s="120">
        <f>C8</f>
        <v>10381644</v>
      </c>
      <c r="I32" s="124">
        <v>10441862.65</v>
      </c>
    </row>
    <row r="33" spans="4:9" x14ac:dyDescent="0.35">
      <c r="D33" s="4">
        <f>D32+10381644</f>
        <v>10438883.189999999</v>
      </c>
    </row>
    <row r="35" spans="4:9" x14ac:dyDescent="0.35">
      <c r="H35" s="120">
        <f>(H32-I32)</f>
        <v>-60218.650000000373</v>
      </c>
      <c r="I35">
        <f>H35*-1</f>
        <v>60218.650000000373</v>
      </c>
    </row>
    <row r="36" spans="4:9" x14ac:dyDescent="0.35">
      <c r="H36" s="3">
        <f>I35/H32</f>
        <v>5.800492677267721E-3</v>
      </c>
    </row>
  </sheetData>
  <pageMargins left="0.7" right="0.7" top="0.75" bottom="0.75" header="0.3" footer="0.3"/>
  <pageSetup paperSize="9" orientation="portrait" verticalDpi="0" r:id="rId1"/>
  <customProperties>
    <customPr name="EpmWorksheetKeyString_GUID" r:id="rId2"/>
  </customPropertie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9"/>
  <sheetViews>
    <sheetView workbookViewId="0">
      <selection activeCell="B9" sqref="B9"/>
    </sheetView>
  </sheetViews>
  <sheetFormatPr defaultRowHeight="14.5" x14ac:dyDescent="0.35"/>
  <cols>
    <col min="2" max="3" width="14.81640625" bestFit="1" customWidth="1"/>
  </cols>
  <sheetData>
    <row r="2" spans="2:5" ht="15.75" thickBot="1" x14ac:dyDescent="0.3"/>
    <row r="3" spans="2:5" ht="15" thickBot="1" x14ac:dyDescent="0.4">
      <c r="B3" s="2">
        <v>3753903.28</v>
      </c>
      <c r="C3" s="6">
        <v>3750932.46</v>
      </c>
      <c r="E3" s="3">
        <f>(B3-C3)/B3</f>
        <v>7.9139492373917332E-4</v>
      </c>
    </row>
    <row r="5" spans="2:5" x14ac:dyDescent="0.35">
      <c r="B5" s="7">
        <v>3356019.77</v>
      </c>
      <c r="C5" s="4">
        <v>3344072.57</v>
      </c>
      <c r="E5" s="117">
        <f>(B5-C5)/B5</f>
        <v>3.559931352847837E-3</v>
      </c>
    </row>
    <row r="7" spans="2:5" x14ac:dyDescent="0.35">
      <c r="B7" s="4">
        <f>'[2]VEC 2025'!$G$12</f>
        <v>2975372.58</v>
      </c>
      <c r="C7" s="7">
        <v>2898018.5</v>
      </c>
      <c r="E7" s="1">
        <f>(C7-B7)/C7</f>
        <v>-2.6692058729093714E-2</v>
      </c>
    </row>
    <row r="9" spans="2:5" x14ac:dyDescent="0.35">
      <c r="B9">
        <v>3583678.3899999997</v>
      </c>
      <c r="C9" s="7">
        <v>3571799.01</v>
      </c>
      <c r="E9" s="116">
        <f>(C9-B9)/C9</f>
        <v>-3.3258814302655538E-3</v>
      </c>
    </row>
  </sheetData>
  <pageMargins left="0.7" right="0.7" top="0.75" bottom="0.75" header="0.3" footer="0.3"/>
  <customProperties>
    <customPr name="EpmWorksheetKeyString_GUID" r:id="rId1"/>
  </customPropertie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C2:S73"/>
  <sheetViews>
    <sheetView showGridLines="0" topLeftCell="A34" zoomScale="70" zoomScaleNormal="70" workbookViewId="0">
      <selection activeCell="M48" sqref="M48"/>
    </sheetView>
  </sheetViews>
  <sheetFormatPr defaultRowHeight="14.5" x14ac:dyDescent="0.35"/>
  <cols>
    <col min="3" max="3" width="9.1796875" bestFit="1" customWidth="1"/>
    <col min="4" max="4" width="10.54296875" customWidth="1"/>
    <col min="5" max="5" width="13" customWidth="1"/>
    <col min="6" max="6" width="22.1796875" customWidth="1"/>
    <col min="7" max="7" width="22.54296875" customWidth="1"/>
    <col min="8" max="8" width="27.1796875" bestFit="1" customWidth="1"/>
    <col min="9" max="9" width="10.453125" bestFit="1" customWidth="1"/>
    <col min="10" max="10" width="24.81640625" bestFit="1" customWidth="1"/>
    <col min="11" max="11" width="23.81640625" bestFit="1" customWidth="1"/>
    <col min="14" max="14" width="14.1796875" bestFit="1" customWidth="1"/>
    <col min="15" max="15" width="38.81640625" customWidth="1"/>
    <col min="16" max="16" width="20.453125" customWidth="1"/>
    <col min="17" max="17" width="27.54296875" customWidth="1"/>
    <col min="18" max="18" width="12.81640625" bestFit="1" customWidth="1"/>
    <col min="19" max="19" width="20.1796875" bestFit="1" customWidth="1"/>
  </cols>
  <sheetData>
    <row r="2" spans="3:17" ht="18.75" x14ac:dyDescent="0.3">
      <c r="C2" s="213"/>
      <c r="D2" s="213" t="s">
        <v>89</v>
      </c>
      <c r="E2" s="213"/>
      <c r="F2" s="213"/>
      <c r="G2" t="s">
        <v>90</v>
      </c>
    </row>
    <row r="4" spans="3:17" ht="42" customHeight="1" thickBot="1" x14ac:dyDescent="0.4">
      <c r="C4" s="98" t="s">
        <v>0</v>
      </c>
      <c r="D4" s="98"/>
      <c r="E4" s="98"/>
      <c r="F4" s="9"/>
      <c r="G4" s="9"/>
      <c r="H4" s="9"/>
      <c r="I4" s="9"/>
      <c r="J4" s="9"/>
      <c r="K4" s="9"/>
      <c r="L4" s="8"/>
    </row>
    <row r="5" spans="3:17" ht="42.5" thickBot="1" x14ac:dyDescent="0.55000000000000004">
      <c r="C5" s="99" t="s">
        <v>1</v>
      </c>
      <c r="D5" s="100" t="s">
        <v>2</v>
      </c>
      <c r="E5" s="100" t="s">
        <v>3</v>
      </c>
      <c r="F5" s="100" t="s">
        <v>4</v>
      </c>
      <c r="G5" s="100" t="s">
        <v>5</v>
      </c>
      <c r="H5" s="100" t="s">
        <v>6</v>
      </c>
      <c r="I5" s="100" t="s">
        <v>7</v>
      </c>
      <c r="J5" s="100" t="s">
        <v>8</v>
      </c>
      <c r="K5" s="100" t="s">
        <v>9</v>
      </c>
      <c r="L5" s="8"/>
    </row>
    <row r="6" spans="3:17" ht="21.65" customHeight="1" thickBot="1" x14ac:dyDescent="0.4">
      <c r="C6" s="101">
        <v>2025</v>
      </c>
      <c r="D6" s="102">
        <v>3</v>
      </c>
      <c r="E6" s="103" t="s">
        <v>10</v>
      </c>
      <c r="F6" s="104">
        <v>22732</v>
      </c>
      <c r="G6" s="104">
        <v>23143</v>
      </c>
      <c r="H6" s="105">
        <f>'Execució 5 lots'!$G$16</f>
        <v>187413.59</v>
      </c>
      <c r="I6" s="106">
        <v>4</v>
      </c>
      <c r="J6" s="107">
        <f>H6*0.04</f>
        <v>7496.5436</v>
      </c>
      <c r="K6" s="105">
        <f>ROUND(H6+J6,2)</f>
        <v>194910.13</v>
      </c>
      <c r="L6" s="8"/>
      <c r="P6" s="192"/>
      <c r="Q6" s="197"/>
    </row>
    <row r="7" spans="3:17" ht="21.65" customHeight="1" thickBot="1" x14ac:dyDescent="0.4">
      <c r="C7" s="101">
        <v>2026</v>
      </c>
      <c r="D7" s="102">
        <v>12</v>
      </c>
      <c r="E7" s="103" t="s">
        <v>10</v>
      </c>
      <c r="F7" s="104">
        <v>22732</v>
      </c>
      <c r="G7" s="104">
        <v>23143</v>
      </c>
      <c r="H7" s="105">
        <f>'Execució 5 lots'!$H$16</f>
        <v>749654.38</v>
      </c>
      <c r="I7" s="106">
        <v>4</v>
      </c>
      <c r="J7" s="107">
        <f t="shared" ref="J7:J9" si="0">H7*0.04</f>
        <v>29986.175200000001</v>
      </c>
      <c r="K7" s="105">
        <f>ROUND(H7+J7,2)</f>
        <v>779640.56</v>
      </c>
      <c r="L7" s="8"/>
      <c r="N7" s="122"/>
    </row>
    <row r="8" spans="3:17" ht="21.65" customHeight="1" thickBot="1" x14ac:dyDescent="0.4">
      <c r="C8" s="101">
        <v>2027</v>
      </c>
      <c r="D8" s="102">
        <v>12</v>
      </c>
      <c r="E8" s="103" t="s">
        <v>10</v>
      </c>
      <c r="F8" s="104">
        <v>22732</v>
      </c>
      <c r="G8" s="104">
        <v>23143</v>
      </c>
      <c r="H8" s="105">
        <f>'Execució 5 lots'!$H$16</f>
        <v>749654.38</v>
      </c>
      <c r="I8" s="106">
        <v>4</v>
      </c>
      <c r="J8" s="107">
        <f t="shared" si="0"/>
        <v>29986.175200000001</v>
      </c>
      <c r="K8" s="105">
        <f t="shared" ref="K8:K9" si="1">ROUND(H8+J8,2)</f>
        <v>779640.56</v>
      </c>
      <c r="L8" s="8"/>
      <c r="N8" s="122"/>
    </row>
    <row r="9" spans="3:17" ht="21.65" customHeight="1" thickBot="1" x14ac:dyDescent="0.4">
      <c r="C9" s="101">
        <v>2028</v>
      </c>
      <c r="D9" s="102">
        <v>9</v>
      </c>
      <c r="E9" s="103" t="s">
        <v>10</v>
      </c>
      <c r="F9" s="104">
        <v>22732</v>
      </c>
      <c r="G9" s="104">
        <v>23143</v>
      </c>
      <c r="H9" s="105">
        <f>'Execució 5 lots'!$J$16</f>
        <v>562240.79</v>
      </c>
      <c r="I9" s="106">
        <v>4</v>
      </c>
      <c r="J9" s="107">
        <f t="shared" si="0"/>
        <v>22489.631600000001</v>
      </c>
      <c r="K9" s="105">
        <f t="shared" si="1"/>
        <v>584730.42000000004</v>
      </c>
      <c r="L9" s="8"/>
    </row>
    <row r="10" spans="3:17" ht="21.65" customHeight="1" thickBot="1" x14ac:dyDescent="0.4">
      <c r="C10" s="108"/>
      <c r="D10" s="108"/>
      <c r="E10" s="108"/>
      <c r="F10" s="108"/>
      <c r="G10" s="108"/>
      <c r="H10" s="109">
        <f>SUM(H6:H9)</f>
        <v>2248963.14</v>
      </c>
      <c r="I10" s="110"/>
      <c r="J10" s="109">
        <f>ROUND(SUM(J6:J9),2)</f>
        <v>89958.53</v>
      </c>
      <c r="K10" s="109">
        <f>ROUND(SUM(K6:K9),2)</f>
        <v>2338921.67</v>
      </c>
      <c r="L10" s="8"/>
      <c r="N10" s="185"/>
    </row>
    <row r="16" spans="3:17" ht="15" x14ac:dyDescent="0.25">
      <c r="M16" s="212"/>
    </row>
    <row r="17" spans="3:17" ht="21.75" thickBot="1" x14ac:dyDescent="0.4">
      <c r="C17" s="98" t="s">
        <v>41</v>
      </c>
      <c r="D17" s="98"/>
      <c r="E17" s="8"/>
      <c r="F17" s="8"/>
      <c r="G17" s="8"/>
      <c r="H17" s="8"/>
      <c r="I17" s="8"/>
      <c r="J17" s="8"/>
      <c r="K17" s="8"/>
      <c r="M17" s="212"/>
      <c r="N17" s="188"/>
      <c r="O17" s="188"/>
      <c r="P17" s="188"/>
      <c r="Q17" s="188"/>
    </row>
    <row r="18" spans="3:17" ht="42.5" thickBot="1" x14ac:dyDescent="0.4">
      <c r="C18" s="99" t="s">
        <v>1</v>
      </c>
      <c r="D18" s="100" t="s">
        <v>44</v>
      </c>
      <c r="E18" s="100" t="s">
        <v>3</v>
      </c>
      <c r="F18" s="100" t="s">
        <v>4</v>
      </c>
      <c r="G18" s="100" t="s">
        <v>5</v>
      </c>
      <c r="H18" s="100" t="s">
        <v>6</v>
      </c>
      <c r="I18" s="100" t="s">
        <v>7</v>
      </c>
      <c r="J18" s="100" t="s">
        <v>8</v>
      </c>
      <c r="K18" s="100" t="s">
        <v>9</v>
      </c>
      <c r="M18" s="212"/>
      <c r="N18" s="188"/>
      <c r="O18" s="198"/>
      <c r="P18" s="188"/>
      <c r="Q18" s="188"/>
    </row>
    <row r="19" spans="3:17" ht="21.65" customHeight="1" thickBot="1" x14ac:dyDescent="0.3">
      <c r="C19" s="101">
        <v>2025</v>
      </c>
      <c r="D19" s="102">
        <v>3</v>
      </c>
      <c r="E19" s="103" t="s">
        <v>10</v>
      </c>
      <c r="F19" s="104">
        <v>22732</v>
      </c>
      <c r="G19" s="104">
        <v>23143</v>
      </c>
      <c r="H19" s="105">
        <f>'Execució 5 lots'!$G$35</f>
        <v>169483.02</v>
      </c>
      <c r="I19" s="106">
        <v>4</v>
      </c>
      <c r="J19" s="107">
        <f>H19*4%</f>
        <v>6779.3207999999995</v>
      </c>
      <c r="K19" s="105">
        <f>H19+J19</f>
        <v>176262.34079999998</v>
      </c>
      <c r="M19" s="212"/>
      <c r="N19" s="188"/>
      <c r="O19" s="188"/>
      <c r="P19" s="199"/>
      <c r="Q19" s="188"/>
    </row>
    <row r="20" spans="3:17" ht="21.5" thickBot="1" x14ac:dyDescent="0.4">
      <c r="C20" s="101">
        <v>2026</v>
      </c>
      <c r="D20" s="102">
        <v>12</v>
      </c>
      <c r="E20" s="103" t="s">
        <v>10</v>
      </c>
      <c r="F20" s="104">
        <v>22732</v>
      </c>
      <c r="G20" s="104">
        <v>23143</v>
      </c>
      <c r="H20" s="105">
        <f>'Execució 5 lots'!$H$35</f>
        <v>677932.02</v>
      </c>
      <c r="I20" s="106">
        <v>4</v>
      </c>
      <c r="J20" s="107">
        <f>H20*4%-0.001</f>
        <v>27117.2798</v>
      </c>
      <c r="K20" s="105">
        <v>705049.29689889983</v>
      </c>
      <c r="M20" s="212"/>
      <c r="N20" s="188"/>
      <c r="O20" s="188"/>
      <c r="P20" s="188"/>
      <c r="Q20" s="188"/>
    </row>
    <row r="21" spans="3:17" ht="21.5" thickBot="1" x14ac:dyDescent="0.4">
      <c r="C21" s="101">
        <v>2027</v>
      </c>
      <c r="D21" s="102">
        <v>12</v>
      </c>
      <c r="E21" s="103" t="s">
        <v>10</v>
      </c>
      <c r="F21" s="104">
        <v>22732</v>
      </c>
      <c r="G21" s="104">
        <v>23143</v>
      </c>
      <c r="H21" s="105">
        <f>'Execució 5 lots'!$H$35</f>
        <v>677932.02</v>
      </c>
      <c r="I21" s="106">
        <v>4</v>
      </c>
      <c r="J21" s="107">
        <f>H21*4%-0.001</f>
        <v>27117.2798</v>
      </c>
      <c r="K21" s="105">
        <v>705049.29689889983</v>
      </c>
      <c r="M21" s="212"/>
      <c r="N21" s="188"/>
      <c r="O21" s="188"/>
      <c r="P21" s="188"/>
      <c r="Q21" s="188"/>
    </row>
    <row r="22" spans="3:17" ht="21.5" thickBot="1" x14ac:dyDescent="0.4">
      <c r="C22" s="101">
        <v>2028</v>
      </c>
      <c r="D22" s="102">
        <v>9</v>
      </c>
      <c r="E22" s="103" t="s">
        <v>10</v>
      </c>
      <c r="F22" s="104">
        <v>22732</v>
      </c>
      <c r="G22" s="104">
        <v>23143</v>
      </c>
      <c r="H22" s="105">
        <f>'Execució 5 lots'!$J$35</f>
        <v>508449.01</v>
      </c>
      <c r="I22" s="106">
        <v>4</v>
      </c>
      <c r="J22" s="107">
        <f>H22*4%-0.001</f>
        <v>20337.9594</v>
      </c>
      <c r="K22" s="105">
        <f>SUM(H22+J22)</f>
        <v>528786.96940000006</v>
      </c>
      <c r="M22" s="212"/>
    </row>
    <row r="23" spans="3:17" ht="21.65" customHeight="1" thickBot="1" x14ac:dyDescent="0.4">
      <c r="C23" s="108"/>
      <c r="D23" s="108"/>
      <c r="E23" s="108"/>
      <c r="F23" s="108"/>
      <c r="G23" s="108"/>
      <c r="H23" s="109">
        <f>SUM(H19:H22)</f>
        <v>2033796.07</v>
      </c>
      <c r="I23" s="110"/>
      <c r="J23" s="109">
        <f>SUM(J19:J22)</f>
        <v>81351.839799999987</v>
      </c>
      <c r="K23" s="109">
        <f>SUM(H23:J23)</f>
        <v>2115147.9098</v>
      </c>
      <c r="M23" s="212"/>
    </row>
    <row r="24" spans="3:17" ht="15" x14ac:dyDescent="0.25">
      <c r="M24" s="212"/>
    </row>
    <row r="25" spans="3:17" ht="15" x14ac:dyDescent="0.25">
      <c r="M25" s="212"/>
    </row>
    <row r="26" spans="3:17" ht="15" x14ac:dyDescent="0.25">
      <c r="M26" s="212"/>
    </row>
    <row r="27" spans="3:17" ht="15" x14ac:dyDescent="0.25">
      <c r="M27" s="212"/>
    </row>
    <row r="28" spans="3:17" ht="21.75" thickBot="1" x14ac:dyDescent="0.4">
      <c r="C28" s="98" t="s">
        <v>45</v>
      </c>
      <c r="D28" s="98"/>
      <c r="E28" s="8"/>
      <c r="F28" s="8"/>
      <c r="G28" s="8"/>
      <c r="H28" s="8"/>
      <c r="I28" s="8"/>
      <c r="J28" s="8"/>
      <c r="K28" s="8"/>
    </row>
    <row r="29" spans="3:17" ht="42.5" thickBot="1" x14ac:dyDescent="0.4">
      <c r="C29" s="99" t="s">
        <v>1</v>
      </c>
      <c r="D29" s="100" t="s">
        <v>44</v>
      </c>
      <c r="E29" s="100" t="s">
        <v>3</v>
      </c>
      <c r="F29" s="100" t="s">
        <v>4</v>
      </c>
      <c r="G29" s="100" t="s">
        <v>5</v>
      </c>
      <c r="H29" s="100" t="s">
        <v>6</v>
      </c>
      <c r="I29" s="100" t="s">
        <v>7</v>
      </c>
      <c r="J29" s="100" t="s">
        <v>8</v>
      </c>
      <c r="K29" s="100" t="s">
        <v>9</v>
      </c>
    </row>
    <row r="30" spans="3:17" ht="21.5" thickBot="1" x14ac:dyDescent="0.4">
      <c r="C30" s="101">
        <v>2025</v>
      </c>
      <c r="D30" s="102">
        <v>3</v>
      </c>
      <c r="E30" s="103" t="s">
        <v>10</v>
      </c>
      <c r="F30" s="104">
        <v>22732</v>
      </c>
      <c r="G30" s="104">
        <v>23143</v>
      </c>
      <c r="H30" s="105">
        <v>148656.34</v>
      </c>
      <c r="I30" s="106">
        <v>4</v>
      </c>
      <c r="J30" s="107">
        <v>5946.26</v>
      </c>
      <c r="K30" s="105">
        <f>H30+J30</f>
        <v>154602.6</v>
      </c>
    </row>
    <row r="31" spans="3:17" ht="21.5" thickBot="1" x14ac:dyDescent="0.4">
      <c r="C31" s="101">
        <v>2026</v>
      </c>
      <c r="D31" s="102">
        <v>12</v>
      </c>
      <c r="E31" s="103" t="s">
        <v>10</v>
      </c>
      <c r="F31" s="104">
        <v>22732</v>
      </c>
      <c r="G31" s="104">
        <v>23143</v>
      </c>
      <c r="H31" s="105">
        <v>594625.36921736004</v>
      </c>
      <c r="I31" s="106">
        <v>4</v>
      </c>
      <c r="J31" s="107">
        <f>'Execució 5 lots'!$I$55</f>
        <v>23785.01</v>
      </c>
      <c r="K31" s="105">
        <f t="shared" ref="K31:K33" si="2">H31+J31</f>
        <v>618410.37921736005</v>
      </c>
    </row>
    <row r="32" spans="3:17" ht="21.5" thickBot="1" x14ac:dyDescent="0.4">
      <c r="C32" s="101">
        <v>2027</v>
      </c>
      <c r="D32" s="102">
        <v>12</v>
      </c>
      <c r="E32" s="103" t="s">
        <v>10</v>
      </c>
      <c r="F32" s="104">
        <v>22732</v>
      </c>
      <c r="G32" s="104">
        <v>23143</v>
      </c>
      <c r="H32" s="105">
        <v>594625.36921736004</v>
      </c>
      <c r="I32" s="106">
        <v>4</v>
      </c>
      <c r="J32" s="107">
        <f>'Execució 5 lots'!$I$55</f>
        <v>23785.01</v>
      </c>
      <c r="K32" s="105">
        <f t="shared" si="2"/>
        <v>618410.37921736005</v>
      </c>
    </row>
    <row r="33" spans="3:11" ht="21.5" thickBot="1" x14ac:dyDescent="0.4">
      <c r="C33" s="101">
        <v>2028</v>
      </c>
      <c r="D33" s="102">
        <v>9</v>
      </c>
      <c r="E33" s="103" t="s">
        <v>10</v>
      </c>
      <c r="F33" s="104">
        <v>22732</v>
      </c>
      <c r="G33" s="104">
        <v>23143</v>
      </c>
      <c r="H33" s="105">
        <v>445969.04</v>
      </c>
      <c r="I33" s="106">
        <v>4</v>
      </c>
      <c r="J33" s="107">
        <v>17838.759999999998</v>
      </c>
      <c r="K33" s="105">
        <f t="shared" si="2"/>
        <v>463807.8</v>
      </c>
    </row>
    <row r="34" spans="3:11" ht="21.75" thickBot="1" x14ac:dyDescent="0.4">
      <c r="C34" s="108"/>
      <c r="D34" s="108"/>
      <c r="E34" s="108"/>
      <c r="F34" s="108"/>
      <c r="G34" s="108"/>
      <c r="H34" s="109">
        <f>SUM(H30:H33)</f>
        <v>1783876.1184347202</v>
      </c>
      <c r="I34" s="110"/>
      <c r="J34" s="109">
        <f>SUM(J30:J33)</f>
        <v>71355.039999999994</v>
      </c>
      <c r="K34" s="109">
        <f>SUM(K30:K33)+0.002</f>
        <v>1855231.1604347201</v>
      </c>
    </row>
    <row r="40" spans="3:11" ht="21.75" thickBot="1" x14ac:dyDescent="0.4">
      <c r="C40" s="98" t="s">
        <v>51</v>
      </c>
      <c r="D40" s="98"/>
      <c r="E40" s="8"/>
      <c r="F40" s="8"/>
      <c r="G40" s="8"/>
      <c r="H40" s="8"/>
      <c r="I40" s="8"/>
      <c r="J40" s="8"/>
      <c r="K40" s="8"/>
    </row>
    <row r="41" spans="3:11" ht="42.5" thickBot="1" x14ac:dyDescent="0.4">
      <c r="C41" s="99" t="s">
        <v>1</v>
      </c>
      <c r="D41" s="100" t="s">
        <v>44</v>
      </c>
      <c r="E41" s="100" t="s">
        <v>3</v>
      </c>
      <c r="F41" s="100" t="s">
        <v>4</v>
      </c>
      <c r="G41" s="100" t="s">
        <v>5</v>
      </c>
      <c r="H41" s="100" t="s">
        <v>6</v>
      </c>
      <c r="I41" s="100" t="s">
        <v>7</v>
      </c>
      <c r="J41" s="100" t="s">
        <v>8</v>
      </c>
      <c r="K41" s="100" t="s">
        <v>9</v>
      </c>
    </row>
    <row r="42" spans="3:11" ht="21.5" thickBot="1" x14ac:dyDescent="0.4">
      <c r="C42" s="101">
        <v>2025</v>
      </c>
      <c r="D42" s="102">
        <v>3</v>
      </c>
      <c r="E42" s="103" t="s">
        <v>10</v>
      </c>
      <c r="F42" s="104">
        <v>22732</v>
      </c>
      <c r="G42" s="104">
        <v>23143</v>
      </c>
      <c r="H42" s="105">
        <f>'Execució 5 lots'!$G$73</f>
        <v>179099.81</v>
      </c>
      <c r="I42" s="106">
        <v>4</v>
      </c>
      <c r="J42" s="107">
        <v>7163.99</v>
      </c>
      <c r="K42" s="105">
        <f>H42+J42</f>
        <v>186263.8</v>
      </c>
    </row>
    <row r="43" spans="3:11" ht="21.5" thickBot="1" x14ac:dyDescent="0.4">
      <c r="C43" s="101">
        <v>2026</v>
      </c>
      <c r="D43" s="102">
        <v>12</v>
      </c>
      <c r="E43" s="103" t="s">
        <v>10</v>
      </c>
      <c r="F43" s="104">
        <v>22732</v>
      </c>
      <c r="G43" s="104">
        <v>23143</v>
      </c>
      <c r="H43" s="105">
        <f>'Execució 5 lots'!$H$73</f>
        <v>716398.64</v>
      </c>
      <c r="I43" s="106">
        <v>4</v>
      </c>
      <c r="J43" s="107">
        <v>28655.95</v>
      </c>
      <c r="K43" s="105">
        <f>H43+J43</f>
        <v>745054.59</v>
      </c>
    </row>
    <row r="44" spans="3:11" ht="21.5" thickBot="1" x14ac:dyDescent="0.4">
      <c r="C44" s="101">
        <v>2027</v>
      </c>
      <c r="D44" s="102">
        <v>12</v>
      </c>
      <c r="E44" s="103" t="s">
        <v>10</v>
      </c>
      <c r="F44" s="104">
        <v>22732</v>
      </c>
      <c r="G44" s="104">
        <v>23143</v>
      </c>
      <c r="H44" s="105">
        <f>'Execució 5 lots'!$H$73</f>
        <v>716398.64</v>
      </c>
      <c r="I44" s="106">
        <v>4</v>
      </c>
      <c r="J44" s="107">
        <v>28655.95</v>
      </c>
      <c r="K44" s="105">
        <f>H44+J44</f>
        <v>745054.59</v>
      </c>
    </row>
    <row r="45" spans="3:11" ht="21.5" thickBot="1" x14ac:dyDescent="0.4">
      <c r="C45" s="101">
        <v>2028</v>
      </c>
      <c r="D45" s="102">
        <v>9</v>
      </c>
      <c r="E45" s="103" t="s">
        <v>10</v>
      </c>
      <c r="F45" s="104">
        <v>22732</v>
      </c>
      <c r="G45" s="104">
        <v>23143</v>
      </c>
      <c r="H45" s="105">
        <f>'Execució 5 lots'!$J$73</f>
        <v>537298.82000000007</v>
      </c>
      <c r="I45" s="106">
        <v>4</v>
      </c>
      <c r="J45" s="107">
        <v>21491.95</v>
      </c>
      <c r="K45" s="105">
        <f>H45+J45</f>
        <v>558790.77</v>
      </c>
    </row>
    <row r="46" spans="3:11" ht="21.75" thickBot="1" x14ac:dyDescent="0.4">
      <c r="C46" s="108"/>
      <c r="D46" s="108"/>
      <c r="E46" s="108"/>
      <c r="F46" s="108"/>
      <c r="G46" s="108"/>
      <c r="H46" s="109">
        <f>SUM(H42:H45)</f>
        <v>2149195.91</v>
      </c>
      <c r="I46" s="110"/>
      <c r="J46" s="109">
        <f>SUM(J42:J45)</f>
        <v>85967.84</v>
      </c>
      <c r="K46" s="109">
        <f>H46+J46</f>
        <v>2235163.75</v>
      </c>
    </row>
    <row r="52" spans="3:19" ht="21.75" thickBot="1" x14ac:dyDescent="0.4">
      <c r="C52" s="98" t="s">
        <v>55</v>
      </c>
      <c r="D52" s="98"/>
      <c r="E52" s="8"/>
      <c r="F52" s="8"/>
      <c r="G52" s="8"/>
      <c r="H52" s="8"/>
      <c r="I52" s="8"/>
      <c r="J52" s="8"/>
      <c r="K52" s="8"/>
    </row>
    <row r="53" spans="3:19" ht="42.5" thickBot="1" x14ac:dyDescent="0.4">
      <c r="C53" s="99" t="s">
        <v>1</v>
      </c>
      <c r="D53" s="100" t="s">
        <v>44</v>
      </c>
      <c r="E53" s="100" t="s">
        <v>3</v>
      </c>
      <c r="F53" s="100" t="s">
        <v>4</v>
      </c>
      <c r="G53" s="100" t="s">
        <v>5</v>
      </c>
      <c r="H53" s="100" t="s">
        <v>6</v>
      </c>
      <c r="I53" s="100" t="s">
        <v>7</v>
      </c>
      <c r="J53" s="100" t="s">
        <v>8</v>
      </c>
      <c r="K53" s="100" t="s">
        <v>9</v>
      </c>
    </row>
    <row r="54" spans="3:19" ht="21.5" thickBot="1" x14ac:dyDescent="0.4">
      <c r="C54" s="101">
        <v>2025</v>
      </c>
      <c r="D54" s="102">
        <v>3</v>
      </c>
      <c r="E54" s="103" t="s">
        <v>10</v>
      </c>
      <c r="F54" s="104">
        <v>22732</v>
      </c>
      <c r="G54" s="104">
        <v>23143</v>
      </c>
      <c r="H54" s="105">
        <v>152014.40000000002</v>
      </c>
      <c r="I54" s="106">
        <v>4</v>
      </c>
      <c r="J54" s="107">
        <v>6080.58</v>
      </c>
      <c r="K54" s="105">
        <f>H54+J54</f>
        <v>158094.98000000001</v>
      </c>
    </row>
    <row r="55" spans="3:19" ht="21.5" thickBot="1" x14ac:dyDescent="0.4">
      <c r="C55" s="101">
        <v>2026</v>
      </c>
      <c r="D55" s="102">
        <v>12</v>
      </c>
      <c r="E55" s="103" t="s">
        <v>10</v>
      </c>
      <c r="F55" s="104">
        <v>22732</v>
      </c>
      <c r="G55" s="104">
        <v>23143</v>
      </c>
      <c r="H55" s="105">
        <v>608057.6100000001</v>
      </c>
      <c r="I55" s="106">
        <v>4</v>
      </c>
      <c r="J55" s="107">
        <v>24322.3</v>
      </c>
      <c r="K55" s="105">
        <f t="shared" ref="K55:K57" si="3">H55+J55</f>
        <v>632379.91000000015</v>
      </c>
    </row>
    <row r="56" spans="3:19" ht="21.5" thickBot="1" x14ac:dyDescent="0.4">
      <c r="C56" s="101">
        <v>2027</v>
      </c>
      <c r="D56" s="102">
        <v>12</v>
      </c>
      <c r="E56" s="103" t="s">
        <v>10</v>
      </c>
      <c r="F56" s="104">
        <v>22732</v>
      </c>
      <c r="G56" s="104">
        <v>23143</v>
      </c>
      <c r="H56" s="105">
        <v>608057.6100000001</v>
      </c>
      <c r="I56" s="106">
        <v>4</v>
      </c>
      <c r="J56" s="107">
        <v>24322.3</v>
      </c>
      <c r="K56" s="105">
        <f t="shared" si="3"/>
        <v>632379.91000000015</v>
      </c>
    </row>
    <row r="57" spans="3:19" ht="21.5" thickBot="1" x14ac:dyDescent="0.4">
      <c r="C57" s="101">
        <v>2028</v>
      </c>
      <c r="D57" s="102">
        <v>9</v>
      </c>
      <c r="E57" s="103" t="s">
        <v>10</v>
      </c>
      <c r="F57" s="104">
        <v>22732</v>
      </c>
      <c r="G57" s="104">
        <v>23143</v>
      </c>
      <c r="H57" s="105">
        <f>'Execució 5 lots'!$J$93</f>
        <v>456043.21</v>
      </c>
      <c r="I57" s="106">
        <v>4</v>
      </c>
      <c r="J57" s="107">
        <v>18241.73</v>
      </c>
      <c r="K57" s="105">
        <f t="shared" si="3"/>
        <v>474284.94</v>
      </c>
    </row>
    <row r="58" spans="3:19" ht="21.65" thickBot="1" x14ac:dyDescent="0.55000000000000004">
      <c r="C58" s="108"/>
      <c r="D58" s="108"/>
      <c r="E58" s="108"/>
      <c r="F58" s="108"/>
      <c r="G58" s="108"/>
      <c r="H58" s="109">
        <f>SUM(H54:H57)</f>
        <v>1824172.83</v>
      </c>
      <c r="I58" s="125"/>
      <c r="J58" s="109">
        <f>SUM(J54:J57)</f>
        <v>72966.909999999989</v>
      </c>
      <c r="K58" s="109">
        <f>SUM(K54:K57)</f>
        <v>1897139.7400000002</v>
      </c>
    </row>
    <row r="59" spans="3:19" ht="15" x14ac:dyDescent="0.25">
      <c r="N59" s="122"/>
    </row>
    <row r="62" spans="3:19" ht="63" customHeight="1" x14ac:dyDescent="0.5">
      <c r="C62" s="243" t="s">
        <v>88</v>
      </c>
      <c r="D62" s="243"/>
      <c r="E62" s="243"/>
      <c r="F62" s="243"/>
      <c r="G62" s="243"/>
      <c r="H62" s="243"/>
      <c r="I62" s="243"/>
      <c r="J62" s="243"/>
      <c r="K62" s="243"/>
      <c r="R62" s="191"/>
    </row>
    <row r="63" spans="3:19" ht="15" thickBot="1" x14ac:dyDescent="0.4"/>
    <row r="64" spans="3:19" ht="42.5" thickBot="1" x14ac:dyDescent="0.4">
      <c r="C64" s="99" t="s">
        <v>1</v>
      </c>
      <c r="D64" s="100" t="s">
        <v>44</v>
      </c>
      <c r="E64" s="100" t="s">
        <v>3</v>
      </c>
      <c r="F64" s="100" t="s">
        <v>4</v>
      </c>
      <c r="G64" s="100" t="s">
        <v>5</v>
      </c>
      <c r="H64" s="100" t="s">
        <v>6</v>
      </c>
      <c r="I64" s="100" t="s">
        <v>7</v>
      </c>
      <c r="J64" s="100" t="s">
        <v>8</v>
      </c>
      <c r="K64" s="100" t="s">
        <v>9</v>
      </c>
      <c r="Q64" s="179"/>
      <c r="S64" s="193"/>
    </row>
    <row r="65" spans="3:19" ht="21.5" thickBot="1" x14ac:dyDescent="0.4">
      <c r="C65" s="101">
        <v>2025</v>
      </c>
      <c r="D65" s="102">
        <v>3</v>
      </c>
      <c r="E65" s="103" t="s">
        <v>10</v>
      </c>
      <c r="F65" s="104">
        <v>22732</v>
      </c>
      <c r="G65" s="104">
        <v>23143</v>
      </c>
      <c r="H65" s="105">
        <f>H6+H19+H30+H42+H54</f>
        <v>836667.16</v>
      </c>
      <c r="I65" s="106">
        <v>4</v>
      </c>
      <c r="J65" s="107">
        <v>33466.69</v>
      </c>
      <c r="K65" s="105">
        <f>H65+J65</f>
        <v>870133.85000000009</v>
      </c>
      <c r="P65" s="191"/>
      <c r="Q65" s="179"/>
      <c r="S65" s="194"/>
    </row>
    <row r="66" spans="3:19" ht="21.5" thickBot="1" x14ac:dyDescent="0.4">
      <c r="C66" s="101">
        <v>2026</v>
      </c>
      <c r="D66" s="102">
        <v>12</v>
      </c>
      <c r="E66" s="103" t="s">
        <v>10</v>
      </c>
      <c r="F66" s="104">
        <v>22732</v>
      </c>
      <c r="G66" s="104">
        <v>23143</v>
      </c>
      <c r="H66" s="105">
        <f>H7+H20+H31+H43+H55</f>
        <v>3346668.0192173598</v>
      </c>
      <c r="I66" s="106">
        <v>4</v>
      </c>
      <c r="J66" s="107">
        <f>'Execució 5 lots'!$H$115</f>
        <v>133866.72</v>
      </c>
      <c r="K66" s="105">
        <f t="shared" ref="K66:K68" si="4">H66+J66</f>
        <v>3480534.73921736</v>
      </c>
      <c r="Q66" s="179"/>
    </row>
    <row r="67" spans="3:19" ht="21.5" thickBot="1" x14ac:dyDescent="0.4">
      <c r="C67" s="101">
        <v>2027</v>
      </c>
      <c r="D67" s="102">
        <v>12</v>
      </c>
      <c r="E67" s="103" t="s">
        <v>10</v>
      </c>
      <c r="F67" s="104">
        <v>22732</v>
      </c>
      <c r="G67" s="104">
        <v>23143</v>
      </c>
      <c r="H67" s="105">
        <v>3346668.02</v>
      </c>
      <c r="I67" s="106">
        <v>4</v>
      </c>
      <c r="J67" s="107">
        <f>'Execució 5 lots'!$H$115</f>
        <v>133866.72</v>
      </c>
      <c r="K67" s="105">
        <f t="shared" si="4"/>
        <v>3480534.74</v>
      </c>
      <c r="Q67" s="179"/>
      <c r="S67" s="194"/>
    </row>
    <row r="68" spans="3:19" ht="21.5" thickBot="1" x14ac:dyDescent="0.4">
      <c r="C68" s="101">
        <v>2028</v>
      </c>
      <c r="D68" s="102">
        <v>9</v>
      </c>
      <c r="E68" s="103" t="s">
        <v>10</v>
      </c>
      <c r="F68" s="104">
        <v>22732</v>
      </c>
      <c r="G68" s="104">
        <v>23143</v>
      </c>
      <c r="H68" s="105">
        <f>H9+H22+H33+H45+H57</f>
        <v>2510000.87</v>
      </c>
      <c r="I68" s="106">
        <v>4</v>
      </c>
      <c r="J68" s="107">
        <v>100400.03</v>
      </c>
      <c r="K68" s="105">
        <f t="shared" si="4"/>
        <v>2610400.9</v>
      </c>
    </row>
    <row r="69" spans="3:19" ht="21.5" thickBot="1" x14ac:dyDescent="0.55000000000000004">
      <c r="C69" s="108"/>
      <c r="D69" s="108"/>
      <c r="E69" s="108"/>
      <c r="F69" s="108"/>
      <c r="G69" s="108"/>
      <c r="H69" s="109">
        <f>SUM(H65:H68)</f>
        <v>10040004.069217362</v>
      </c>
      <c r="I69" s="125"/>
      <c r="J69" s="109">
        <f>SUM(J65:J68)</f>
        <v>401600.16000000003</v>
      </c>
      <c r="K69" s="109">
        <f>SUM(K65:K68)</f>
        <v>10441604.22921736</v>
      </c>
    </row>
    <row r="73" spans="3:19" x14ac:dyDescent="0.35">
      <c r="K73" s="122"/>
    </row>
  </sheetData>
  <mergeCells count="1">
    <mergeCell ref="C62:K62"/>
  </mergeCells>
  <pageMargins left="0.7" right="0.7" top="0.75" bottom="0.75" header="0.3" footer="0.3"/>
  <pageSetup paperSize="9" orientation="portrait" verticalDpi="0" r:id="rId1"/>
  <customProperties>
    <customPr name="EpmWorksheetKeyString_GUID" r:id="rId2"/>
  </customProperties>
  <ignoredErrors>
    <ignoredError sqref="E6:G9 E19:F22 E30:E33 E42:E45 E54:E57 E65:E6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O75"/>
  <sheetViews>
    <sheetView showGridLines="0" topLeftCell="A34" workbookViewId="0">
      <selection activeCell="B85" sqref="B85"/>
    </sheetView>
  </sheetViews>
  <sheetFormatPr defaultRowHeight="14.5" x14ac:dyDescent="0.35"/>
  <cols>
    <col min="2" max="2" width="52.453125" bestFit="1" customWidth="1"/>
    <col min="3" max="3" width="11" bestFit="1" customWidth="1"/>
    <col min="4" max="7" width="22.81640625" bestFit="1" customWidth="1"/>
    <col min="8" max="8" width="24.81640625" bestFit="1" customWidth="1"/>
    <col min="10" max="10" width="13.36328125" bestFit="1" customWidth="1"/>
    <col min="11" max="14" width="14.453125" bestFit="1" customWidth="1"/>
    <col min="15" max="15" width="15.453125" bestFit="1" customWidth="1"/>
  </cols>
  <sheetData>
    <row r="2" spans="2:12" x14ac:dyDescent="0.35">
      <c r="D2">
        <v>3</v>
      </c>
      <c r="E2">
        <v>12</v>
      </c>
      <c r="F2">
        <v>12</v>
      </c>
      <c r="G2">
        <v>9</v>
      </c>
    </row>
    <row r="3" spans="2:12" ht="16" thickBot="1" x14ac:dyDescent="0.4">
      <c r="B3" s="42" t="s">
        <v>22</v>
      </c>
      <c r="C3" s="10"/>
      <c r="D3" s="10"/>
      <c r="E3" s="10"/>
      <c r="F3" s="10"/>
      <c r="G3" s="10"/>
      <c r="H3" s="10"/>
    </row>
    <row r="4" spans="2:12" ht="15" customHeight="1" thickBot="1" x14ac:dyDescent="0.4">
      <c r="B4" s="43"/>
      <c r="C4" s="53" t="s">
        <v>23</v>
      </c>
      <c r="D4" s="52">
        <v>2025</v>
      </c>
      <c r="E4" s="52">
        <v>2026</v>
      </c>
      <c r="F4" s="52">
        <v>2027</v>
      </c>
      <c r="G4" s="52">
        <v>2028</v>
      </c>
      <c r="H4" s="52" t="s">
        <v>24</v>
      </c>
    </row>
    <row r="5" spans="2:12" ht="15" customHeight="1" thickBot="1" x14ac:dyDescent="0.4">
      <c r="B5" s="61" t="s">
        <v>25</v>
      </c>
      <c r="C5" s="54">
        <f>H5/H8</f>
        <v>0.71816645166198079</v>
      </c>
      <c r="D5" s="46">
        <v>120968.51</v>
      </c>
      <c r="E5" s="46">
        <v>483874.05</v>
      </c>
      <c r="F5" s="46">
        <v>483874.05</v>
      </c>
      <c r="G5" s="46">
        <v>362905.54</v>
      </c>
      <c r="H5" s="46">
        <f t="shared" ref="H5:H10" si="0">SUM(D5:G5)</f>
        <v>1451622.15</v>
      </c>
      <c r="J5" s="220"/>
    </row>
    <row r="6" spans="2:12" ht="15" customHeight="1" thickBot="1" x14ac:dyDescent="0.4">
      <c r="B6" s="61" t="s">
        <v>26</v>
      </c>
      <c r="C6" s="55">
        <f>H6/H8</f>
        <v>0.22549086096177187</v>
      </c>
      <c r="D6" s="47">
        <v>37981.839999999997</v>
      </c>
      <c r="E6" s="47">
        <v>151927.43</v>
      </c>
      <c r="F6" s="47">
        <v>151927.43</v>
      </c>
      <c r="G6" s="47">
        <v>113945.56</v>
      </c>
      <c r="H6" s="46">
        <f t="shared" si="0"/>
        <v>455782.25999999995</v>
      </c>
      <c r="L6" s="191"/>
    </row>
    <row r="7" spans="2:12" ht="15" customHeight="1" x14ac:dyDescent="0.35">
      <c r="B7" s="62" t="s">
        <v>27</v>
      </c>
      <c r="C7" s="56">
        <f>H7/H8</f>
        <v>5.6342687376247307E-2</v>
      </c>
      <c r="D7" s="47">
        <v>9490.41</v>
      </c>
      <c r="E7" s="47">
        <v>37961.620000000003</v>
      </c>
      <c r="F7" s="47">
        <v>37961.620000000003</v>
      </c>
      <c r="G7" s="47">
        <v>28471.22</v>
      </c>
      <c r="H7" s="46">
        <f t="shared" si="0"/>
        <v>113884.87</v>
      </c>
    </row>
    <row r="8" spans="2:12" ht="15" customHeight="1" x14ac:dyDescent="0.35">
      <c r="B8" s="94" t="s">
        <v>28</v>
      </c>
      <c r="C8" s="57">
        <f>H8/H12</f>
        <v>0.89876496597449795</v>
      </c>
      <c r="D8" s="48">
        <f>SUM(D5:D7)</f>
        <v>168440.75999999998</v>
      </c>
      <c r="E8" s="48">
        <f>E5+E6+E7</f>
        <v>673763.1</v>
      </c>
      <c r="F8" s="48">
        <f>SUM(F5:F7)</f>
        <v>673763.1</v>
      </c>
      <c r="G8" s="48">
        <f>SUM(G5:G7)</f>
        <v>505322.31999999995</v>
      </c>
      <c r="H8" s="48">
        <f>SUM(D8:G8)</f>
        <v>2021289.2799999998</v>
      </c>
      <c r="L8" s="220"/>
    </row>
    <row r="9" spans="2:12" ht="15" customHeight="1" x14ac:dyDescent="0.35">
      <c r="B9" s="64" t="s">
        <v>29</v>
      </c>
      <c r="C9" s="58">
        <f>H9/H11</f>
        <v>0.62007676243552945</v>
      </c>
      <c r="D9" s="49">
        <v>11764.61</v>
      </c>
      <c r="E9" s="50">
        <v>47058.42</v>
      </c>
      <c r="F9" s="50">
        <v>47058.42</v>
      </c>
      <c r="G9" s="49">
        <v>35293.82</v>
      </c>
      <c r="H9" s="49">
        <f t="shared" si="0"/>
        <v>141175.26999999999</v>
      </c>
      <c r="J9" s="122"/>
    </row>
    <row r="10" spans="2:12" ht="15" customHeight="1" x14ac:dyDescent="0.35">
      <c r="B10" s="64" t="s">
        <v>30</v>
      </c>
      <c r="C10" s="58">
        <f>H10/H11</f>
        <v>0.3799232375644705</v>
      </c>
      <c r="D10" s="49">
        <v>7208.22</v>
      </c>
      <c r="E10" s="50">
        <v>28832.86</v>
      </c>
      <c r="F10" s="50">
        <v>28832.86</v>
      </c>
      <c r="G10" s="49">
        <v>21624.65</v>
      </c>
      <c r="H10" s="49">
        <f t="shared" si="0"/>
        <v>86498.59</v>
      </c>
      <c r="J10" s="4"/>
    </row>
    <row r="11" spans="2:12" ht="15" customHeight="1" thickBot="1" x14ac:dyDescent="0.4">
      <c r="B11" s="96" t="s">
        <v>31</v>
      </c>
      <c r="C11" s="97">
        <f>H11/H12</f>
        <v>0.10123503402550209</v>
      </c>
      <c r="D11" s="95">
        <f>SUM(D9:D10)</f>
        <v>18972.830000000002</v>
      </c>
      <c r="E11" s="95">
        <f>SUM(E9:E10)</f>
        <v>75891.28</v>
      </c>
      <c r="F11" s="95">
        <v>75891.28</v>
      </c>
      <c r="G11" s="95">
        <f>SUM(G9:G10)</f>
        <v>56918.47</v>
      </c>
      <c r="H11" s="95">
        <f>SUM(H9:H10)</f>
        <v>227673.86</v>
      </c>
    </row>
    <row r="12" spans="2:12" ht="30.75" customHeight="1" thickBot="1" x14ac:dyDescent="0.4">
      <c r="B12" s="45" t="s">
        <v>32</v>
      </c>
      <c r="C12" s="60"/>
      <c r="D12" s="51">
        <f>D8+D11</f>
        <v>187413.58999999997</v>
      </c>
      <c r="E12" s="51">
        <v>749654.38391165715</v>
      </c>
      <c r="F12" s="51">
        <v>749654.3826142858</v>
      </c>
      <c r="G12" s="51">
        <f>G8+G11</f>
        <v>562240.78999999992</v>
      </c>
      <c r="H12" s="51">
        <f>H8+H11</f>
        <v>2248963.1399999997</v>
      </c>
      <c r="K12" s="122"/>
      <c r="L12" s="122"/>
    </row>
    <row r="15" spans="2:12" x14ac:dyDescent="0.35">
      <c r="I15" s="212"/>
      <c r="J15" s="212"/>
    </row>
    <row r="16" spans="2:12" x14ac:dyDescent="0.35">
      <c r="I16" s="212"/>
      <c r="J16" s="212"/>
    </row>
    <row r="17" spans="2:12" ht="16" thickBot="1" x14ac:dyDescent="0.4">
      <c r="B17" s="42" t="s">
        <v>42</v>
      </c>
      <c r="C17" s="10"/>
      <c r="D17" s="77"/>
      <c r="E17" s="92"/>
      <c r="F17" s="92"/>
      <c r="G17" s="77"/>
      <c r="H17" s="77"/>
      <c r="I17" s="212"/>
      <c r="J17" s="212"/>
      <c r="K17" s="122"/>
    </row>
    <row r="18" spans="2:12" ht="15" customHeight="1" thickBot="1" x14ac:dyDescent="0.4">
      <c r="B18" s="43"/>
      <c r="C18" s="53" t="s">
        <v>23</v>
      </c>
      <c r="D18" s="52">
        <v>2025</v>
      </c>
      <c r="E18" s="52">
        <v>2026</v>
      </c>
      <c r="F18" s="52">
        <v>2027</v>
      </c>
      <c r="G18" s="52">
        <v>2028</v>
      </c>
      <c r="H18" s="52" t="s">
        <v>50</v>
      </c>
      <c r="I18" s="212"/>
      <c r="J18" s="212"/>
    </row>
    <row r="19" spans="2:12" ht="16" thickBot="1" x14ac:dyDescent="0.4">
      <c r="B19" s="61" t="s">
        <v>43</v>
      </c>
      <c r="C19" s="54">
        <f>H19/H22</f>
        <v>0.70634076872203322</v>
      </c>
      <c r="D19" s="46">
        <v>107581.43</v>
      </c>
      <c r="E19" s="46">
        <v>430325.71</v>
      </c>
      <c r="F19" s="46">
        <v>430325.71</v>
      </c>
      <c r="G19" s="46">
        <v>322744.28000000003</v>
      </c>
      <c r="H19" s="46">
        <f>SUM(D19:G19)</f>
        <v>1290977.1300000001</v>
      </c>
      <c r="I19" s="212"/>
      <c r="J19" s="212"/>
    </row>
    <row r="20" spans="2:12" ht="16" thickBot="1" x14ac:dyDescent="0.4">
      <c r="B20" s="61" t="s">
        <v>26</v>
      </c>
      <c r="C20" s="55">
        <f>H20/H22</f>
        <v>0.22421701641494987</v>
      </c>
      <c r="D20" s="47">
        <v>34150.06</v>
      </c>
      <c r="E20" s="47">
        <v>136600.28</v>
      </c>
      <c r="F20" s="47">
        <v>136600.28</v>
      </c>
      <c r="G20" s="47">
        <v>102450.22</v>
      </c>
      <c r="H20" s="46">
        <f>SUM(D20:G20)</f>
        <v>409800.83999999997</v>
      </c>
      <c r="I20" s="212"/>
      <c r="J20" s="212"/>
      <c r="L20" s="189"/>
    </row>
    <row r="21" spans="2:12" ht="15.5" x14ac:dyDescent="0.35">
      <c r="B21" s="62" t="s">
        <v>27</v>
      </c>
      <c r="C21" s="56">
        <f>H21/H22</f>
        <v>6.9442214863016799E-2</v>
      </c>
      <c r="D21" s="47">
        <v>10576.61</v>
      </c>
      <c r="E21" s="47">
        <v>42306.45</v>
      </c>
      <c r="F21" s="47">
        <v>42306.45</v>
      </c>
      <c r="G21" s="47">
        <v>31729.84</v>
      </c>
      <c r="H21" s="46">
        <f t="shared" ref="H21" si="1">SUM(D21:G21)</f>
        <v>126919.34999999999</v>
      </c>
      <c r="I21" s="212"/>
      <c r="J21" s="212"/>
    </row>
    <row r="22" spans="2:12" ht="15.5" x14ac:dyDescent="0.35">
      <c r="B22" s="63" t="s">
        <v>28</v>
      </c>
      <c r="C22" s="57">
        <f>H22/H26</f>
        <v>0.89866302102482964</v>
      </c>
      <c r="D22" s="48">
        <f>SUM(D19:D21)</f>
        <v>152308.09999999998</v>
      </c>
      <c r="E22" s="48">
        <f>SUM(E19:E21)</f>
        <v>609232.43999999994</v>
      </c>
      <c r="F22" s="48">
        <f>'[1]Licitació 2025'!I29</f>
        <v>609232.43731932249</v>
      </c>
      <c r="G22" s="48">
        <f>SUM(G19:G21)</f>
        <v>456924.34</v>
      </c>
      <c r="H22" s="48">
        <f>SUM(H19:H21)</f>
        <v>1827697.3200000003</v>
      </c>
      <c r="I22" s="212"/>
      <c r="J22" s="212"/>
    </row>
    <row r="23" spans="2:12" ht="15.5" x14ac:dyDescent="0.35">
      <c r="B23" s="64" t="s">
        <v>29</v>
      </c>
      <c r="C23" s="58">
        <f>H23/H25</f>
        <v>0.62045896203488471</v>
      </c>
      <c r="D23" s="49">
        <f>E23/12*3</f>
        <v>10656.317653088145</v>
      </c>
      <c r="E23" s="50">
        <f>'[1]Licitació 2025'!H30</f>
        <v>42625.270612352579</v>
      </c>
      <c r="F23" s="50">
        <f>'[1]Licitació 2025'!I30</f>
        <v>42625.270612352579</v>
      </c>
      <c r="G23" s="49">
        <v>31968.959999999999</v>
      </c>
      <c r="H23" s="49">
        <f>SUM(D23:G23)</f>
        <v>127875.8188777933</v>
      </c>
      <c r="I23" s="212"/>
      <c r="J23" s="212"/>
    </row>
    <row r="24" spans="2:12" ht="15.5" x14ac:dyDescent="0.35">
      <c r="B24" s="64" t="s">
        <v>30</v>
      </c>
      <c r="C24" s="58">
        <f>H24/H25</f>
        <v>0.37954103796511529</v>
      </c>
      <c r="D24" s="49">
        <f>E24/12*3</f>
        <v>6518.5770793167503</v>
      </c>
      <c r="E24" s="50">
        <f>'[1]Licitació 2025'!H31</f>
        <v>26074.308317267001</v>
      </c>
      <c r="F24" s="50">
        <f>'[1]Licitació 2025'!I31</f>
        <v>26074.308317267001</v>
      </c>
      <c r="G24" s="49">
        <f>F24/12*9</f>
        <v>19555.731237950251</v>
      </c>
      <c r="H24" s="49">
        <f>SUM(D24:G24)+0.01</f>
        <v>78222.934951800999</v>
      </c>
      <c r="I24" s="212"/>
      <c r="J24" s="212"/>
    </row>
    <row r="25" spans="2:12" ht="16" thickBot="1" x14ac:dyDescent="0.4">
      <c r="B25" s="44" t="s">
        <v>31</v>
      </c>
      <c r="C25" s="97">
        <f>H25/H26</f>
        <v>0.10133698108500583</v>
      </c>
      <c r="D25" s="95">
        <f>SUM(D23:D24)+0.01</f>
        <v>17174.904732404892</v>
      </c>
      <c r="E25" s="95">
        <f>'[1]Licitació 2025'!H32</f>
        <v>68699.578929619573</v>
      </c>
      <c r="F25" s="95">
        <f>'[1]Licitació 2025'!I32</f>
        <v>68699.58</v>
      </c>
      <c r="G25" s="95">
        <f>SUM(G23:G24)</f>
        <v>51524.691237950246</v>
      </c>
      <c r="H25" s="95">
        <f>SUM(H23:H24)</f>
        <v>206098.75382959429</v>
      </c>
      <c r="I25" s="212"/>
      <c r="J25" s="212"/>
    </row>
    <row r="26" spans="2:12" ht="30.75" customHeight="1" thickBot="1" x14ac:dyDescent="0.4">
      <c r="B26" s="45" t="s">
        <v>32</v>
      </c>
      <c r="C26" s="60"/>
      <c r="D26" s="51">
        <f>D22+D25</f>
        <v>169483.00473240486</v>
      </c>
      <c r="E26" s="51">
        <f>'[1]Licitació 2025'!H33</f>
        <v>677932.01624894212</v>
      </c>
      <c r="F26" s="51">
        <f>'[1]Licitació 2025'!I33</f>
        <v>677932.01731932245</v>
      </c>
      <c r="G26" s="51">
        <f>G22+G25</f>
        <v>508449.03123795026</v>
      </c>
      <c r="H26" s="51">
        <f>SUM(D26:G26)</f>
        <v>2033796.0695386196</v>
      </c>
      <c r="I26" s="212"/>
      <c r="J26" s="212"/>
    </row>
    <row r="27" spans="2:12" x14ac:dyDescent="0.35">
      <c r="I27" s="212"/>
      <c r="J27" s="212"/>
    </row>
    <row r="28" spans="2:12" x14ac:dyDescent="0.35">
      <c r="I28" s="212"/>
      <c r="J28" s="212"/>
    </row>
    <row r="29" spans="2:12" x14ac:dyDescent="0.35">
      <c r="I29" s="212"/>
      <c r="J29" s="212"/>
    </row>
    <row r="30" spans="2:12" x14ac:dyDescent="0.35">
      <c r="I30" s="212"/>
      <c r="J30" s="212"/>
    </row>
    <row r="32" spans="2:12" ht="16" thickBot="1" x14ac:dyDescent="0.4">
      <c r="B32" s="42" t="s">
        <v>49</v>
      </c>
      <c r="C32" s="10"/>
      <c r="D32" s="10"/>
      <c r="E32" s="10"/>
      <c r="F32" s="10"/>
      <c r="G32" s="10"/>
      <c r="H32" s="10"/>
    </row>
    <row r="33" spans="2:15" ht="15" customHeight="1" thickBot="1" x14ac:dyDescent="0.4">
      <c r="B33" s="43"/>
      <c r="C33" s="53" t="s">
        <v>23</v>
      </c>
      <c r="D33" s="52">
        <v>2025</v>
      </c>
      <c r="E33" s="52">
        <v>2026</v>
      </c>
      <c r="F33" s="52">
        <v>2027</v>
      </c>
      <c r="G33" s="52">
        <v>2028</v>
      </c>
      <c r="H33" s="52" t="s">
        <v>24</v>
      </c>
    </row>
    <row r="34" spans="2:15" ht="15.5" x14ac:dyDescent="0.35">
      <c r="B34" s="61" t="s">
        <v>43</v>
      </c>
      <c r="C34" s="54">
        <f>H34/H37</f>
        <v>0.70724553584322503</v>
      </c>
      <c r="D34" s="46">
        <v>94479.27</v>
      </c>
      <c r="E34" s="46">
        <v>377917.1</v>
      </c>
      <c r="F34" s="46">
        <v>377917.1</v>
      </c>
      <c r="G34" s="46">
        <v>283437.83</v>
      </c>
      <c r="H34" s="46">
        <f t="shared" ref="H34:H39" si="2">SUM(D34:G34)</f>
        <v>1133751.3</v>
      </c>
      <c r="K34" s="220"/>
      <c r="L34" s="220"/>
      <c r="M34" s="220"/>
      <c r="N34" s="220"/>
      <c r="O34" s="220"/>
    </row>
    <row r="35" spans="2:15" ht="15.5" x14ac:dyDescent="0.35">
      <c r="B35" s="61" t="s">
        <v>26</v>
      </c>
      <c r="C35" s="55">
        <f>H35/H37</f>
        <v>0.22206084531636189</v>
      </c>
      <c r="D35" s="47">
        <v>29664.6</v>
      </c>
      <c r="E35" s="47">
        <v>118658.35</v>
      </c>
      <c r="F35" s="47">
        <v>118658.35</v>
      </c>
      <c r="G35" s="47">
        <v>88993.76</v>
      </c>
      <c r="H35" s="47">
        <f t="shared" si="2"/>
        <v>355975.06000000006</v>
      </c>
      <c r="K35" s="220"/>
      <c r="L35" s="220"/>
      <c r="M35" s="220"/>
      <c r="N35" s="220"/>
      <c r="O35" s="220"/>
    </row>
    <row r="36" spans="2:15" ht="15.5" x14ac:dyDescent="0.35">
      <c r="B36" s="62" t="s">
        <v>27</v>
      </c>
      <c r="C36" s="56">
        <f>H36/H37</f>
        <v>7.0693618840413086E-2</v>
      </c>
      <c r="D36" s="47">
        <v>9443.7999999999993</v>
      </c>
      <c r="E36" s="47">
        <v>37775.18</v>
      </c>
      <c r="F36" s="47">
        <v>37775.18</v>
      </c>
      <c r="G36" s="47">
        <v>28331.38</v>
      </c>
      <c r="H36" s="47">
        <f t="shared" si="2"/>
        <v>113325.54000000001</v>
      </c>
      <c r="K36" s="220"/>
      <c r="L36" s="220"/>
      <c r="M36" s="220"/>
      <c r="N36" s="220"/>
      <c r="O36" s="220"/>
    </row>
    <row r="37" spans="2:15" ht="15.5" x14ac:dyDescent="0.35">
      <c r="B37" s="63" t="s">
        <v>28</v>
      </c>
      <c r="C37" s="57">
        <f>H37/H41</f>
        <v>0.8986340934929945</v>
      </c>
      <c r="D37" s="48">
        <f>SUM(D34:D36)</f>
        <v>133587.66999999998</v>
      </c>
      <c r="E37" s="48">
        <f t="shared" ref="E37:G37" si="3">SUM(E34:E36)</f>
        <v>534350.63</v>
      </c>
      <c r="F37" s="48">
        <f t="shared" si="3"/>
        <v>534350.63</v>
      </c>
      <c r="G37" s="48">
        <f t="shared" si="3"/>
        <v>400762.97000000003</v>
      </c>
      <c r="H37" s="48">
        <f>SUM(H34:H36)</f>
        <v>1603051.9000000001</v>
      </c>
      <c r="K37" s="220"/>
      <c r="L37" s="220"/>
      <c r="M37" s="220"/>
      <c r="N37" s="220"/>
      <c r="O37" s="220"/>
    </row>
    <row r="38" spans="2:15" ht="15.5" x14ac:dyDescent="0.35">
      <c r="B38" s="64" t="s">
        <v>29</v>
      </c>
      <c r="C38" s="58">
        <f>H38/H40</f>
        <v>0.62056725586871053</v>
      </c>
      <c r="D38" s="49">
        <v>9351.1299999999992</v>
      </c>
      <c r="E38" s="50">
        <v>37404.53</v>
      </c>
      <c r="F38" s="50">
        <v>37404.53</v>
      </c>
      <c r="G38" s="49">
        <v>28053.4</v>
      </c>
      <c r="H38" s="49">
        <f t="shared" si="2"/>
        <v>112213.59</v>
      </c>
      <c r="J38" s="4"/>
    </row>
    <row r="39" spans="2:15" ht="15.5" x14ac:dyDescent="0.35">
      <c r="B39" s="64" t="s">
        <v>30</v>
      </c>
      <c r="C39" s="58">
        <f>H39/H40</f>
        <v>0.37943274413128952</v>
      </c>
      <c r="D39" s="49">
        <v>5717.55</v>
      </c>
      <c r="E39" s="50">
        <v>22870.21</v>
      </c>
      <c r="F39" s="50">
        <v>22870.21</v>
      </c>
      <c r="G39" s="49">
        <v>17152.66</v>
      </c>
      <c r="H39" s="49">
        <f t="shared" si="2"/>
        <v>68610.63</v>
      </c>
    </row>
    <row r="40" spans="2:15" ht="16" thickBot="1" x14ac:dyDescent="0.4">
      <c r="B40" s="44" t="s">
        <v>31</v>
      </c>
      <c r="C40" s="59">
        <f>H40/H41</f>
        <v>0.10136590650700567</v>
      </c>
      <c r="D40" s="48">
        <f>SUM(D38:D39)</f>
        <v>15068.68</v>
      </c>
      <c r="E40" s="48">
        <f>SUM(E38:E39)</f>
        <v>60274.74</v>
      </c>
      <c r="F40" s="48">
        <f>SUM(F38:F39)</f>
        <v>60274.74</v>
      </c>
      <c r="G40" s="48">
        <f>SUM(G38:G39)</f>
        <v>45206.06</v>
      </c>
      <c r="H40" s="48">
        <f>SUM(H38:H39)</f>
        <v>180824.22</v>
      </c>
    </row>
    <row r="41" spans="2:15" ht="30.75" customHeight="1" thickBot="1" x14ac:dyDescent="0.4">
      <c r="B41" s="45" t="s">
        <v>32</v>
      </c>
      <c r="C41" s="60"/>
      <c r="D41" s="51">
        <f>D37+D40</f>
        <v>148656.34999999998</v>
      </c>
      <c r="E41" s="51">
        <f>E37+E40</f>
        <v>594625.37</v>
      </c>
      <c r="F41" s="51">
        <f>F37+F40</f>
        <v>594625.37</v>
      </c>
      <c r="G41" s="51">
        <f>G37+G40</f>
        <v>445969.03</v>
      </c>
      <c r="H41" s="51">
        <f>SUM(D41:G41)</f>
        <v>1783876.1199999999</v>
      </c>
      <c r="K41" s="220"/>
      <c r="L41" s="220"/>
      <c r="M41" s="220"/>
      <c r="N41" s="220"/>
    </row>
    <row r="46" spans="2:15" ht="16" thickBot="1" x14ac:dyDescent="0.4">
      <c r="B46" s="42" t="s">
        <v>52</v>
      </c>
      <c r="C46" s="10"/>
      <c r="D46" s="10"/>
      <c r="E46" s="10"/>
      <c r="F46" s="10"/>
      <c r="G46" s="10"/>
      <c r="H46" s="10"/>
    </row>
    <row r="47" spans="2:15" ht="17.5" thickBot="1" x14ac:dyDescent="0.4">
      <c r="B47" s="43"/>
      <c r="C47" s="118" t="s">
        <v>23</v>
      </c>
      <c r="D47" s="52">
        <v>2025</v>
      </c>
      <c r="E47" s="52">
        <v>2026</v>
      </c>
      <c r="F47" s="52">
        <v>2027</v>
      </c>
      <c r="G47" s="52">
        <v>2028</v>
      </c>
      <c r="H47" s="52" t="s">
        <v>50</v>
      </c>
    </row>
    <row r="48" spans="2:15" ht="15.5" x14ac:dyDescent="0.35">
      <c r="B48" s="61" t="s">
        <v>43</v>
      </c>
      <c r="C48" s="54">
        <f>H48/H51</f>
        <v>0.71968229355154811</v>
      </c>
      <c r="D48" s="46">
        <v>116121.61</v>
      </c>
      <c r="E48" s="46">
        <v>464485.92</v>
      </c>
      <c r="F48" s="46">
        <v>464485.92</v>
      </c>
      <c r="G48" s="46">
        <v>348364.41</v>
      </c>
      <c r="H48" s="225">
        <f t="shared" ref="H48:H53" si="4">SUM(D48:G48)</f>
        <v>1393457.8599999999</v>
      </c>
    </row>
    <row r="49" spans="2:12" ht="15.5" x14ac:dyDescent="0.35">
      <c r="B49" s="61" t="s">
        <v>26</v>
      </c>
      <c r="C49" s="55">
        <f>H49/H51</f>
        <v>0.2259661673191028</v>
      </c>
      <c r="D49" s="47">
        <v>36459.99</v>
      </c>
      <c r="E49" s="47">
        <v>145839.51</v>
      </c>
      <c r="F49" s="47">
        <v>145839.51</v>
      </c>
      <c r="G49" s="47">
        <v>109379.51</v>
      </c>
      <c r="H49" s="47">
        <f>SUM(D49:G49)</f>
        <v>437518.52</v>
      </c>
      <c r="J49" s="196"/>
    </row>
    <row r="50" spans="2:12" ht="15.5" x14ac:dyDescent="0.35">
      <c r="B50" s="62" t="s">
        <v>27</v>
      </c>
      <c r="C50" s="56">
        <f>H50/H51</f>
        <v>5.4351539129348987E-2</v>
      </c>
      <c r="D50" s="47">
        <v>8769.6</v>
      </c>
      <c r="E50" s="47">
        <v>35078.740000000005</v>
      </c>
      <c r="F50" s="47">
        <v>35078.740000000005</v>
      </c>
      <c r="G50" s="47">
        <v>26309.05</v>
      </c>
      <c r="H50" s="47">
        <f t="shared" si="4"/>
        <v>105236.13000000002</v>
      </c>
    </row>
    <row r="51" spans="2:12" ht="15.5" x14ac:dyDescent="0.35">
      <c r="B51" s="63" t="s">
        <v>28</v>
      </c>
      <c r="C51" s="57">
        <f>H51/H55</f>
        <v>0.90090089088248815</v>
      </c>
      <c r="D51" s="48">
        <f>SUM(D48:D50)</f>
        <v>161351.20000000001</v>
      </c>
      <c r="E51" s="48">
        <f>SUM(E48:E50)</f>
        <v>645404.16999999993</v>
      </c>
      <c r="F51" s="48">
        <f>SUM(F48:F50)</f>
        <v>645404.16999999993</v>
      </c>
      <c r="G51" s="48">
        <f>SUM(G48:G50)</f>
        <v>484052.97</v>
      </c>
      <c r="H51" s="48">
        <f>SUM(H48:H50)</f>
        <v>1936212.51</v>
      </c>
    </row>
    <row r="52" spans="2:12" ht="15.5" x14ac:dyDescent="0.35">
      <c r="B52" s="64" t="s">
        <v>29</v>
      </c>
      <c r="C52" s="58">
        <f>H52/H54</f>
        <v>0.63636353819123936</v>
      </c>
      <c r="D52" s="49">
        <v>11294.57</v>
      </c>
      <c r="E52" s="50">
        <v>45178.29</v>
      </c>
      <c r="F52" s="50">
        <v>45178.29</v>
      </c>
      <c r="G52" s="49">
        <v>33883.72</v>
      </c>
      <c r="H52" s="49">
        <f>SUM(D52:G52)</f>
        <v>135534.87</v>
      </c>
    </row>
    <row r="53" spans="2:12" ht="15.5" x14ac:dyDescent="0.35">
      <c r="B53" s="64" t="s">
        <v>30</v>
      </c>
      <c r="C53" s="58">
        <f>H53/H54</f>
        <v>0.36363646180876069</v>
      </c>
      <c r="D53" s="49">
        <v>6454.04</v>
      </c>
      <c r="E53" s="50">
        <v>25816.18</v>
      </c>
      <c r="F53" s="50">
        <v>25816.179999999997</v>
      </c>
      <c r="G53" s="49">
        <v>19362.13</v>
      </c>
      <c r="H53" s="49">
        <f t="shared" si="4"/>
        <v>77448.53</v>
      </c>
      <c r="L53" s="122"/>
    </row>
    <row r="54" spans="2:12" ht="16" thickBot="1" x14ac:dyDescent="0.4">
      <c r="B54" s="44" t="s">
        <v>31</v>
      </c>
      <c r="C54" s="59">
        <f>H54/H55</f>
        <v>9.9099109117511755E-2</v>
      </c>
      <c r="D54" s="48">
        <v>17748.61</v>
      </c>
      <c r="E54" s="48">
        <f>SUM(E52:E53)</f>
        <v>70994.47</v>
      </c>
      <c r="F54" s="48">
        <f>SUM(F52:F53)</f>
        <v>70994.47</v>
      </c>
      <c r="G54" s="48">
        <f>SUM(G52:G53)</f>
        <v>53245.850000000006</v>
      </c>
      <c r="H54" s="48">
        <f>SUM(H52:H53)</f>
        <v>212983.4</v>
      </c>
    </row>
    <row r="55" spans="2:12" ht="30.75" customHeight="1" thickBot="1" x14ac:dyDescent="0.3">
      <c r="B55" s="45" t="s">
        <v>32</v>
      </c>
      <c r="C55" s="60"/>
      <c r="D55" s="51">
        <f>D51+D54</f>
        <v>179099.81</v>
      </c>
      <c r="E55" s="51">
        <f>E51+E54</f>
        <v>716398.6399999999</v>
      </c>
      <c r="F55" s="51">
        <f>F51+F54</f>
        <v>716398.6399999999</v>
      </c>
      <c r="G55" s="51">
        <f>G51+G54</f>
        <v>537298.81999999995</v>
      </c>
      <c r="H55" s="51">
        <f>H51+H54</f>
        <v>2149195.91</v>
      </c>
    </row>
    <row r="59" spans="2:12" x14ac:dyDescent="0.35">
      <c r="K59" s="221"/>
    </row>
    <row r="60" spans="2:12" ht="16" thickBot="1" x14ac:dyDescent="0.4">
      <c r="B60" s="42" t="s">
        <v>54</v>
      </c>
      <c r="C60" s="10"/>
      <c r="D60" s="10"/>
      <c r="E60" s="10"/>
      <c r="F60" s="10"/>
      <c r="G60" s="10"/>
      <c r="H60" s="10"/>
    </row>
    <row r="61" spans="2:12" ht="17.5" thickBot="1" x14ac:dyDescent="0.4">
      <c r="B61" s="43"/>
      <c r="C61" s="118" t="s">
        <v>23</v>
      </c>
      <c r="D61" s="52">
        <v>2025</v>
      </c>
      <c r="E61" s="52">
        <v>2026</v>
      </c>
      <c r="F61" s="52">
        <v>2027</v>
      </c>
      <c r="G61" s="52">
        <v>2028</v>
      </c>
      <c r="H61" s="52" t="s">
        <v>50</v>
      </c>
    </row>
    <row r="62" spans="2:12" ht="15.5" x14ac:dyDescent="0.35">
      <c r="B62" s="61" t="s">
        <v>43</v>
      </c>
      <c r="C62" s="54">
        <f>H62/H65</f>
        <v>0.7191854490341274</v>
      </c>
      <c r="D62" s="46">
        <v>98492.37</v>
      </c>
      <c r="E62" s="46">
        <v>393969.54</v>
      </c>
      <c r="F62" s="46">
        <v>393969.54</v>
      </c>
      <c r="G62" s="46">
        <v>295477.15999999997</v>
      </c>
      <c r="H62" s="46">
        <f>SUM(D62:G62)</f>
        <v>1181908.6099999999</v>
      </c>
    </row>
    <row r="63" spans="2:12" ht="15.5" x14ac:dyDescent="0.35">
      <c r="B63" s="61" t="s">
        <v>26</v>
      </c>
      <c r="C63" s="55">
        <f>H63/H65</f>
        <v>0.22630390543072926</v>
      </c>
      <c r="D63" s="47">
        <v>30992.3</v>
      </c>
      <c r="E63" s="47">
        <v>123969.2</v>
      </c>
      <c r="F63" s="47">
        <v>123969.2</v>
      </c>
      <c r="G63" s="47">
        <v>92976.9</v>
      </c>
      <c r="H63" s="47">
        <f>SUM(D63:G63)</f>
        <v>371907.6</v>
      </c>
    </row>
    <row r="64" spans="2:12" ht="15.5" x14ac:dyDescent="0.35">
      <c r="B64" s="62" t="s">
        <v>27</v>
      </c>
      <c r="C64" s="56">
        <f>H64/H65</f>
        <v>5.4510645535143246E-2</v>
      </c>
      <c r="D64" s="47">
        <f>E64/12*3+0.01</f>
        <v>7465.2375000000011</v>
      </c>
      <c r="E64" s="47">
        <v>29860.91</v>
      </c>
      <c r="F64" s="47">
        <v>29860.91</v>
      </c>
      <c r="G64" s="47">
        <v>22395.68</v>
      </c>
      <c r="H64" s="47">
        <f>SUM(D64:G64)</f>
        <v>89582.737499999988</v>
      </c>
    </row>
    <row r="65" spans="2:8" ht="15.5" x14ac:dyDescent="0.35">
      <c r="B65" s="63" t="s">
        <v>28</v>
      </c>
      <c r="C65" s="57">
        <f>H65/H69</f>
        <v>0.90090090146073454</v>
      </c>
      <c r="D65" s="48">
        <f>SUM(D62:D64)</f>
        <v>136949.9075</v>
      </c>
      <c r="E65" s="48">
        <f>SUM(E62:E64)</f>
        <v>547799.65</v>
      </c>
      <c r="F65" s="48">
        <f>F62+F63+F64</f>
        <v>547799.65</v>
      </c>
      <c r="G65" s="48">
        <f>SUM(G62:G64)</f>
        <v>410849.73999999993</v>
      </c>
      <c r="H65" s="48">
        <f>SUM(D65:G65)</f>
        <v>1643398.9475</v>
      </c>
    </row>
    <row r="66" spans="2:8" ht="15.5" x14ac:dyDescent="0.35">
      <c r="B66" s="64" t="s">
        <v>29</v>
      </c>
      <c r="C66" s="58">
        <f>H66/H68</f>
        <v>0.63636336914774005</v>
      </c>
      <c r="D66" s="49">
        <f>E66/12*3</f>
        <v>9586.49</v>
      </c>
      <c r="E66" s="50">
        <v>38345.96</v>
      </c>
      <c r="F66" s="50">
        <v>38345.96417027586</v>
      </c>
      <c r="G66" s="49">
        <f>F66/12*9</f>
        <v>28759.473127706897</v>
      </c>
      <c r="H66" s="49">
        <f>SUM(D66:G66)-0.01</f>
        <v>115037.87729798275</v>
      </c>
    </row>
    <row r="67" spans="2:8" ht="15.5" x14ac:dyDescent="0.35">
      <c r="B67" s="64" t="s">
        <v>30</v>
      </c>
      <c r="C67" s="58">
        <f>H67/H68</f>
        <v>0.36363658461388981</v>
      </c>
      <c r="D67" s="49">
        <f>E67/12*3</f>
        <v>5478</v>
      </c>
      <c r="E67" s="50">
        <v>21912</v>
      </c>
      <c r="F67" s="50">
        <v>21912</v>
      </c>
      <c r="G67" s="49">
        <f>F67/12*9</f>
        <v>16434</v>
      </c>
      <c r="H67" s="49">
        <v>65735.997434758596</v>
      </c>
    </row>
    <row r="68" spans="2:8" ht="16" thickBot="1" x14ac:dyDescent="0.4">
      <c r="B68" s="44" t="s">
        <v>31</v>
      </c>
      <c r="C68" s="59">
        <f>H68/H69</f>
        <v>9.9099098539265476E-2</v>
      </c>
      <c r="D68" s="48">
        <f>SUM(D66:D67)</f>
        <v>15064.49</v>
      </c>
      <c r="E68" s="48">
        <v>60257.959981862063</v>
      </c>
      <c r="F68" s="48">
        <v>60257.959981862063</v>
      </c>
      <c r="G68" s="48">
        <f>SUM(G66:G67)</f>
        <v>45193.473127706893</v>
      </c>
      <c r="H68" s="48">
        <f>SUM(D68:G68)</f>
        <v>180773.88309143105</v>
      </c>
    </row>
    <row r="69" spans="2:8" ht="30.75" customHeight="1" thickBot="1" x14ac:dyDescent="0.4">
      <c r="B69" s="45" t="s">
        <v>32</v>
      </c>
      <c r="C69" s="60"/>
      <c r="D69" s="51">
        <f>D65+D68</f>
        <v>152014.39749999999</v>
      </c>
      <c r="E69" s="51">
        <f>E65+E68</f>
        <v>608057.60998186213</v>
      </c>
      <c r="F69" s="51">
        <f>F65+F68</f>
        <v>608057.60998186213</v>
      </c>
      <c r="G69" s="51">
        <f>G65+G68</f>
        <v>456043.21312770684</v>
      </c>
      <c r="H69" s="51">
        <f>SUM(D69:G69)</f>
        <v>1824172.8305914311</v>
      </c>
    </row>
    <row r="74" spans="2:8" x14ac:dyDescent="0.35">
      <c r="D74" s="122"/>
    </row>
    <row r="75" spans="2:8" x14ac:dyDescent="0.35">
      <c r="D75" s="122"/>
      <c r="E75" s="122"/>
      <c r="F75" s="122"/>
      <c r="G75" s="122"/>
      <c r="H75" s="122"/>
    </row>
  </sheetData>
  <pageMargins left="0.7" right="0.7" top="0.75" bottom="0.75" header="0.3" footer="0.3"/>
  <customProperties>
    <customPr name="EpmWorksheetKeyString_GUID" r:id="rId1"/>
  </customProperties>
  <ignoredErrors>
    <ignoredError sqref="F22 E8 H37 H40 H51 H22 F65" formula="1"/>
    <ignoredError sqref="F8:G8 D8 D22:E22 F37:G37 D37:E37 D51:F51 E54:F54 G51 G65 E65" formulaRange="1"/>
    <ignoredError sqref="G22" formula="1" formulaRange="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T124"/>
  <sheetViews>
    <sheetView showGridLines="0" topLeftCell="C61" zoomScaleNormal="100" workbookViewId="0">
      <selection activeCell="G135" sqref="G135"/>
    </sheetView>
  </sheetViews>
  <sheetFormatPr defaultRowHeight="14.5" x14ac:dyDescent="0.35"/>
  <cols>
    <col min="1" max="1" width="9.1796875" bestFit="1" customWidth="1"/>
    <col min="2" max="2" width="11.1796875" bestFit="1" customWidth="1"/>
    <col min="3" max="3" width="13.1796875" bestFit="1" customWidth="1"/>
    <col min="5" max="5" width="35.81640625" bestFit="1" customWidth="1"/>
    <col min="7" max="7" width="22" customWidth="1"/>
    <col min="8" max="8" width="21.81640625" bestFit="1" customWidth="1"/>
    <col min="9" max="9" width="18.1796875" customWidth="1"/>
    <col min="10" max="10" width="21.81640625" bestFit="1" customWidth="1"/>
    <col min="11" max="11" width="20.1796875" bestFit="1" customWidth="1"/>
    <col min="13" max="13" width="17" bestFit="1" customWidth="1"/>
    <col min="14" max="14" width="37.453125" customWidth="1"/>
    <col min="15" max="16" width="16.1796875" bestFit="1" customWidth="1"/>
    <col min="17" max="19" width="15.54296875" bestFit="1" customWidth="1"/>
    <col min="20" max="20" width="17.1796875" bestFit="1" customWidth="1"/>
  </cols>
  <sheetData>
    <row r="2" spans="2:15" ht="15" x14ac:dyDescent="0.25">
      <c r="E2" s="93" t="s">
        <v>0</v>
      </c>
    </row>
    <row r="3" spans="2:15" ht="16.5" thickBot="1" x14ac:dyDescent="0.3">
      <c r="E3" s="10"/>
      <c r="F3" s="10"/>
      <c r="G3" s="10"/>
      <c r="H3" s="10"/>
      <c r="I3" s="10"/>
      <c r="J3" s="10"/>
      <c r="K3" s="10"/>
    </row>
    <row r="4" spans="2:15" ht="16" thickBot="1" x14ac:dyDescent="0.4">
      <c r="E4" s="244" t="s">
        <v>11</v>
      </c>
      <c r="F4" s="245"/>
      <c r="G4" s="245"/>
      <c r="H4" s="245"/>
      <c r="I4" s="245"/>
      <c r="J4" s="245"/>
      <c r="K4" s="246"/>
    </row>
    <row r="5" spans="2:15" ht="15.75" x14ac:dyDescent="0.25">
      <c r="E5" s="10"/>
      <c r="F5" s="10"/>
      <c r="G5" s="10"/>
      <c r="H5" s="10"/>
      <c r="I5" s="10"/>
      <c r="J5" s="10"/>
      <c r="K5" s="10"/>
    </row>
    <row r="6" spans="2:15" ht="16.5" thickBot="1" x14ac:dyDescent="0.3">
      <c r="E6" s="11" t="s">
        <v>2</v>
      </c>
      <c r="F6" s="11"/>
      <c r="G6" s="12">
        <v>3</v>
      </c>
      <c r="H6" s="12">
        <v>12</v>
      </c>
      <c r="I6" s="12">
        <v>12</v>
      </c>
      <c r="J6" s="12">
        <v>9</v>
      </c>
      <c r="K6" s="13">
        <f>SUM(G6:J6)</f>
        <v>36</v>
      </c>
    </row>
    <row r="7" spans="2:15" ht="16" thickBot="1" x14ac:dyDescent="0.4">
      <c r="E7" s="14"/>
      <c r="F7" s="15"/>
      <c r="G7" s="69">
        <v>2025</v>
      </c>
      <c r="H7" s="69">
        <v>2026</v>
      </c>
      <c r="I7" s="69">
        <v>2027</v>
      </c>
      <c r="J7" s="14">
        <v>2028</v>
      </c>
      <c r="K7" s="16" t="s">
        <v>12</v>
      </c>
    </row>
    <row r="8" spans="2:15" ht="16" thickBot="1" x14ac:dyDescent="0.4">
      <c r="E8" s="17" t="s">
        <v>13</v>
      </c>
      <c r="F8" s="18"/>
      <c r="G8" s="18"/>
      <c r="H8" s="18"/>
      <c r="I8" s="18"/>
      <c r="J8" s="18"/>
      <c r="K8" s="19"/>
    </row>
    <row r="9" spans="2:15" ht="35.25" customHeight="1" thickBot="1" x14ac:dyDescent="0.4">
      <c r="E9" s="65" t="s">
        <v>14</v>
      </c>
      <c r="F9" s="65"/>
      <c r="G9" s="226">
        <v>186305.03</v>
      </c>
      <c r="H9" s="226">
        <v>745220.14</v>
      </c>
      <c r="I9" s="226">
        <v>745220.14</v>
      </c>
      <c r="J9" s="226">
        <v>558915.11</v>
      </c>
      <c r="K9" s="66">
        <f>SUM(G9:J9)</f>
        <v>2235660.42</v>
      </c>
      <c r="N9" s="122"/>
    </row>
    <row r="10" spans="2:15" ht="20.149999999999999" customHeight="1" thickBot="1" x14ac:dyDescent="0.4">
      <c r="E10" s="20" t="s">
        <v>15</v>
      </c>
      <c r="F10" s="21"/>
      <c r="G10" s="227">
        <f>ROUND(SUM(G9),2)</f>
        <v>186305.03</v>
      </c>
      <c r="H10" s="227">
        <f>SUM(H9)</f>
        <v>745220.14</v>
      </c>
      <c r="I10" s="227">
        <f>SUM(I9)</f>
        <v>745220.14</v>
      </c>
      <c r="J10" s="227">
        <f>ROUND(SUM(J9),2)</f>
        <v>558915.11</v>
      </c>
      <c r="K10" s="22">
        <f>SUM(K9)</f>
        <v>2235660.42</v>
      </c>
    </row>
    <row r="11" spans="2:15" ht="16" thickBot="1" x14ac:dyDescent="0.4">
      <c r="E11" s="20"/>
      <c r="F11" s="21"/>
      <c r="G11" s="228"/>
      <c r="H11" s="228"/>
      <c r="I11" s="228"/>
      <c r="J11" s="228"/>
      <c r="K11" s="24"/>
    </row>
    <row r="12" spans="2:15" ht="29.5" thickBot="1" x14ac:dyDescent="0.4">
      <c r="B12" s="209" t="s">
        <v>83</v>
      </c>
      <c r="C12" s="209" t="s">
        <v>33</v>
      </c>
      <c r="E12" s="17" t="s">
        <v>16</v>
      </c>
      <c r="F12" s="18"/>
      <c r="G12" s="26"/>
      <c r="H12" s="26"/>
      <c r="I12" s="26"/>
      <c r="J12" s="26"/>
      <c r="K12" s="27"/>
    </row>
    <row r="13" spans="2:15" ht="31.5" thickBot="1" x14ac:dyDescent="0.4">
      <c r="B13" s="207">
        <v>23.84</v>
      </c>
      <c r="C13" s="208">
        <v>186</v>
      </c>
      <c r="E13" s="65" t="s">
        <v>17</v>
      </c>
      <c r="F13" s="65"/>
      <c r="G13" s="67">
        <v>1108.56</v>
      </c>
      <c r="H13" s="67">
        <v>4434.24</v>
      </c>
      <c r="I13" s="67">
        <v>4434.24</v>
      </c>
      <c r="J13" s="67">
        <f>I13/12*J6</f>
        <v>3325.68</v>
      </c>
      <c r="K13" s="68">
        <f>SUM(G13:J13)</f>
        <v>13302.72</v>
      </c>
      <c r="M13" s="122"/>
      <c r="O13" s="116"/>
    </row>
    <row r="14" spans="2:15" ht="20.149999999999999" customHeight="1" thickBot="1" x14ac:dyDescent="0.3">
      <c r="B14" s="186"/>
      <c r="C14" s="186"/>
      <c r="E14" s="29" t="s">
        <v>18</v>
      </c>
      <c r="F14" s="30"/>
      <c r="G14" s="31">
        <f>ROUND(SUM(G13),2)</f>
        <v>1108.56</v>
      </c>
      <c r="H14" s="31">
        <f>SUM(H13)</f>
        <v>4434.24</v>
      </c>
      <c r="I14" s="31">
        <f>ROUND(SUM(I13),2)</f>
        <v>4434.24</v>
      </c>
      <c r="J14" s="31">
        <f>ROUND(SUM(J13),2)</f>
        <v>3325.68</v>
      </c>
      <c r="K14" s="22">
        <f>ROUND(SUM(G14:J14),2)</f>
        <v>13302.72</v>
      </c>
    </row>
    <row r="15" spans="2:15" ht="16.5" thickBot="1" x14ac:dyDescent="0.3">
      <c r="B15" s="247" t="s">
        <v>84</v>
      </c>
      <c r="C15" s="247"/>
      <c r="E15" s="28"/>
      <c r="F15" s="32"/>
      <c r="G15" s="33"/>
      <c r="H15" s="33"/>
      <c r="I15" s="33"/>
      <c r="J15" s="33"/>
      <c r="K15" s="33"/>
    </row>
    <row r="16" spans="2:15" ht="16" thickBot="1" x14ac:dyDescent="0.4">
      <c r="B16" s="248">
        <f>C13*3</f>
        <v>558</v>
      </c>
      <c r="C16" s="249"/>
      <c r="E16" s="70" t="s">
        <v>19</v>
      </c>
      <c r="F16" s="34"/>
      <c r="G16" s="71">
        <f>G9+G13</f>
        <v>187413.59</v>
      </c>
      <c r="H16" s="71">
        <f>H9+H13</f>
        <v>749654.38</v>
      </c>
      <c r="I16" s="71">
        <f>I10+I14</f>
        <v>749654.38</v>
      </c>
      <c r="J16" s="71">
        <f>J9+J14</f>
        <v>562240.79</v>
      </c>
      <c r="K16" s="35">
        <f>SUM(G16:J16)</f>
        <v>2248963.14</v>
      </c>
    </row>
    <row r="17" spans="2:20" ht="20.149999999999999" customHeight="1" thickBot="1" x14ac:dyDescent="0.3">
      <c r="E17" s="36" t="s">
        <v>20</v>
      </c>
      <c r="F17" s="37">
        <v>0.04</v>
      </c>
      <c r="G17" s="33">
        <v>7496.54</v>
      </c>
      <c r="H17" s="33">
        <v>29986.18</v>
      </c>
      <c r="I17" s="33">
        <v>29986.18</v>
      </c>
      <c r="J17" s="33">
        <v>22489.63</v>
      </c>
      <c r="K17" s="25">
        <v>89958.53</v>
      </c>
      <c r="M17" s="122"/>
    </row>
    <row r="18" spans="2:20" ht="16" thickBot="1" x14ac:dyDescent="0.4">
      <c r="E18" s="38" t="s">
        <v>21</v>
      </c>
      <c r="F18" s="39"/>
      <c r="G18" s="40">
        <f>G16+G17</f>
        <v>194910.13</v>
      </c>
      <c r="H18" s="40">
        <f>H16+H17</f>
        <v>779640.56</v>
      </c>
      <c r="I18" s="40">
        <f>I16+I17</f>
        <v>779640.56</v>
      </c>
      <c r="J18" s="40">
        <f>J16+J17</f>
        <v>584730.42000000004</v>
      </c>
      <c r="K18" s="41">
        <f>SUM(G18:J18)</f>
        <v>2338921.67</v>
      </c>
    </row>
    <row r="21" spans="2:20" ht="15" x14ac:dyDescent="0.25">
      <c r="E21" s="93" t="s">
        <v>41</v>
      </c>
    </row>
    <row r="22" spans="2:20" ht="16.5" thickBot="1" x14ac:dyDescent="0.3">
      <c r="B22" s="10"/>
      <c r="C22" s="10"/>
      <c r="D22" s="10"/>
      <c r="E22" s="10"/>
      <c r="F22" s="10"/>
      <c r="G22" s="77"/>
      <c r="H22" s="77"/>
      <c r="I22" s="77"/>
      <c r="J22" s="77"/>
      <c r="K22" s="77"/>
    </row>
    <row r="23" spans="2:20" ht="16" thickBot="1" x14ac:dyDescent="0.4">
      <c r="B23" s="10"/>
      <c r="C23" s="10"/>
      <c r="D23" s="10"/>
      <c r="E23" s="244" t="s">
        <v>11</v>
      </c>
      <c r="F23" s="245"/>
      <c r="G23" s="245"/>
      <c r="H23" s="245"/>
      <c r="I23" s="245"/>
      <c r="J23" s="245"/>
      <c r="K23" s="246"/>
    </row>
    <row r="24" spans="2:20" ht="15.75" x14ac:dyDescent="0.25">
      <c r="B24" s="10"/>
      <c r="C24" s="78"/>
      <c r="D24" s="79"/>
      <c r="E24" s="10"/>
      <c r="F24" s="10"/>
      <c r="G24" s="10"/>
      <c r="H24" s="10"/>
      <c r="I24" s="10"/>
      <c r="J24" s="10"/>
      <c r="K24" s="10"/>
    </row>
    <row r="25" spans="2:20" ht="16.5" thickBot="1" x14ac:dyDescent="0.3">
      <c r="B25" s="80"/>
      <c r="C25" s="81"/>
      <c r="D25" s="82"/>
      <c r="E25" s="11" t="s">
        <v>2</v>
      </c>
      <c r="F25" s="11"/>
      <c r="G25" s="12">
        <v>3</v>
      </c>
      <c r="H25" s="12">
        <v>12</v>
      </c>
      <c r="I25" s="12">
        <v>12</v>
      </c>
      <c r="J25" s="12">
        <v>9</v>
      </c>
      <c r="K25" s="13">
        <f>SUM(G25:J25)</f>
        <v>36</v>
      </c>
    </row>
    <row r="26" spans="2:20" ht="16" thickBot="1" x14ac:dyDescent="0.4">
      <c r="B26" s="10"/>
      <c r="C26" s="78"/>
      <c r="D26" s="79"/>
      <c r="E26" s="14"/>
      <c r="F26" s="15"/>
      <c r="G26" s="69">
        <v>2025</v>
      </c>
      <c r="H26" s="69">
        <v>2026</v>
      </c>
      <c r="I26" s="69">
        <v>2027</v>
      </c>
      <c r="J26" s="14">
        <v>2028</v>
      </c>
      <c r="K26" s="16" t="s">
        <v>12</v>
      </c>
    </row>
    <row r="27" spans="2:20" ht="16" thickBot="1" x14ac:dyDescent="0.4">
      <c r="B27" s="10"/>
      <c r="C27" s="78"/>
      <c r="D27" s="79"/>
      <c r="E27" s="17" t="s">
        <v>13</v>
      </c>
      <c r="F27" s="18"/>
      <c r="G27" s="18"/>
      <c r="H27" s="18"/>
      <c r="I27" s="18"/>
      <c r="J27" s="18"/>
      <c r="K27" s="19"/>
    </row>
    <row r="28" spans="2:20" ht="31.5" thickBot="1" x14ac:dyDescent="0.4">
      <c r="B28" s="10"/>
      <c r="C28" s="81"/>
      <c r="D28" s="79"/>
      <c r="E28" s="65" t="s">
        <v>14</v>
      </c>
      <c r="F28" s="65"/>
      <c r="G28" s="229">
        <v>168451.94</v>
      </c>
      <c r="H28" s="229">
        <v>673807.70000000007</v>
      </c>
      <c r="I28" s="229">
        <v>673807.70000000007</v>
      </c>
      <c r="J28" s="229">
        <v>505355.77</v>
      </c>
      <c r="K28" s="66">
        <f>SUM(G28:J28)</f>
        <v>2021423.1100000003</v>
      </c>
      <c r="P28" s="179"/>
      <c r="Q28" s="179"/>
      <c r="R28" s="179"/>
      <c r="S28" s="179"/>
      <c r="T28" s="179"/>
    </row>
    <row r="29" spans="2:20" ht="16" thickBot="1" x14ac:dyDescent="0.4">
      <c r="B29" s="10"/>
      <c r="C29" s="78"/>
      <c r="D29" s="79"/>
      <c r="E29" s="20" t="s">
        <v>15</v>
      </c>
      <c r="F29" s="21"/>
      <c r="G29" s="86">
        <f>SUM(G28)</f>
        <v>168451.94</v>
      </c>
      <c r="H29" s="86">
        <f>SUM(H28)</f>
        <v>673807.70000000007</v>
      </c>
      <c r="I29" s="86">
        <f>SUM(I28)</f>
        <v>673807.70000000007</v>
      </c>
      <c r="J29" s="86">
        <f>SUM(J28)</f>
        <v>505355.77</v>
      </c>
      <c r="K29" s="22">
        <f>SUM(G29:J29)</f>
        <v>2021423.1100000003</v>
      </c>
      <c r="P29" s="179"/>
      <c r="Q29" s="179"/>
      <c r="R29" s="179"/>
      <c r="S29" s="179"/>
      <c r="T29" s="179"/>
    </row>
    <row r="30" spans="2:20" ht="16" thickBot="1" x14ac:dyDescent="0.4">
      <c r="B30" s="10"/>
      <c r="C30" s="78"/>
      <c r="D30" s="79"/>
      <c r="E30" s="20"/>
      <c r="F30" s="21"/>
      <c r="G30" s="23"/>
      <c r="H30" s="23"/>
      <c r="I30" s="23"/>
      <c r="J30" s="23"/>
      <c r="K30" s="24"/>
    </row>
    <row r="31" spans="2:20" ht="30.75" thickBot="1" x14ac:dyDescent="0.3">
      <c r="B31" s="209" t="s">
        <v>83</v>
      </c>
      <c r="C31" s="209" t="s">
        <v>33</v>
      </c>
      <c r="E31" s="17" t="s">
        <v>16</v>
      </c>
      <c r="F31" s="18"/>
      <c r="G31" s="26"/>
      <c r="H31" s="26"/>
      <c r="I31" s="26"/>
      <c r="J31" s="26"/>
      <c r="K31" s="27"/>
    </row>
    <row r="32" spans="2:20" ht="31.5" thickBot="1" x14ac:dyDescent="0.4">
      <c r="B32" s="207">
        <v>23.84</v>
      </c>
      <c r="C32" s="208">
        <v>173</v>
      </c>
      <c r="E32" s="65" t="s">
        <v>17</v>
      </c>
      <c r="F32" s="65"/>
      <c r="G32" s="67">
        <f>H32/12*G25</f>
        <v>1031.08</v>
      </c>
      <c r="H32" s="67">
        <f>B32*C32</f>
        <v>4124.32</v>
      </c>
      <c r="I32" s="67">
        <v>4124.32</v>
      </c>
      <c r="J32" s="67">
        <f>I32/12*J25</f>
        <v>3093.24</v>
      </c>
      <c r="K32" s="68">
        <f>SUM(G32:J32)</f>
        <v>12372.96</v>
      </c>
      <c r="M32" s="122"/>
      <c r="N32" s="122"/>
      <c r="P32" s="180"/>
      <c r="Q32" s="180"/>
      <c r="R32" s="180"/>
      <c r="S32" s="180"/>
      <c r="T32" s="180"/>
    </row>
    <row r="33" spans="1:15" ht="16.5" thickBot="1" x14ac:dyDescent="0.3">
      <c r="B33" s="186"/>
      <c r="C33" s="186"/>
      <c r="D33" s="87"/>
      <c r="E33" s="29" t="s">
        <v>40</v>
      </c>
      <c r="F33" s="30"/>
      <c r="G33" s="31">
        <f>SUM(G32)</f>
        <v>1031.08</v>
      </c>
      <c r="H33" s="31">
        <v>4124.32</v>
      </c>
      <c r="I33" s="31">
        <v>4124.32</v>
      </c>
      <c r="J33" s="31">
        <f>SUM(J32)</f>
        <v>3093.24</v>
      </c>
      <c r="K33" s="22">
        <v>12372.96</v>
      </c>
    </row>
    <row r="34" spans="1:15" ht="16.5" thickBot="1" x14ac:dyDescent="0.3">
      <c r="B34" s="247" t="s">
        <v>85</v>
      </c>
      <c r="C34" s="247"/>
      <c r="D34" s="90"/>
      <c r="E34" s="28"/>
      <c r="F34" s="32"/>
      <c r="G34" s="33"/>
      <c r="H34" s="33"/>
      <c r="I34" s="33"/>
      <c r="J34" s="33"/>
      <c r="K34" s="33"/>
    </row>
    <row r="35" spans="1:15" ht="16" thickBot="1" x14ac:dyDescent="0.4">
      <c r="A35" s="1"/>
      <c r="B35" s="248">
        <f>C32*3</f>
        <v>519</v>
      </c>
      <c r="C35" s="249"/>
      <c r="D35" s="79"/>
      <c r="E35" s="70" t="s">
        <v>19</v>
      </c>
      <c r="F35" s="34"/>
      <c r="G35" s="71">
        <f>G28+G32</f>
        <v>169483.02</v>
      </c>
      <c r="H35" s="71">
        <v>677932.02</v>
      </c>
      <c r="I35" s="71">
        <v>677932.02</v>
      </c>
      <c r="J35" s="71">
        <f>J28+J33</f>
        <v>508449.01</v>
      </c>
      <c r="K35" s="35">
        <f>SUM(G35:J35)</f>
        <v>2033796.07</v>
      </c>
    </row>
    <row r="36" spans="1:15" ht="16" thickBot="1" x14ac:dyDescent="0.4">
      <c r="B36" s="204"/>
      <c r="C36" s="205"/>
      <c r="D36" s="79"/>
      <c r="E36" s="36" t="s">
        <v>20</v>
      </c>
      <c r="F36" s="37">
        <v>0.04</v>
      </c>
      <c r="G36" s="33">
        <v>6779.32</v>
      </c>
      <c r="H36" s="33">
        <v>27117.279999999999</v>
      </c>
      <c r="I36" s="33">
        <v>27117.279999999999</v>
      </c>
      <c r="J36" s="33">
        <v>20337.96</v>
      </c>
      <c r="K36" s="25">
        <f>SUM(G36:J36)</f>
        <v>81351.839999999997</v>
      </c>
      <c r="M36" s="122"/>
      <c r="N36" s="122"/>
    </row>
    <row r="37" spans="1:15" ht="16" thickBot="1" x14ac:dyDescent="0.4">
      <c r="B37" s="187"/>
      <c r="C37" s="78"/>
      <c r="D37" s="79"/>
      <c r="E37" s="38" t="s">
        <v>21</v>
      </c>
      <c r="F37" s="39"/>
      <c r="G37" s="40">
        <f>SUM(G35:G36)</f>
        <v>176262.34</v>
      </c>
      <c r="H37" s="40">
        <v>705049.3</v>
      </c>
      <c r="I37" s="40">
        <v>705049.3</v>
      </c>
      <c r="J37" s="40">
        <f>SUM(J35:J36)</f>
        <v>528786.97</v>
      </c>
      <c r="K37" s="41">
        <f>SUM(K35:K36)</f>
        <v>2115147.91</v>
      </c>
    </row>
    <row r="38" spans="1:15" ht="15.75" x14ac:dyDescent="0.25">
      <c r="B38" s="10"/>
      <c r="C38" s="78"/>
      <c r="D38" s="79"/>
      <c r="E38" s="10"/>
      <c r="F38" s="10"/>
      <c r="G38" s="77"/>
      <c r="H38" s="92"/>
      <c r="I38" s="92"/>
      <c r="J38" s="77"/>
      <c r="K38" s="77"/>
    </row>
    <row r="39" spans="1:15" ht="15.75" x14ac:dyDescent="0.25">
      <c r="B39" s="10"/>
      <c r="C39" s="78"/>
      <c r="D39" s="79"/>
      <c r="E39" s="10"/>
      <c r="F39" s="10"/>
      <c r="G39" s="77"/>
      <c r="H39" s="92"/>
      <c r="I39" s="92"/>
      <c r="J39" s="77"/>
      <c r="K39" s="77"/>
    </row>
    <row r="40" spans="1:15" ht="15" x14ac:dyDescent="0.25">
      <c r="E40" s="93" t="s">
        <v>45</v>
      </c>
    </row>
    <row r="41" spans="1:15" ht="15.75" thickBot="1" x14ac:dyDescent="0.3"/>
    <row r="42" spans="1:15" ht="16" thickBot="1" x14ac:dyDescent="0.4">
      <c r="E42" s="244" t="s">
        <v>11</v>
      </c>
      <c r="F42" s="245"/>
      <c r="G42" s="245"/>
      <c r="H42" s="245"/>
      <c r="I42" s="245"/>
      <c r="J42" s="245"/>
      <c r="K42" s="246"/>
    </row>
    <row r="43" spans="1:15" ht="15.75" x14ac:dyDescent="0.25">
      <c r="E43" s="10"/>
      <c r="F43" s="10"/>
      <c r="G43" s="10"/>
      <c r="H43" s="10"/>
      <c r="I43" s="10"/>
      <c r="J43" s="10"/>
      <c r="K43" s="10"/>
    </row>
    <row r="44" spans="1:15" ht="16.5" thickBot="1" x14ac:dyDescent="0.3">
      <c r="E44" s="11" t="s">
        <v>2</v>
      </c>
      <c r="F44" s="11"/>
      <c r="G44" s="12">
        <v>3</v>
      </c>
      <c r="H44" s="12">
        <v>12</v>
      </c>
      <c r="I44" s="12">
        <v>12</v>
      </c>
      <c r="J44" s="12">
        <v>9</v>
      </c>
      <c r="K44" s="13">
        <f>SUM(G44:J44)</f>
        <v>36</v>
      </c>
    </row>
    <row r="45" spans="1:15" ht="16" thickBot="1" x14ac:dyDescent="0.4">
      <c r="E45" s="14"/>
      <c r="F45" s="15"/>
      <c r="G45" s="15">
        <v>2025</v>
      </c>
      <c r="H45" s="15">
        <v>2026</v>
      </c>
      <c r="I45" s="15">
        <v>2027</v>
      </c>
      <c r="J45" s="15">
        <v>2028</v>
      </c>
      <c r="K45" s="16" t="s">
        <v>12</v>
      </c>
    </row>
    <row r="46" spans="1:15" ht="16.5" thickBot="1" x14ac:dyDescent="0.3">
      <c r="E46" s="17" t="s">
        <v>13</v>
      </c>
      <c r="F46" s="18"/>
      <c r="G46" s="18"/>
      <c r="H46" s="18"/>
      <c r="I46" s="18"/>
      <c r="J46" s="18"/>
      <c r="K46" s="19"/>
    </row>
    <row r="47" spans="1:15" ht="31.5" thickBot="1" x14ac:dyDescent="0.4">
      <c r="E47" s="83" t="s">
        <v>14</v>
      </c>
      <c r="F47" s="83"/>
      <c r="G47" s="84">
        <v>147720.62</v>
      </c>
      <c r="H47" s="84">
        <v>590882.49</v>
      </c>
      <c r="I47" s="84">
        <v>590882.49</v>
      </c>
      <c r="J47" s="84">
        <v>443161.88</v>
      </c>
      <c r="K47" s="85">
        <f>SUM(G47:J47)</f>
        <v>1772647.48</v>
      </c>
    </row>
    <row r="48" spans="1:15" ht="16" thickBot="1" x14ac:dyDescent="0.4">
      <c r="E48" s="20" t="s">
        <v>15</v>
      </c>
      <c r="F48" s="21"/>
      <c r="G48" s="86">
        <f>SUM(G47)</f>
        <v>147720.62</v>
      </c>
      <c r="H48" s="86">
        <f>SUM(H47)</f>
        <v>590882.49</v>
      </c>
      <c r="I48" s="86">
        <f>SUM(I47)</f>
        <v>590882.49</v>
      </c>
      <c r="J48" s="86">
        <f>SUM(J47)</f>
        <v>443161.88</v>
      </c>
      <c r="K48" s="22">
        <f>SUM(G48:J48)</f>
        <v>1772647.48</v>
      </c>
      <c r="O48" s="192"/>
    </row>
    <row r="49" spans="2:15" ht="16.5" thickBot="1" x14ac:dyDescent="0.3">
      <c r="B49" s="210"/>
      <c r="C49" s="210"/>
      <c r="E49" s="20"/>
      <c r="F49" s="21"/>
      <c r="G49" s="23"/>
      <c r="H49" s="23"/>
      <c r="I49" s="23"/>
      <c r="J49" s="23"/>
      <c r="K49" s="24"/>
    </row>
    <row r="50" spans="2:15" ht="30.75" thickBot="1" x14ac:dyDescent="0.3">
      <c r="B50" s="209" t="s">
        <v>83</v>
      </c>
      <c r="C50" s="209" t="s">
        <v>86</v>
      </c>
      <c r="E50" s="17" t="s">
        <v>16</v>
      </c>
      <c r="F50" s="18"/>
      <c r="G50" s="26"/>
      <c r="H50" s="26"/>
      <c r="I50" s="26"/>
      <c r="J50" s="26"/>
      <c r="K50" s="27"/>
    </row>
    <row r="51" spans="2:15" ht="31.5" thickBot="1" x14ac:dyDescent="0.4">
      <c r="B51" s="208">
        <v>23.84</v>
      </c>
      <c r="C51" s="208">
        <v>157</v>
      </c>
      <c r="E51" s="28" t="s">
        <v>17</v>
      </c>
      <c r="F51" s="28"/>
      <c r="G51" s="88">
        <f>H51/12*G44</f>
        <v>935.72</v>
      </c>
      <c r="H51" s="88">
        <f>C51*B51</f>
        <v>3742.88</v>
      </c>
      <c r="I51" s="88">
        <v>3742.88</v>
      </c>
      <c r="J51" s="88">
        <f>I51/12*J44</f>
        <v>2807.1600000000003</v>
      </c>
      <c r="K51" s="88">
        <f>SUM(G51:J51)</f>
        <v>11228.64</v>
      </c>
      <c r="O51" s="192"/>
    </row>
    <row r="52" spans="2:15" ht="16.5" thickBot="1" x14ac:dyDescent="0.3">
      <c r="B52" s="186"/>
      <c r="C52" s="186"/>
      <c r="E52" s="29" t="s">
        <v>40</v>
      </c>
      <c r="F52" s="30"/>
      <c r="G52" s="31">
        <f>SUM(G51)</f>
        <v>935.72</v>
      </c>
      <c r="H52" s="31">
        <v>3742.88</v>
      </c>
      <c r="I52" s="31">
        <v>3742.88</v>
      </c>
      <c r="J52" s="31">
        <f>SUM(J51)</f>
        <v>2807.1600000000003</v>
      </c>
      <c r="K52" s="22">
        <f>SUM(G52:J52)</f>
        <v>11228.64</v>
      </c>
      <c r="M52" s="122"/>
    </row>
    <row r="53" spans="2:15" ht="16.5" thickBot="1" x14ac:dyDescent="0.3">
      <c r="B53" s="186"/>
      <c r="C53" s="186"/>
      <c r="E53" s="28"/>
      <c r="F53" s="32"/>
      <c r="G53" s="33"/>
      <c r="H53" s="33"/>
      <c r="I53" s="33"/>
      <c r="J53" s="33"/>
      <c r="K53" s="33"/>
    </row>
    <row r="54" spans="2:15" ht="16" thickBot="1" x14ac:dyDescent="0.4">
      <c r="B54" s="186"/>
      <c r="C54" s="186"/>
      <c r="E54" s="17" t="s">
        <v>19</v>
      </c>
      <c r="F54" s="34"/>
      <c r="G54" s="91">
        <f>G48+G52</f>
        <v>148656.34</v>
      </c>
      <c r="H54" s="91">
        <v>594625.37</v>
      </c>
      <c r="I54" s="91">
        <v>594625.37</v>
      </c>
      <c r="J54" s="91">
        <f>J48+J52</f>
        <v>445969.04</v>
      </c>
      <c r="K54" s="35">
        <f>SUM(G54:J54)</f>
        <v>1783876.12</v>
      </c>
      <c r="N54" s="192"/>
    </row>
    <row r="55" spans="2:15" ht="16" thickBot="1" x14ac:dyDescent="0.4">
      <c r="B55" s="247" t="s">
        <v>85</v>
      </c>
      <c r="C55" s="247"/>
      <c r="E55" s="36" t="s">
        <v>20</v>
      </c>
      <c r="F55" s="37">
        <v>0.04</v>
      </c>
      <c r="G55" s="33">
        <v>5946.26</v>
      </c>
      <c r="H55" s="33">
        <v>23785.01</v>
      </c>
      <c r="I55" s="33">
        <v>23785.01</v>
      </c>
      <c r="J55" s="33">
        <v>17838.759999999998</v>
      </c>
      <c r="K55" s="25">
        <f>SUM(G55:J55)</f>
        <v>71355.039999999994</v>
      </c>
      <c r="N55" s="196"/>
      <c r="O55" s="197"/>
    </row>
    <row r="56" spans="2:15" ht="16" thickBot="1" x14ac:dyDescent="0.4">
      <c r="B56" s="248">
        <v>471</v>
      </c>
      <c r="C56" s="249"/>
      <c r="E56" s="38" t="s">
        <v>21</v>
      </c>
      <c r="F56" s="39"/>
      <c r="G56" s="40">
        <f>SUM(G54:G55)</f>
        <v>154602.6</v>
      </c>
      <c r="H56" s="40">
        <f>SUM(H54:H55)</f>
        <v>618410.38</v>
      </c>
      <c r="I56" s="40">
        <f>SUM(I54:I55)</f>
        <v>618410.38</v>
      </c>
      <c r="J56" s="40">
        <f>SUM(J54:J55)</f>
        <v>463807.8</v>
      </c>
      <c r="K56" s="41">
        <f>SUM(G56:J56)</f>
        <v>1855231.16</v>
      </c>
      <c r="M56" s="220"/>
    </row>
    <row r="57" spans="2:15" ht="15.75" x14ac:dyDescent="0.25">
      <c r="B57" s="186"/>
      <c r="C57" s="186"/>
      <c r="E57" s="10"/>
      <c r="F57" s="10"/>
      <c r="G57" s="77"/>
      <c r="H57" s="77"/>
      <c r="I57" s="77"/>
      <c r="J57" s="77"/>
      <c r="K57" s="77"/>
    </row>
    <row r="59" spans="2:15" ht="15" x14ac:dyDescent="0.25">
      <c r="E59" s="93" t="s">
        <v>51</v>
      </c>
    </row>
    <row r="60" spans="2:15" ht="15.75" thickBot="1" x14ac:dyDescent="0.3"/>
    <row r="61" spans="2:15" ht="16" thickBot="1" x14ac:dyDescent="0.4">
      <c r="E61" s="244" t="s">
        <v>11</v>
      </c>
      <c r="F61" s="245"/>
      <c r="G61" s="245"/>
      <c r="H61" s="245"/>
      <c r="I61" s="245"/>
      <c r="J61" s="245"/>
      <c r="K61" s="246"/>
    </row>
    <row r="62" spans="2:15" ht="15.75" x14ac:dyDescent="0.25">
      <c r="E62" s="10"/>
      <c r="F62" s="10"/>
      <c r="G62" s="10"/>
      <c r="H62" s="10"/>
      <c r="I62" s="10"/>
      <c r="J62" s="10"/>
      <c r="K62" s="10"/>
    </row>
    <row r="63" spans="2:15" ht="16.5" thickBot="1" x14ac:dyDescent="0.3">
      <c r="E63" s="11" t="s">
        <v>2</v>
      </c>
      <c r="F63" s="11"/>
      <c r="G63" s="12">
        <v>3</v>
      </c>
      <c r="H63" s="12">
        <v>12</v>
      </c>
      <c r="I63" s="12">
        <v>12</v>
      </c>
      <c r="J63" s="12">
        <v>9</v>
      </c>
      <c r="K63" s="13">
        <f>SUM(G63:J63)</f>
        <v>36</v>
      </c>
    </row>
    <row r="64" spans="2:15" ht="16" thickBot="1" x14ac:dyDescent="0.4">
      <c r="E64" s="14"/>
      <c r="F64" s="15"/>
      <c r="G64" s="15">
        <v>2025</v>
      </c>
      <c r="H64" s="15">
        <v>2026</v>
      </c>
      <c r="I64" s="15">
        <v>2027</v>
      </c>
      <c r="J64" s="15">
        <v>2028</v>
      </c>
      <c r="K64" s="16" t="s">
        <v>12</v>
      </c>
    </row>
    <row r="65" spans="2:15" ht="16.5" thickBot="1" x14ac:dyDescent="0.3">
      <c r="E65" s="17" t="s">
        <v>13</v>
      </c>
      <c r="F65" s="18"/>
      <c r="G65" s="18"/>
      <c r="H65" s="18"/>
      <c r="I65" s="18"/>
      <c r="J65" s="18"/>
      <c r="K65" s="19"/>
    </row>
    <row r="66" spans="2:15" ht="31.5" thickBot="1" x14ac:dyDescent="0.4">
      <c r="E66" s="83" t="s">
        <v>14</v>
      </c>
      <c r="F66" s="83"/>
      <c r="G66" s="84">
        <v>177991.25</v>
      </c>
      <c r="H66" s="84">
        <v>711964.4</v>
      </c>
      <c r="I66" s="84">
        <v>711964.4</v>
      </c>
      <c r="J66" s="84">
        <v>533973.14</v>
      </c>
      <c r="K66" s="85">
        <f>SUM(G66:J66)</f>
        <v>2135893.19</v>
      </c>
      <c r="N66" s="122"/>
      <c r="O66" s="192"/>
    </row>
    <row r="67" spans="2:15" ht="16.5" thickBot="1" x14ac:dyDescent="0.3">
      <c r="E67" s="20" t="s">
        <v>15</v>
      </c>
      <c r="F67" s="21"/>
      <c r="G67" s="86">
        <f>SUM(G66)</f>
        <v>177991.25</v>
      </c>
      <c r="H67" s="86">
        <f>SUM(H66)</f>
        <v>711964.4</v>
      </c>
      <c r="I67" s="86">
        <f>SUM(I66)</f>
        <v>711964.4</v>
      </c>
      <c r="J67" s="86">
        <f>SUM(J66)</f>
        <v>533973.14</v>
      </c>
      <c r="K67" s="22">
        <f>SUM(K66)</f>
        <v>2135893.19</v>
      </c>
      <c r="O67" s="195"/>
    </row>
    <row r="68" spans="2:15" ht="16.5" thickBot="1" x14ac:dyDescent="0.3">
      <c r="E68" s="20"/>
      <c r="F68" s="21"/>
      <c r="G68" s="23"/>
      <c r="H68" s="23"/>
      <c r="I68" s="23"/>
      <c r="J68" s="23"/>
      <c r="K68" s="24"/>
    </row>
    <row r="69" spans="2:15" ht="16.5" thickBot="1" x14ac:dyDescent="0.3">
      <c r="E69" s="17" t="s">
        <v>16</v>
      </c>
      <c r="F69" s="18"/>
      <c r="G69" s="26"/>
      <c r="H69" s="26"/>
      <c r="I69" s="26"/>
      <c r="J69" s="26"/>
      <c r="K69" s="27"/>
    </row>
    <row r="70" spans="2:15" ht="31.5" thickBot="1" x14ac:dyDescent="0.4">
      <c r="B70" s="209" t="s">
        <v>83</v>
      </c>
      <c r="C70" s="209" t="s">
        <v>33</v>
      </c>
      <c r="E70" s="28" t="s">
        <v>17</v>
      </c>
      <c r="F70" s="28"/>
      <c r="G70" s="88">
        <v>1108.56</v>
      </c>
      <c r="H70" s="88">
        <v>4434.24</v>
      </c>
      <c r="I70" s="88">
        <v>4434.24</v>
      </c>
      <c r="J70" s="88">
        <v>3325.68</v>
      </c>
      <c r="K70" s="89">
        <v>13302.72</v>
      </c>
      <c r="N70" s="180"/>
    </row>
    <row r="71" spans="2:15" ht="16.5" thickBot="1" x14ac:dyDescent="0.3">
      <c r="B71" s="211">
        <v>23.84</v>
      </c>
      <c r="C71" s="208">
        <v>186</v>
      </c>
      <c r="E71" s="29" t="s">
        <v>40</v>
      </c>
      <c r="F71" s="30"/>
      <c r="G71" s="31">
        <f>SUM(G70)</f>
        <v>1108.56</v>
      </c>
      <c r="H71" s="31">
        <v>4434.24</v>
      </c>
      <c r="I71" s="31">
        <v>4434.24</v>
      </c>
      <c r="J71" s="31">
        <f>SUM(J70)</f>
        <v>3325.68</v>
      </c>
      <c r="K71" s="22">
        <v>13302.72</v>
      </c>
    </row>
    <row r="72" spans="2:15" ht="16.5" thickBot="1" x14ac:dyDescent="0.3">
      <c r="B72" s="186"/>
      <c r="C72" s="186"/>
      <c r="E72" s="28"/>
      <c r="F72" s="32"/>
      <c r="G72" s="33"/>
      <c r="H72" s="33"/>
      <c r="I72" s="33"/>
      <c r="J72" s="33"/>
      <c r="K72" s="33"/>
    </row>
    <row r="73" spans="2:15" ht="16" thickBot="1" x14ac:dyDescent="0.4">
      <c r="B73" s="186"/>
      <c r="C73" s="186"/>
      <c r="E73" s="17" t="s">
        <v>19</v>
      </c>
      <c r="F73" s="34"/>
      <c r="G73" s="91">
        <f>G67+G71</f>
        <v>179099.81</v>
      </c>
      <c r="H73" s="91">
        <f>H67+H71</f>
        <v>716398.64</v>
      </c>
      <c r="I73" s="91">
        <f>I67+I71</f>
        <v>716398.64</v>
      </c>
      <c r="J73" s="91">
        <f>J67+J71</f>
        <v>537298.82000000007</v>
      </c>
      <c r="K73" s="35">
        <f>SUM(G73:J73)</f>
        <v>2149195.91</v>
      </c>
      <c r="M73" s="122"/>
    </row>
    <row r="74" spans="2:15" ht="16" thickBot="1" x14ac:dyDescent="0.4">
      <c r="B74" s="186"/>
      <c r="C74" s="186"/>
      <c r="E74" s="36" t="s">
        <v>20</v>
      </c>
      <c r="F74" s="37">
        <v>0.04</v>
      </c>
      <c r="G74" s="33">
        <v>7163.99</v>
      </c>
      <c r="H74" s="33">
        <v>28655.95</v>
      </c>
      <c r="I74" s="33">
        <v>28655.95</v>
      </c>
      <c r="J74" s="33">
        <f>J73*4%</f>
        <v>21491.952800000003</v>
      </c>
      <c r="K74" s="25">
        <f>SUM(G74:J74)</f>
        <v>85967.842799999999</v>
      </c>
    </row>
    <row r="75" spans="2:15" ht="16" thickBot="1" x14ac:dyDescent="0.4">
      <c r="B75" s="248" t="s">
        <v>85</v>
      </c>
      <c r="C75" s="249"/>
      <c r="E75" s="38" t="s">
        <v>21</v>
      </c>
      <c r="F75" s="39"/>
      <c r="G75" s="40">
        <f>SUM(G73:G74)</f>
        <v>186263.8</v>
      </c>
      <c r="H75" s="40">
        <f>SUM(H73:H74)</f>
        <v>745054.59</v>
      </c>
      <c r="I75" s="40">
        <f>I73+I74</f>
        <v>745054.59</v>
      </c>
      <c r="J75" s="40">
        <f>SUM(J73:J74)</f>
        <v>558790.77280000004</v>
      </c>
      <c r="K75" s="41">
        <f>SUM(K73:K74)</f>
        <v>2235163.7528000004</v>
      </c>
    </row>
    <row r="76" spans="2:15" ht="15" x14ac:dyDescent="0.25">
      <c r="B76" s="248">
        <v>558</v>
      </c>
      <c r="C76" s="249"/>
    </row>
    <row r="78" spans="2:15" x14ac:dyDescent="0.35">
      <c r="G78" s="195">
        <f>G73*4%</f>
        <v>7163.9924000000001</v>
      </c>
      <c r="H78" s="230"/>
    </row>
    <row r="79" spans="2:15" x14ac:dyDescent="0.35">
      <c r="E79" s="93" t="s">
        <v>55</v>
      </c>
    </row>
    <row r="80" spans="2:15" ht="15" thickBot="1" x14ac:dyDescent="0.4"/>
    <row r="81" spans="2:15" ht="16" thickBot="1" x14ac:dyDescent="0.4">
      <c r="E81" s="244" t="s">
        <v>11</v>
      </c>
      <c r="F81" s="245"/>
      <c r="G81" s="245"/>
      <c r="H81" s="245"/>
      <c r="I81" s="245"/>
      <c r="J81" s="245"/>
      <c r="K81" s="246"/>
      <c r="N81" s="195"/>
    </row>
    <row r="82" spans="2:15" ht="15.5" x14ac:dyDescent="0.35">
      <c r="E82" s="10"/>
      <c r="F82" s="10"/>
      <c r="G82" s="10"/>
      <c r="H82" s="10"/>
      <c r="I82" s="10"/>
      <c r="J82" s="10"/>
      <c r="K82" s="10"/>
    </row>
    <row r="83" spans="2:15" ht="16" thickBot="1" x14ac:dyDescent="0.4">
      <c r="E83" s="11" t="s">
        <v>2</v>
      </c>
      <c r="F83" s="11"/>
      <c r="G83" s="12">
        <v>3</v>
      </c>
      <c r="H83" s="12">
        <v>12</v>
      </c>
      <c r="I83" s="12">
        <v>12</v>
      </c>
      <c r="J83" s="12">
        <v>9</v>
      </c>
      <c r="K83" s="13">
        <f>SUM(G83:J83)</f>
        <v>36</v>
      </c>
    </row>
    <row r="84" spans="2:15" ht="16" thickBot="1" x14ac:dyDescent="0.4">
      <c r="E84" s="14"/>
      <c r="F84" s="15"/>
      <c r="G84" s="15">
        <v>2025</v>
      </c>
      <c r="H84" s="15">
        <v>2026</v>
      </c>
      <c r="I84" s="15">
        <v>2027</v>
      </c>
      <c r="J84" s="15">
        <v>2028</v>
      </c>
      <c r="K84" s="16" t="s">
        <v>12</v>
      </c>
      <c r="N84" s="122"/>
    </row>
    <row r="85" spans="2:15" ht="16" thickBot="1" x14ac:dyDescent="0.4">
      <c r="E85" s="17" t="s">
        <v>13</v>
      </c>
      <c r="F85" s="18"/>
      <c r="G85" s="18"/>
      <c r="H85" s="18"/>
      <c r="I85" s="18"/>
      <c r="J85" s="18"/>
      <c r="K85" s="19"/>
    </row>
    <row r="86" spans="2:15" ht="31.5" thickBot="1" x14ac:dyDescent="0.4">
      <c r="E86" s="83" t="s">
        <v>14</v>
      </c>
      <c r="F86" s="83"/>
      <c r="G86" s="84">
        <v>151108.48000000001</v>
      </c>
      <c r="H86" s="84">
        <v>604433.93000000005</v>
      </c>
      <c r="I86" s="84">
        <v>604433.93000000005</v>
      </c>
      <c r="J86" s="84">
        <v>453325.45</v>
      </c>
      <c r="K86" s="85">
        <f>SUM(G86:J86)</f>
        <v>1813301.79</v>
      </c>
    </row>
    <row r="87" spans="2:15" ht="16" thickBot="1" x14ac:dyDescent="0.4">
      <c r="E87" s="20" t="s">
        <v>15</v>
      </c>
      <c r="F87" s="21"/>
      <c r="G87" s="86">
        <f>SUM(G86)</f>
        <v>151108.48000000001</v>
      </c>
      <c r="H87" s="86">
        <f>SUM(H86)</f>
        <v>604433.93000000005</v>
      </c>
      <c r="I87" s="86">
        <f>SUM(I86)</f>
        <v>604433.93000000005</v>
      </c>
      <c r="J87" s="86">
        <f>SUM(J86)</f>
        <v>453325.45</v>
      </c>
      <c r="K87" s="22">
        <f>SUM(G87:J87)</f>
        <v>1813301.79</v>
      </c>
    </row>
    <row r="88" spans="2:15" ht="16" thickBot="1" x14ac:dyDescent="0.4">
      <c r="E88" s="20"/>
      <c r="F88" s="21"/>
      <c r="G88" s="23"/>
      <c r="H88" s="23"/>
      <c r="I88" s="23"/>
      <c r="J88" s="23"/>
      <c r="K88" s="24"/>
      <c r="O88" s="122"/>
    </row>
    <row r="89" spans="2:15" ht="16" thickBot="1" x14ac:dyDescent="0.4">
      <c r="E89" s="17" t="s">
        <v>16</v>
      </c>
      <c r="F89" s="18"/>
      <c r="G89" s="26"/>
      <c r="H89" s="26"/>
      <c r="I89" s="26"/>
      <c r="J89" s="26"/>
      <c r="K89" s="27"/>
    </row>
    <row r="90" spans="2:15" ht="31.5" thickBot="1" x14ac:dyDescent="0.4">
      <c r="B90" s="209" t="s">
        <v>83</v>
      </c>
      <c r="C90" s="209" t="s">
        <v>39</v>
      </c>
      <c r="E90" s="28" t="s">
        <v>17</v>
      </c>
      <c r="F90" s="28"/>
      <c r="G90" s="88">
        <f>H90/12*G83</f>
        <v>905.91999999999985</v>
      </c>
      <c r="H90" s="88">
        <f>B91*C91</f>
        <v>3623.68</v>
      </c>
      <c r="I90" s="88">
        <f>B91*C91</f>
        <v>3623.68</v>
      </c>
      <c r="J90" s="88">
        <f>I90/12*J83</f>
        <v>2717.7599999999998</v>
      </c>
      <c r="K90" s="89">
        <f>SUM(G90:J90)</f>
        <v>10871.039999999999</v>
      </c>
      <c r="N90" s="122"/>
    </row>
    <row r="91" spans="2:15" ht="16" thickBot="1" x14ac:dyDescent="0.4">
      <c r="B91" s="211">
        <v>23.84</v>
      </c>
      <c r="C91" s="208">
        <v>152</v>
      </c>
      <c r="E91" s="29" t="s">
        <v>40</v>
      </c>
      <c r="F91" s="30"/>
      <c r="G91" s="88">
        <f>SUM(G90)</f>
        <v>905.91999999999985</v>
      </c>
      <c r="H91" s="31">
        <f>SUM(H90)</f>
        <v>3623.68</v>
      </c>
      <c r="I91" s="31">
        <f>SUM(I90)</f>
        <v>3623.68</v>
      </c>
      <c r="J91" s="31">
        <f>SUM(J90)</f>
        <v>2717.7599999999998</v>
      </c>
      <c r="K91" s="22">
        <f>SUM(G91:J91)</f>
        <v>10871.039999999999</v>
      </c>
    </row>
    <row r="92" spans="2:15" ht="16" thickBot="1" x14ac:dyDescent="0.4">
      <c r="B92" s="203"/>
      <c r="E92" s="28"/>
      <c r="F92" s="32"/>
      <c r="G92" s="33"/>
      <c r="H92" s="33"/>
      <c r="I92" s="33"/>
      <c r="J92" s="33"/>
      <c r="K92" s="33"/>
    </row>
    <row r="93" spans="2:15" ht="16" thickBot="1" x14ac:dyDescent="0.4">
      <c r="B93" s="203"/>
      <c r="E93" s="17" t="s">
        <v>19</v>
      </c>
      <c r="F93" s="34"/>
      <c r="G93" s="91">
        <f>G87+G91</f>
        <v>152014.40000000002</v>
      </c>
      <c r="H93" s="91">
        <f>H87+H91</f>
        <v>608057.6100000001</v>
      </c>
      <c r="I93" s="91">
        <v>608057.61</v>
      </c>
      <c r="J93" s="91">
        <v>456043.21</v>
      </c>
      <c r="K93" s="35">
        <f>SUM(G93:J93)</f>
        <v>1824172.83</v>
      </c>
    </row>
    <row r="94" spans="2:15" ht="16" thickBot="1" x14ac:dyDescent="0.4">
      <c r="B94" s="248" t="s">
        <v>85</v>
      </c>
      <c r="C94" s="249"/>
      <c r="E94" s="36" t="s">
        <v>20</v>
      </c>
      <c r="F94" s="37">
        <v>0.04</v>
      </c>
      <c r="G94" s="33">
        <v>6080.58</v>
      </c>
      <c r="H94" s="33">
        <v>24322.3</v>
      </c>
      <c r="I94" s="33">
        <v>24322.3</v>
      </c>
      <c r="J94" s="33">
        <v>18241.73</v>
      </c>
      <c r="K94" s="25">
        <f>SUM(G94:J94)</f>
        <v>72966.909999999989</v>
      </c>
    </row>
    <row r="95" spans="2:15" ht="16" thickBot="1" x14ac:dyDescent="0.4">
      <c r="B95" s="248">
        <v>456</v>
      </c>
      <c r="C95" s="249"/>
      <c r="E95" s="38" t="s">
        <v>21</v>
      </c>
      <c r="F95" s="39"/>
      <c r="G95" s="40">
        <f>SUM(G93:G94)</f>
        <v>158094.98000000001</v>
      </c>
      <c r="H95" s="40">
        <f>SUM(H93:H94)</f>
        <v>632379.91000000015</v>
      </c>
      <c r="I95" s="40">
        <v>632379.91</v>
      </c>
      <c r="J95" s="40">
        <f>SUM(J93:J94)</f>
        <v>474284.94</v>
      </c>
      <c r="K95" s="41">
        <f>SUM(K93:K94)</f>
        <v>1897139.74</v>
      </c>
    </row>
    <row r="98" spans="2:16" x14ac:dyDescent="0.35">
      <c r="M98" s="212"/>
      <c r="N98" s="212"/>
    </row>
    <row r="99" spans="2:16" x14ac:dyDescent="0.35">
      <c r="M99" s="212"/>
      <c r="N99" s="212"/>
    </row>
    <row r="100" spans="2:16" x14ac:dyDescent="0.35">
      <c r="M100" s="212"/>
      <c r="N100" s="212"/>
    </row>
    <row r="101" spans="2:16" ht="15" thickBot="1" x14ac:dyDescent="0.4">
      <c r="M101" s="212"/>
      <c r="N101" s="212"/>
    </row>
    <row r="102" spans="2:16" ht="16" thickBot="1" x14ac:dyDescent="0.4">
      <c r="E102" s="244" t="s">
        <v>80</v>
      </c>
      <c r="F102" s="245"/>
      <c r="G102" s="245"/>
      <c r="H102" s="245"/>
      <c r="I102" s="245"/>
      <c r="J102" s="245"/>
      <c r="K102" s="246"/>
      <c r="M102" s="212"/>
      <c r="N102" s="212"/>
    </row>
    <row r="103" spans="2:16" ht="15.5" x14ac:dyDescent="0.35">
      <c r="E103" s="10"/>
      <c r="F103" s="10"/>
      <c r="G103" s="10"/>
      <c r="H103" s="10"/>
      <c r="I103" s="10"/>
      <c r="J103" s="10"/>
      <c r="K103" s="10"/>
      <c r="M103" s="212"/>
      <c r="N103" s="212"/>
    </row>
    <row r="104" spans="2:16" ht="16" thickBot="1" x14ac:dyDescent="0.4">
      <c r="E104" s="11" t="s">
        <v>2</v>
      </c>
      <c r="F104" s="11"/>
      <c r="G104" s="12">
        <v>3</v>
      </c>
      <c r="H104" s="12">
        <v>12</v>
      </c>
      <c r="I104" s="12">
        <v>12</v>
      </c>
      <c r="J104" s="12">
        <v>9</v>
      </c>
      <c r="K104" s="13">
        <f>SUM(G104:J104)</f>
        <v>36</v>
      </c>
      <c r="M104" s="212"/>
      <c r="N104" s="212"/>
    </row>
    <row r="105" spans="2:16" ht="16" thickBot="1" x14ac:dyDescent="0.4">
      <c r="E105" s="14"/>
      <c r="F105" s="15"/>
      <c r="G105" s="15">
        <v>2025</v>
      </c>
      <c r="H105" s="15">
        <v>2026</v>
      </c>
      <c r="I105" s="15">
        <v>2027</v>
      </c>
      <c r="J105" s="15">
        <v>2028</v>
      </c>
      <c r="K105" s="16" t="s">
        <v>12</v>
      </c>
      <c r="M105" s="212"/>
      <c r="N105" s="212"/>
    </row>
    <row r="106" spans="2:16" ht="16" thickBot="1" x14ac:dyDescent="0.4">
      <c r="E106" s="17" t="s">
        <v>13</v>
      </c>
      <c r="F106" s="18"/>
      <c r="G106" s="18"/>
      <c r="H106" s="18"/>
      <c r="I106" s="18"/>
      <c r="J106" s="18"/>
      <c r="K106" s="19"/>
      <c r="M106" s="217"/>
      <c r="N106" s="212"/>
    </row>
    <row r="107" spans="2:16" ht="31.5" thickBot="1" x14ac:dyDescent="0.4">
      <c r="E107" s="83" t="s">
        <v>14</v>
      </c>
      <c r="F107" s="83"/>
      <c r="G107" s="84">
        <f>G9+G28+G48+G67+G86</f>
        <v>831577.32</v>
      </c>
      <c r="H107" s="84">
        <f>H9+H28+H48+H67+H86</f>
        <v>3326308.66</v>
      </c>
      <c r="I107" s="84">
        <v>3326308.66</v>
      </c>
      <c r="J107" s="84">
        <f>J10+J29+J48+J67+J87</f>
        <v>2494731.35</v>
      </c>
      <c r="K107" s="84">
        <f>SUM(G107:J107)</f>
        <v>9978925.9900000002</v>
      </c>
      <c r="M107" s="217"/>
      <c r="N107" s="212"/>
      <c r="P107" s="195"/>
    </row>
    <row r="108" spans="2:16" ht="16" thickBot="1" x14ac:dyDescent="0.4">
      <c r="E108" s="20" t="s">
        <v>15</v>
      </c>
      <c r="F108" s="21"/>
      <c r="G108" s="84">
        <f>SUM(G107)</f>
        <v>831577.32</v>
      </c>
      <c r="H108" s="84">
        <f>SUM(H107)</f>
        <v>3326308.66</v>
      </c>
      <c r="I108" s="84">
        <f>SUM(I107)</f>
        <v>3326308.66</v>
      </c>
      <c r="J108" s="84">
        <f t="shared" ref="J108:K108" si="0">SUM(J107)</f>
        <v>2494731.35</v>
      </c>
      <c r="K108" s="216">
        <f t="shared" si="0"/>
        <v>9978925.9900000002</v>
      </c>
      <c r="M108" s="212"/>
      <c r="N108" s="212"/>
    </row>
    <row r="109" spans="2:16" ht="16" thickBot="1" x14ac:dyDescent="0.4">
      <c r="E109" s="20"/>
      <c r="F109" s="21"/>
      <c r="G109" s="23"/>
      <c r="H109" s="23"/>
      <c r="I109" s="23"/>
      <c r="J109" s="23"/>
      <c r="K109" s="24"/>
      <c r="M109" s="212"/>
      <c r="N109" s="212"/>
    </row>
    <row r="110" spans="2:16" ht="29.5" thickBot="1" x14ac:dyDescent="0.4">
      <c r="B110" s="209" t="s">
        <v>38</v>
      </c>
      <c r="C110" s="209" t="s">
        <v>87</v>
      </c>
      <c r="E110" s="17" t="s">
        <v>16</v>
      </c>
      <c r="F110" s="18"/>
      <c r="G110" s="26"/>
      <c r="H110" s="26"/>
      <c r="I110" s="26"/>
      <c r="J110" s="26"/>
      <c r="K110" s="27"/>
      <c r="M110" s="217"/>
      <c r="N110" s="212"/>
    </row>
    <row r="111" spans="2:16" ht="31.5" thickBot="1" x14ac:dyDescent="0.4">
      <c r="B111" s="211">
        <v>23.84</v>
      </c>
      <c r="C111" s="208">
        <v>2562</v>
      </c>
      <c r="E111" s="28" t="s">
        <v>17</v>
      </c>
      <c r="F111" s="28"/>
      <c r="G111" s="88">
        <f>G13+G32+G51+G71+G91</f>
        <v>5089.84</v>
      </c>
      <c r="H111" s="88">
        <f>H13+H32+H51+H70+H90</f>
        <v>20359.36</v>
      </c>
      <c r="I111" s="88">
        <v>20359.36</v>
      </c>
      <c r="J111" s="88">
        <f>J13+J32+J51+J71+J91</f>
        <v>15269.52</v>
      </c>
      <c r="K111" s="88">
        <f>SUM(G111:J111)</f>
        <v>61078.080000000002</v>
      </c>
      <c r="M111" s="218"/>
      <c r="N111" s="212"/>
      <c r="O111" s="122"/>
    </row>
    <row r="112" spans="2:16" ht="16" thickBot="1" x14ac:dyDescent="0.4">
      <c r="E112" s="29" t="s">
        <v>40</v>
      </c>
      <c r="F112" s="30"/>
      <c r="G112" s="31">
        <f>SUM(G111)</f>
        <v>5089.84</v>
      </c>
      <c r="H112" s="31">
        <f t="shared" ref="H112:K112" si="1">SUM(H111)</f>
        <v>20359.36</v>
      </c>
      <c r="I112" s="31">
        <f t="shared" si="1"/>
        <v>20359.36</v>
      </c>
      <c r="J112" s="31">
        <f t="shared" si="1"/>
        <v>15269.52</v>
      </c>
      <c r="K112" s="31">
        <f t="shared" si="1"/>
        <v>61078.080000000002</v>
      </c>
      <c r="M112" s="219"/>
      <c r="N112" s="212"/>
    </row>
    <row r="113" spans="2:14" ht="16" thickBot="1" x14ac:dyDescent="0.4">
      <c r="E113" s="28"/>
      <c r="F113" s="32"/>
      <c r="G113" s="33"/>
      <c r="H113" s="33"/>
      <c r="I113" s="33"/>
      <c r="J113" s="33"/>
      <c r="K113" s="33"/>
      <c r="M113" s="218"/>
      <c r="N113" s="212"/>
    </row>
    <row r="114" spans="2:14" ht="16" thickBot="1" x14ac:dyDescent="0.4">
      <c r="B114" t="e">
        <f>B16+B35+B56+B75+B94</f>
        <v>#VALUE!</v>
      </c>
      <c r="E114" s="17" t="s">
        <v>19</v>
      </c>
      <c r="F114" s="34"/>
      <c r="G114" s="91">
        <f>G107+G111</f>
        <v>836667.15999999992</v>
      </c>
      <c r="H114" s="91">
        <f>H107+H111</f>
        <v>3346668.02</v>
      </c>
      <c r="I114" s="91">
        <f>I108+I112</f>
        <v>3346668.02</v>
      </c>
      <c r="J114" s="91">
        <f>J108+J112</f>
        <v>2510000.87</v>
      </c>
      <c r="K114" s="91">
        <f>SUM(G114:J114)</f>
        <v>10040004.07</v>
      </c>
      <c r="M114" s="218"/>
      <c r="N114" s="212"/>
    </row>
    <row r="115" spans="2:14" ht="16" thickBot="1" x14ac:dyDescent="0.4">
      <c r="E115" s="36" t="s">
        <v>20</v>
      </c>
      <c r="F115" s="37">
        <v>0.04</v>
      </c>
      <c r="G115" s="33">
        <v>33466.69</v>
      </c>
      <c r="H115" s="33">
        <v>133866.72</v>
      </c>
      <c r="I115" s="33">
        <v>133866.72</v>
      </c>
      <c r="J115" s="33">
        <f>J114*4%</f>
        <v>100400.03480000001</v>
      </c>
      <c r="K115" s="33">
        <f>SUM(G115:J115)</f>
        <v>401600.16480000003</v>
      </c>
      <c r="M115" s="218"/>
      <c r="N115" s="212"/>
    </row>
    <row r="116" spans="2:14" ht="16" thickBot="1" x14ac:dyDescent="0.4">
      <c r="E116" s="38" t="s">
        <v>21</v>
      </c>
      <c r="F116" s="39"/>
      <c r="G116" s="40">
        <f>G114+G115</f>
        <v>870133.84999999986</v>
      </c>
      <c r="H116" s="40">
        <f>H114+H115</f>
        <v>3480534.74</v>
      </c>
      <c r="I116" s="40">
        <f t="shared" ref="I116:J116" si="2">I114+I115</f>
        <v>3480534.74</v>
      </c>
      <c r="J116" s="40">
        <f t="shared" si="2"/>
        <v>2610400.9048000001</v>
      </c>
      <c r="K116" s="40">
        <f>K114+K115</f>
        <v>10441604.2348</v>
      </c>
      <c r="M116" s="231"/>
      <c r="N116" s="212"/>
    </row>
    <row r="117" spans="2:14" x14ac:dyDescent="0.35">
      <c r="M117" s="212"/>
      <c r="N117" s="223"/>
    </row>
    <row r="118" spans="2:14" x14ac:dyDescent="0.35">
      <c r="G118" s="122"/>
      <c r="H118" s="122"/>
      <c r="I118" s="122"/>
      <c r="J118" s="122"/>
      <c r="K118" s="122"/>
      <c r="M118" s="212"/>
      <c r="N118" s="212"/>
    </row>
    <row r="119" spans="2:14" x14ac:dyDescent="0.35">
      <c r="G119" s="196"/>
      <c r="H119" s="196"/>
      <c r="M119" s="212"/>
      <c r="N119" s="212"/>
    </row>
    <row r="120" spans="2:14" x14ac:dyDescent="0.35">
      <c r="M120" s="212"/>
      <c r="N120" s="212"/>
    </row>
    <row r="121" spans="2:14" x14ac:dyDescent="0.35">
      <c r="G121" s="196"/>
      <c r="K121" s="221"/>
      <c r="M121" s="212"/>
      <c r="N121" s="212"/>
    </row>
    <row r="122" spans="2:14" x14ac:dyDescent="0.35">
      <c r="H122" s="122"/>
      <c r="J122" s="196"/>
      <c r="M122" s="212"/>
      <c r="N122" s="212"/>
    </row>
    <row r="123" spans="2:14" x14ac:dyDescent="0.35">
      <c r="M123" s="222"/>
      <c r="N123" s="212"/>
    </row>
    <row r="124" spans="2:14" x14ac:dyDescent="0.35">
      <c r="M124" s="212"/>
      <c r="N124" s="212"/>
    </row>
  </sheetData>
  <mergeCells count="16">
    <mergeCell ref="B56:C56"/>
    <mergeCell ref="B75:C75"/>
    <mergeCell ref="B76:C76"/>
    <mergeCell ref="B94:C94"/>
    <mergeCell ref="B95:C95"/>
    <mergeCell ref="B15:C15"/>
    <mergeCell ref="B16:C16"/>
    <mergeCell ref="B34:C34"/>
    <mergeCell ref="B35:C35"/>
    <mergeCell ref="B55:C55"/>
    <mergeCell ref="E102:K102"/>
    <mergeCell ref="E61:K61"/>
    <mergeCell ref="E4:K4"/>
    <mergeCell ref="E23:K23"/>
    <mergeCell ref="E42:K42"/>
    <mergeCell ref="E81:K81"/>
  </mergeCells>
  <pageMargins left="0.7" right="0.7" top="0.75" bottom="0.75" header="0.3" footer="0.3"/>
  <pageSetup paperSize="9" orientation="portrait" verticalDpi="0" r:id="rId1"/>
  <customProperties>
    <customPr name="EpmWorksheetKeyString_GUID" r:id="rId2"/>
  </customProperties>
  <ignoredErrors>
    <ignoredError sqref="J10 H14 I75" formula="1"/>
    <ignoredError sqref="K36 K74 K94 K115 K55" formulaRange="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0A8A4"/>
  </sheetPr>
  <dimension ref="B2:L84"/>
  <sheetViews>
    <sheetView showGridLines="0" topLeftCell="A67" zoomScale="115" zoomScaleNormal="115" workbookViewId="0">
      <selection activeCell="E91" sqref="E91"/>
    </sheetView>
  </sheetViews>
  <sheetFormatPr defaultRowHeight="14.5" x14ac:dyDescent="0.35"/>
  <cols>
    <col min="2" max="2" width="22.81640625" customWidth="1"/>
    <col min="3" max="3" width="19.81640625" bestFit="1" customWidth="1"/>
    <col min="4" max="4" width="19.1796875" bestFit="1" customWidth="1"/>
    <col min="5" max="5" width="17.1796875" bestFit="1" customWidth="1"/>
    <col min="6" max="6" width="18" bestFit="1" customWidth="1"/>
    <col min="8" max="8" width="15.54296875" bestFit="1" customWidth="1"/>
    <col min="9" max="9" width="28.54296875" customWidth="1"/>
    <col min="10" max="10" width="25.81640625" customWidth="1"/>
    <col min="11" max="11" width="18.81640625" customWidth="1"/>
  </cols>
  <sheetData>
    <row r="2" spans="2:10" ht="15" x14ac:dyDescent="0.25">
      <c r="B2" t="s">
        <v>0</v>
      </c>
    </row>
    <row r="4" spans="2:10" ht="50.15" customHeight="1" x14ac:dyDescent="0.35">
      <c r="B4" s="206" t="s">
        <v>1</v>
      </c>
      <c r="C4" s="206" t="s">
        <v>34</v>
      </c>
      <c r="D4" s="206" t="s">
        <v>35</v>
      </c>
      <c r="E4" s="206" t="s">
        <v>36</v>
      </c>
      <c r="F4" s="206" t="s">
        <v>82</v>
      </c>
      <c r="J4" s="192"/>
    </row>
    <row r="5" spans="2:10" x14ac:dyDescent="0.35">
      <c r="B5" s="73">
        <v>2025</v>
      </c>
      <c r="C5" s="74">
        <f>'Execució 5 lots'!$G$16</f>
        <v>187413.59</v>
      </c>
      <c r="D5" s="75"/>
      <c r="E5" s="74"/>
      <c r="F5" s="74">
        <f>SUM(C5:E5)</f>
        <v>187413.59</v>
      </c>
    </row>
    <row r="6" spans="2:10" x14ac:dyDescent="0.35">
      <c r="B6" s="73">
        <v>2026</v>
      </c>
      <c r="C6" s="74">
        <f>'Execució 5 lots'!$H$16</f>
        <v>749654.38</v>
      </c>
      <c r="D6" s="75"/>
      <c r="E6" s="74"/>
      <c r="F6" s="74">
        <f t="shared" ref="F6:F11" si="0">SUM(C6:E6)</f>
        <v>749654.38</v>
      </c>
    </row>
    <row r="7" spans="2:10" x14ac:dyDescent="0.35">
      <c r="B7" s="73">
        <v>2027</v>
      </c>
      <c r="C7" s="74">
        <f>'Execució 5 lots'!$H$16</f>
        <v>749654.38</v>
      </c>
      <c r="D7" s="75"/>
      <c r="E7" s="74"/>
      <c r="F7" s="74">
        <f t="shared" si="0"/>
        <v>749654.38</v>
      </c>
    </row>
    <row r="8" spans="2:10" x14ac:dyDescent="0.35">
      <c r="B8" s="73">
        <v>2028</v>
      </c>
      <c r="C8" s="74">
        <f>'Execució 5 lots'!$J$16</f>
        <v>562240.79</v>
      </c>
      <c r="D8" s="74">
        <f>C5</f>
        <v>187413.59</v>
      </c>
      <c r="E8" s="74"/>
      <c r="F8" s="74">
        <f t="shared" si="0"/>
        <v>749654.38</v>
      </c>
    </row>
    <row r="9" spans="2:10" x14ac:dyDescent="0.35">
      <c r="B9" s="73">
        <v>2029</v>
      </c>
      <c r="C9" s="75"/>
      <c r="D9" s="74">
        <v>749654.38</v>
      </c>
      <c r="E9" s="74"/>
      <c r="F9" s="74">
        <f t="shared" si="0"/>
        <v>749654.38</v>
      </c>
      <c r="I9" s="122"/>
      <c r="J9" s="196"/>
    </row>
    <row r="10" spans="2:10" x14ac:dyDescent="0.35">
      <c r="B10" s="73">
        <v>2030</v>
      </c>
      <c r="C10" s="75"/>
      <c r="D10" s="74">
        <f>$C$8</f>
        <v>562240.79</v>
      </c>
      <c r="E10" s="74"/>
      <c r="F10" s="74">
        <f t="shared" si="0"/>
        <v>562240.79</v>
      </c>
    </row>
    <row r="11" spans="2:10" ht="16.5" customHeight="1" x14ac:dyDescent="0.35">
      <c r="B11" s="73" t="s">
        <v>46</v>
      </c>
      <c r="C11" s="75"/>
      <c r="D11" s="74"/>
      <c r="E11" s="74">
        <v>2660.54</v>
      </c>
      <c r="F11" s="74">
        <f t="shared" si="0"/>
        <v>2660.54</v>
      </c>
      <c r="I11" s="192"/>
    </row>
    <row r="12" spans="2:10" x14ac:dyDescent="0.35">
      <c r="B12" s="72" t="s">
        <v>37</v>
      </c>
      <c r="C12" s="76">
        <f>SUM(C5:C11)</f>
        <v>2248963.14</v>
      </c>
      <c r="D12" s="76">
        <f>SUM(D8:D11)</f>
        <v>1499308.76</v>
      </c>
      <c r="E12" s="76">
        <v>2660.5439999999999</v>
      </c>
      <c r="F12" s="76">
        <f>SUM(F5:F11)</f>
        <v>3750932.44</v>
      </c>
      <c r="J12" s="122"/>
    </row>
    <row r="16" spans="2:10" ht="15" x14ac:dyDescent="0.25">
      <c r="B16" s="111" t="s">
        <v>41</v>
      </c>
      <c r="C16" s="112"/>
      <c r="D16" s="112"/>
      <c r="E16" s="112"/>
      <c r="F16" s="112"/>
    </row>
    <row r="17" spans="2:10" ht="43.5" x14ac:dyDescent="0.35">
      <c r="B17" s="206" t="s">
        <v>1</v>
      </c>
      <c r="C17" s="206" t="s">
        <v>34</v>
      </c>
      <c r="D17" s="206" t="s">
        <v>35</v>
      </c>
      <c r="E17" s="206" t="s">
        <v>36</v>
      </c>
      <c r="F17" s="206" t="s">
        <v>82</v>
      </c>
    </row>
    <row r="18" spans="2:10" x14ac:dyDescent="0.35">
      <c r="B18" s="73">
        <v>2025</v>
      </c>
      <c r="C18" s="113">
        <f>'Execució 5 lots'!$G$35</f>
        <v>169483.02</v>
      </c>
      <c r="D18" s="114"/>
      <c r="E18" s="114"/>
      <c r="F18" s="113">
        <f>SUM(C18:E18)</f>
        <v>169483.02</v>
      </c>
    </row>
    <row r="19" spans="2:10" x14ac:dyDescent="0.35">
      <c r="B19" s="73">
        <v>2026</v>
      </c>
      <c r="C19" s="113">
        <f>'Execució 5 lots'!$H$35</f>
        <v>677932.02</v>
      </c>
      <c r="D19" s="114"/>
      <c r="E19" s="114"/>
      <c r="F19" s="113">
        <f t="shared" ref="F19:F24" si="1">SUM(C19:E19)</f>
        <v>677932.02</v>
      </c>
    </row>
    <row r="20" spans="2:10" x14ac:dyDescent="0.35">
      <c r="B20" s="73">
        <v>2027</v>
      </c>
      <c r="C20" s="113">
        <f>'Execució 5 lots'!$H$35</f>
        <v>677932.02</v>
      </c>
      <c r="D20" s="114"/>
      <c r="E20" s="114"/>
      <c r="F20" s="113">
        <f t="shared" si="1"/>
        <v>677932.02</v>
      </c>
    </row>
    <row r="21" spans="2:10" x14ac:dyDescent="0.35">
      <c r="B21" s="73">
        <v>2028</v>
      </c>
      <c r="C21" s="113">
        <f>'Execució 5 lots'!$J$35</f>
        <v>508449.01</v>
      </c>
      <c r="D21" s="113">
        <f>$C$18</f>
        <v>169483.02</v>
      </c>
      <c r="E21" s="113"/>
      <c r="F21" s="113">
        <f t="shared" si="1"/>
        <v>677932.03</v>
      </c>
    </row>
    <row r="22" spans="2:10" x14ac:dyDescent="0.35">
      <c r="B22" s="73">
        <v>2029</v>
      </c>
      <c r="C22" s="114"/>
      <c r="D22" s="113">
        <f>'Execució 5 lots'!$H$35</f>
        <v>677932.02</v>
      </c>
      <c r="E22" s="113"/>
      <c r="F22" s="113">
        <f t="shared" si="1"/>
        <v>677932.02</v>
      </c>
    </row>
    <row r="23" spans="2:10" x14ac:dyDescent="0.35">
      <c r="B23" s="73">
        <v>2030</v>
      </c>
      <c r="C23" s="114"/>
      <c r="D23" s="113">
        <f>'Execució 5 lots'!$J$35</f>
        <v>508449.01</v>
      </c>
      <c r="E23" s="113"/>
      <c r="F23" s="113">
        <f t="shared" si="1"/>
        <v>508449.01</v>
      </c>
      <c r="J23" s="4"/>
    </row>
    <row r="24" spans="2:10" x14ac:dyDescent="0.35">
      <c r="B24" s="73" t="s">
        <v>46</v>
      </c>
      <c r="C24" s="114"/>
      <c r="D24" s="113"/>
      <c r="E24" s="113">
        <v>2474.59</v>
      </c>
      <c r="F24" s="113">
        <f t="shared" si="1"/>
        <v>2474.59</v>
      </c>
    </row>
    <row r="25" spans="2:10" x14ac:dyDescent="0.35">
      <c r="B25" s="72" t="s">
        <v>37</v>
      </c>
      <c r="C25" s="115">
        <f>SUM(C18:C24)</f>
        <v>2033796.07</v>
      </c>
      <c r="D25" s="115">
        <f>SUM(D21:D24)</f>
        <v>1355864.05</v>
      </c>
      <c r="E25" s="115">
        <v>2474.59</v>
      </c>
      <c r="F25" s="115">
        <f>SUM(F18:F24)</f>
        <v>3392134.71</v>
      </c>
    </row>
    <row r="26" spans="2:10" x14ac:dyDescent="0.35">
      <c r="D26" s="122"/>
    </row>
    <row r="30" spans="2:10" x14ac:dyDescent="0.35">
      <c r="B30" s="111" t="s">
        <v>45</v>
      </c>
      <c r="C30" s="112"/>
      <c r="D30" s="112"/>
      <c r="E30" s="112"/>
      <c r="F30" s="112"/>
    </row>
    <row r="31" spans="2:10" ht="43.5" x14ac:dyDescent="0.35">
      <c r="B31" s="206" t="s">
        <v>1</v>
      </c>
      <c r="C31" s="206" t="s">
        <v>34</v>
      </c>
      <c r="D31" s="206" t="s">
        <v>35</v>
      </c>
      <c r="E31" s="206" t="s">
        <v>36</v>
      </c>
      <c r="F31" s="206" t="s">
        <v>82</v>
      </c>
    </row>
    <row r="32" spans="2:10" x14ac:dyDescent="0.35">
      <c r="B32" s="73">
        <v>2025</v>
      </c>
      <c r="C32" s="113">
        <v>148656.34</v>
      </c>
      <c r="D32" s="215"/>
      <c r="E32" s="215"/>
      <c r="F32" s="113">
        <f>SUM(C32:E32)</f>
        <v>148656.34</v>
      </c>
    </row>
    <row r="33" spans="2:10" x14ac:dyDescent="0.35">
      <c r="B33" s="73">
        <v>2026</v>
      </c>
      <c r="C33" s="113">
        <f>'Execució 5 lots'!$H$54</f>
        <v>594625.37</v>
      </c>
      <c r="D33" s="215"/>
      <c r="E33" s="215"/>
      <c r="F33" s="113">
        <f t="shared" ref="F33:F38" si="2">SUM(C33:E33)</f>
        <v>594625.37</v>
      </c>
    </row>
    <row r="34" spans="2:10" x14ac:dyDescent="0.35">
      <c r="B34" s="73">
        <v>2027</v>
      </c>
      <c r="C34" s="113">
        <f>'Execució 5 lots'!$H$54</f>
        <v>594625.37</v>
      </c>
      <c r="D34" s="215"/>
      <c r="E34" s="215"/>
      <c r="F34" s="113">
        <f t="shared" si="2"/>
        <v>594625.37</v>
      </c>
      <c r="J34" s="192"/>
    </row>
    <row r="35" spans="2:10" x14ac:dyDescent="0.35">
      <c r="B35" s="73">
        <v>2028</v>
      </c>
      <c r="C35" s="113">
        <f>'Execució 5 lots'!$J$54</f>
        <v>445969.04</v>
      </c>
      <c r="D35" s="113">
        <v>148656.34</v>
      </c>
      <c r="E35" s="214"/>
      <c r="F35" s="113">
        <f t="shared" si="2"/>
        <v>594625.38</v>
      </c>
    </row>
    <row r="36" spans="2:10" x14ac:dyDescent="0.35">
      <c r="B36" s="73">
        <v>2029</v>
      </c>
      <c r="C36" s="114"/>
      <c r="D36" s="113">
        <f>'Execució 5 lots'!$H$54</f>
        <v>594625.37</v>
      </c>
      <c r="E36" s="214"/>
      <c r="F36" s="113">
        <f t="shared" si="2"/>
        <v>594625.37</v>
      </c>
    </row>
    <row r="37" spans="2:10" x14ac:dyDescent="0.35">
      <c r="B37" s="73">
        <v>2030</v>
      </c>
      <c r="C37" s="114"/>
      <c r="D37" s="113">
        <f>'Execució 5 lots'!$J$54</f>
        <v>445969.04</v>
      </c>
      <c r="E37" s="214"/>
      <c r="F37" s="113">
        <f t="shared" si="2"/>
        <v>445969.04</v>
      </c>
    </row>
    <row r="38" spans="2:10" x14ac:dyDescent="0.35">
      <c r="B38" s="73" t="s">
        <v>46</v>
      </c>
      <c r="C38" s="114"/>
      <c r="D38" s="113"/>
      <c r="E38" s="113">
        <v>2245.73</v>
      </c>
      <c r="F38" s="113">
        <f t="shared" si="2"/>
        <v>2245.73</v>
      </c>
    </row>
    <row r="39" spans="2:10" x14ac:dyDescent="0.35">
      <c r="B39" s="72" t="s">
        <v>37</v>
      </c>
      <c r="C39" s="115">
        <f>SUM(C32:C38)</f>
        <v>1783876.12</v>
      </c>
      <c r="D39" s="115">
        <f>SUM(D35:D38)</f>
        <v>1189250.75</v>
      </c>
      <c r="E39" s="115">
        <f>SUM(E38)</f>
        <v>2245.73</v>
      </c>
      <c r="F39" s="115">
        <f>SUM(F32:F38)</f>
        <v>2975372.6</v>
      </c>
    </row>
    <row r="40" spans="2:10" x14ac:dyDescent="0.35">
      <c r="D40" s="192"/>
    </row>
    <row r="43" spans="2:10" x14ac:dyDescent="0.35">
      <c r="B43" s="111" t="s">
        <v>51</v>
      </c>
      <c r="C43" s="112"/>
      <c r="D43" s="112"/>
      <c r="E43" s="112"/>
      <c r="F43" s="112"/>
    </row>
    <row r="44" spans="2:10" ht="43.5" x14ac:dyDescent="0.35">
      <c r="B44" s="206" t="s">
        <v>1</v>
      </c>
      <c r="C44" s="206" t="s">
        <v>34</v>
      </c>
      <c r="D44" s="206" t="s">
        <v>35</v>
      </c>
      <c r="E44" s="206" t="s">
        <v>36</v>
      </c>
      <c r="F44" s="206" t="s">
        <v>82</v>
      </c>
      <c r="J44" s="122"/>
    </row>
    <row r="45" spans="2:10" x14ac:dyDescent="0.35">
      <c r="B45" s="73">
        <v>2025</v>
      </c>
      <c r="C45" s="113">
        <v>179099.81</v>
      </c>
      <c r="D45" s="114"/>
      <c r="E45" s="114"/>
      <c r="F45" s="113">
        <f>SUM(C45:E45)</f>
        <v>179099.81</v>
      </c>
    </row>
    <row r="46" spans="2:10" x14ac:dyDescent="0.35">
      <c r="B46" s="73">
        <v>2026</v>
      </c>
      <c r="C46" s="113">
        <f>'Execució 5 lots'!$H$73</f>
        <v>716398.64</v>
      </c>
      <c r="D46" s="114"/>
      <c r="E46" s="114"/>
      <c r="F46" s="113">
        <f t="shared" ref="F46:F51" si="3">SUM(C46:E46)</f>
        <v>716398.64</v>
      </c>
    </row>
    <row r="47" spans="2:10" x14ac:dyDescent="0.35">
      <c r="B47" s="73">
        <v>2027</v>
      </c>
      <c r="C47" s="113">
        <v>716398.64</v>
      </c>
      <c r="D47" s="114"/>
      <c r="E47" s="114"/>
      <c r="F47" s="113">
        <f t="shared" si="3"/>
        <v>716398.64</v>
      </c>
    </row>
    <row r="48" spans="2:10" x14ac:dyDescent="0.35">
      <c r="B48" s="73">
        <v>2028</v>
      </c>
      <c r="C48" s="113">
        <f>'Execució 5 lots'!$J$73</f>
        <v>537298.82000000007</v>
      </c>
      <c r="D48" s="113">
        <v>179099.81</v>
      </c>
      <c r="E48" s="113"/>
      <c r="F48" s="113">
        <f t="shared" si="3"/>
        <v>716398.63000000012</v>
      </c>
    </row>
    <row r="49" spans="2:11" x14ac:dyDescent="0.35">
      <c r="B49" s="73">
        <v>2029</v>
      </c>
      <c r="C49" s="114"/>
      <c r="D49" s="113">
        <f>$C$46</f>
        <v>716398.64</v>
      </c>
      <c r="E49" s="113"/>
      <c r="F49" s="113">
        <f t="shared" si="3"/>
        <v>716398.64</v>
      </c>
    </row>
    <row r="50" spans="2:11" x14ac:dyDescent="0.35">
      <c r="B50" s="73">
        <v>2030</v>
      </c>
      <c r="C50" s="114"/>
      <c r="D50" s="113">
        <f>$C$48</f>
        <v>537298.82000000007</v>
      </c>
      <c r="E50" s="113"/>
      <c r="F50" s="113">
        <f t="shared" si="3"/>
        <v>537298.82000000007</v>
      </c>
    </row>
    <row r="51" spans="2:11" x14ac:dyDescent="0.35">
      <c r="B51" s="73" t="s">
        <v>46</v>
      </c>
      <c r="C51" s="114"/>
      <c r="D51" s="113"/>
      <c r="E51" s="113">
        <v>2660.54</v>
      </c>
      <c r="F51" s="113">
        <f t="shared" si="3"/>
        <v>2660.54</v>
      </c>
    </row>
    <row r="52" spans="2:11" x14ac:dyDescent="0.35">
      <c r="B52" s="72" t="s">
        <v>37</v>
      </c>
      <c r="C52" s="115">
        <f>SUM(C45:C51)</f>
        <v>2149195.91</v>
      </c>
      <c r="D52" s="115">
        <f>SUM(D45:D51)</f>
        <v>1432797.27</v>
      </c>
      <c r="E52" s="115">
        <v>2660.54</v>
      </c>
      <c r="F52" s="115">
        <f>SUM(F45:F51)</f>
        <v>3584653.7199999997</v>
      </c>
    </row>
    <row r="57" spans="2:11" x14ac:dyDescent="0.35">
      <c r="B57" s="111" t="s">
        <v>55</v>
      </c>
      <c r="C57" s="112"/>
      <c r="D57" s="112"/>
      <c r="E57" s="112"/>
      <c r="F57" s="112"/>
    </row>
    <row r="58" spans="2:11" ht="43.5" x14ac:dyDescent="0.35">
      <c r="B58" s="206" t="s">
        <v>1</v>
      </c>
      <c r="C58" s="206" t="s">
        <v>34</v>
      </c>
      <c r="D58" s="206" t="s">
        <v>35</v>
      </c>
      <c r="E58" s="206" t="s">
        <v>36</v>
      </c>
      <c r="F58" s="206" t="s">
        <v>82</v>
      </c>
      <c r="K58" s="190"/>
    </row>
    <row r="59" spans="2:11" x14ac:dyDescent="0.35">
      <c r="B59" s="73">
        <v>2025</v>
      </c>
      <c r="C59" s="113">
        <f>'Execució 5 lots'!$G$93</f>
        <v>152014.40000000002</v>
      </c>
      <c r="D59" s="114"/>
      <c r="E59" s="114"/>
      <c r="F59" s="113">
        <f>SUM(C59:E59)</f>
        <v>152014.40000000002</v>
      </c>
    </row>
    <row r="60" spans="2:11" x14ac:dyDescent="0.35">
      <c r="B60" s="73">
        <v>2026</v>
      </c>
      <c r="C60" s="113">
        <f>'Execució 5 lots'!$H$93</f>
        <v>608057.6100000001</v>
      </c>
      <c r="D60" s="114"/>
      <c r="E60" s="114"/>
      <c r="F60" s="113">
        <f>SUM(C60:E60)</f>
        <v>608057.6100000001</v>
      </c>
    </row>
    <row r="61" spans="2:11" x14ac:dyDescent="0.35">
      <c r="B61" s="73">
        <v>2027</v>
      </c>
      <c r="C61" s="113">
        <f>'Execució 5 lots'!$H$93</f>
        <v>608057.6100000001</v>
      </c>
      <c r="D61" s="114"/>
      <c r="E61" s="114"/>
      <c r="F61" s="113">
        <f>SUM(C61:E61)</f>
        <v>608057.6100000001</v>
      </c>
    </row>
    <row r="62" spans="2:11" x14ac:dyDescent="0.35">
      <c r="B62" s="73">
        <v>2028</v>
      </c>
      <c r="C62" s="113">
        <f>'Execució 5 lots'!$J$93</f>
        <v>456043.21</v>
      </c>
      <c r="D62" s="113">
        <f>$C$59</f>
        <v>152014.40000000002</v>
      </c>
      <c r="E62" s="113"/>
      <c r="F62" s="113">
        <f>SUM(C62:E62)</f>
        <v>608057.6100000001</v>
      </c>
    </row>
    <row r="63" spans="2:11" x14ac:dyDescent="0.35">
      <c r="B63" s="73">
        <v>2029</v>
      </c>
      <c r="C63" s="114"/>
      <c r="D63" s="113">
        <f>'Execució 5 lots'!$H$93</f>
        <v>608057.6100000001</v>
      </c>
      <c r="E63" s="113"/>
      <c r="F63" s="113">
        <f>SUM(C63:E63)</f>
        <v>608057.6100000001</v>
      </c>
    </row>
    <row r="64" spans="2:11" x14ac:dyDescent="0.35">
      <c r="B64" s="73">
        <v>2030</v>
      </c>
      <c r="C64" s="114"/>
      <c r="D64" s="113">
        <f>$C$62</f>
        <v>456043.21</v>
      </c>
      <c r="E64" s="113"/>
      <c r="F64" s="113">
        <f>SUM(D64:E64)</f>
        <v>456043.21</v>
      </c>
    </row>
    <row r="65" spans="2:12" x14ac:dyDescent="0.35">
      <c r="B65" s="73" t="s">
        <v>46</v>
      </c>
      <c r="C65" s="114"/>
      <c r="D65" s="113"/>
      <c r="E65" s="113">
        <v>2174.21</v>
      </c>
      <c r="F65" s="113">
        <f>'[3]VEC 2025'!G11</f>
        <v>2174.21</v>
      </c>
    </row>
    <row r="66" spans="2:12" x14ac:dyDescent="0.35">
      <c r="B66" s="72" t="s">
        <v>37</v>
      </c>
      <c r="C66" s="115">
        <f>SUM(C59:C65)</f>
        <v>1824172.83</v>
      </c>
      <c r="D66" s="115">
        <f>SUM(D59:D65)</f>
        <v>1216115.2200000002</v>
      </c>
      <c r="E66" s="115">
        <f>'[3]VEC 2025'!F12</f>
        <v>2174.21</v>
      </c>
      <c r="F66" s="115">
        <f>SUM(F59:F65)</f>
        <v>3042462.2600000002</v>
      </c>
    </row>
    <row r="71" spans="2:12" x14ac:dyDescent="0.35">
      <c r="B71" t="s">
        <v>91</v>
      </c>
    </row>
    <row r="73" spans="2:12" ht="43.5" x14ac:dyDescent="0.35">
      <c r="B73" s="206" t="s">
        <v>1</v>
      </c>
      <c r="C73" s="206" t="s">
        <v>34</v>
      </c>
      <c r="D73" s="206" t="s">
        <v>35</v>
      </c>
      <c r="E73" s="206" t="s">
        <v>36</v>
      </c>
      <c r="F73" s="206" t="s">
        <v>82</v>
      </c>
      <c r="I73" s="188"/>
      <c r="J73" s="188"/>
      <c r="K73" s="188"/>
      <c r="L73" s="188"/>
    </row>
    <row r="74" spans="2:12" ht="18" customHeight="1" x14ac:dyDescent="0.35">
      <c r="B74" s="73">
        <v>2025</v>
      </c>
      <c r="C74" s="113">
        <f>C5+C18+C32+C45+C59</f>
        <v>836667.16</v>
      </c>
      <c r="D74" s="114"/>
      <c r="E74" s="114"/>
      <c r="F74" s="113">
        <f>SUM(C74:E74)</f>
        <v>836667.16</v>
      </c>
      <c r="I74" s="188"/>
      <c r="J74" s="188"/>
      <c r="K74" s="188"/>
      <c r="L74" s="188"/>
    </row>
    <row r="75" spans="2:12" ht="18" customHeight="1" x14ac:dyDescent="0.35">
      <c r="B75" s="73">
        <v>2026</v>
      </c>
      <c r="C75" s="113">
        <f t="shared" ref="C75:C77" si="4">C6+C19+C33+C46+C60</f>
        <v>3346668.0200000005</v>
      </c>
      <c r="D75" s="114"/>
      <c r="E75" s="114"/>
      <c r="F75" s="113">
        <f t="shared" ref="F75:F80" si="5">SUM(C75:E75)</f>
        <v>3346668.0200000005</v>
      </c>
      <c r="I75" s="200"/>
      <c r="J75" s="201"/>
      <c r="K75" s="188"/>
      <c r="L75" s="188"/>
    </row>
    <row r="76" spans="2:12" ht="18" customHeight="1" x14ac:dyDescent="0.35">
      <c r="B76" s="73">
        <v>2027</v>
      </c>
      <c r="C76" s="113">
        <f t="shared" si="4"/>
        <v>3346668.0200000005</v>
      </c>
      <c r="D76" s="114"/>
      <c r="E76" s="114"/>
      <c r="F76" s="113">
        <f t="shared" si="5"/>
        <v>3346668.0200000005</v>
      </c>
      <c r="I76" s="200"/>
      <c r="J76" s="188"/>
      <c r="K76" s="202"/>
      <c r="L76" s="188"/>
    </row>
    <row r="77" spans="2:12" ht="18" customHeight="1" x14ac:dyDescent="0.35">
      <c r="B77" s="73">
        <v>2028</v>
      </c>
      <c r="C77" s="113">
        <f t="shared" si="4"/>
        <v>2510000.87</v>
      </c>
      <c r="D77" s="113">
        <f>D8+D21+D35+D48+D62</f>
        <v>836667.16</v>
      </c>
      <c r="E77" s="113"/>
      <c r="F77" s="113">
        <f t="shared" si="5"/>
        <v>3346668.0300000003</v>
      </c>
      <c r="I77" s="200"/>
      <c r="J77" s="188"/>
      <c r="K77" s="188"/>
      <c r="L77" s="188"/>
    </row>
    <row r="78" spans="2:12" ht="18" customHeight="1" x14ac:dyDescent="0.35">
      <c r="B78" s="73">
        <v>2029</v>
      </c>
      <c r="C78" s="224"/>
      <c r="D78" s="113">
        <v>3346668.02</v>
      </c>
      <c r="E78" s="113"/>
      <c r="F78" s="113">
        <f t="shared" si="5"/>
        <v>3346668.02</v>
      </c>
      <c r="I78" s="188"/>
      <c r="J78" s="188"/>
      <c r="K78" s="188"/>
      <c r="L78" s="188"/>
    </row>
    <row r="79" spans="2:12" ht="18" customHeight="1" x14ac:dyDescent="0.35">
      <c r="B79" s="73">
        <v>2030</v>
      </c>
      <c r="C79" s="114"/>
      <c r="D79" s="113">
        <v>2510000.87</v>
      </c>
      <c r="E79" s="113"/>
      <c r="F79" s="113">
        <f t="shared" si="5"/>
        <v>2510000.87</v>
      </c>
    </row>
    <row r="80" spans="2:12" ht="18" customHeight="1" x14ac:dyDescent="0.35">
      <c r="B80" s="73" t="s">
        <v>46</v>
      </c>
      <c r="C80" s="114"/>
      <c r="D80" s="113"/>
      <c r="E80" s="113">
        <f>(E11+E24+E38+E51+E65)</f>
        <v>12215.61</v>
      </c>
      <c r="F80" s="113">
        <f t="shared" si="5"/>
        <v>12215.61</v>
      </c>
    </row>
    <row r="81" spans="2:8" x14ac:dyDescent="0.35">
      <c r="B81" s="72" t="s">
        <v>37</v>
      </c>
      <c r="C81" s="115">
        <f>SUM(C74:C80)</f>
        <v>10040004.07</v>
      </c>
      <c r="D81" s="115">
        <f>SUM(D74:D80)</f>
        <v>6693336.0500000007</v>
      </c>
      <c r="E81" s="115">
        <f>SUM(E80)</f>
        <v>12215.61</v>
      </c>
      <c r="F81" s="115">
        <f>SUM(F74:F80)</f>
        <v>16745555.73</v>
      </c>
      <c r="H81" s="122"/>
    </row>
    <row r="83" spans="2:8" x14ac:dyDescent="0.35">
      <c r="C83" s="122"/>
    </row>
    <row r="84" spans="2:8" x14ac:dyDescent="0.35">
      <c r="F84" s="122"/>
    </row>
  </sheetData>
  <pageMargins left="0.7" right="0.7" top="0.75" bottom="0.75" header="0.3" footer="0.3"/>
  <pageSetup paperSize="9" orientation="portrait" verticalDpi="0" r:id="rId1"/>
  <customProperties>
    <customPr name="EpmWorksheetKeyString_GUID" r:id="rId2"/>
  </customProperties>
  <ignoredErrors>
    <ignoredError sqref="F19:F20 F22 F32:F37 F45 F47 F78:F79 F9" formulaRange="1"/>
    <ignoredError sqref="E66 E8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7</vt:i4>
      </vt:variant>
    </vt:vector>
  </HeadingPairs>
  <TitlesOfParts>
    <vt:vector size="7" baseType="lpstr">
      <vt:lpstr>Annex4 bis lot 2</vt:lpstr>
      <vt:lpstr>Full1</vt:lpstr>
      <vt:lpstr>Full2</vt:lpstr>
      <vt:lpstr>pbl 5 lots</vt:lpstr>
      <vt:lpstr>CD+CI 5 lots</vt:lpstr>
      <vt:lpstr>Execució 5 lots</vt:lpstr>
      <vt:lpstr>VEC 5 Lots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2025-02-10T14:33:49Z</cp:lastPrinted>
  <dcterms:created xsi:type="dcterms:W3CDTF">2025-01-12T16:32:25Z</dcterms:created>
  <dcterms:modified xsi:type="dcterms:W3CDTF">2025-02-11T08:12:13Z</dcterms:modified>
</cp:coreProperties>
</file>