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235" yWindow="240" windowWidth="16965" windowHeight="7755" tabRatio="589"/>
  </bookViews>
  <sheets>
    <sheet name="Càlcul pressupost " sheetId="14" r:id="rId1"/>
    <sheet name="Perfils" sheetId="4" r:id="rId2"/>
    <sheet name="Taules IJ" sheetId="11" r:id="rId3"/>
    <sheet name="Costos Indirectes" sheetId="17" r:id="rId4"/>
    <sheet name="Taula LOT-SERV-APP" sheetId="1" state="hidden" r:id="rId5"/>
    <sheet name="Taula Estimació de dades" sheetId="2" state="hidden" r:id="rId6"/>
    <sheet name="Hoja2" sheetId="18" state="hidden" r:id="rId7"/>
  </sheets>
  <externalReferences>
    <externalReference r:id="rId8"/>
    <externalReference r:id="rId9"/>
  </externalReferences>
  <definedNames>
    <definedName name="_xlnm._FilterDatabase" localSheetId="0" hidden="1">'Càlcul pressupost '!$B$13:$AA$61</definedName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4562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4" l="1"/>
  <c r="F11" i="4"/>
  <c r="D26" i="4" l="1"/>
  <c r="D27" i="4"/>
  <c r="D25" i="4"/>
  <c r="D24" i="4"/>
  <c r="F18" i="4"/>
  <c r="F16" i="4"/>
  <c r="F15" i="4"/>
  <c r="F14" i="4"/>
  <c r="F12" i="4"/>
  <c r="F10" i="4"/>
  <c r="F9" i="4"/>
  <c r="F8" i="4"/>
  <c r="F6" i="4"/>
  <c r="F5" i="4"/>
  <c r="F4" i="4"/>
  <c r="F3" i="4"/>
  <c r="T60" i="14"/>
  <c r="E17" i="4" l="1"/>
  <c r="E11" i="4"/>
  <c r="U114" i="14"/>
  <c r="R114" i="14"/>
  <c r="Q114" i="14"/>
  <c r="U113" i="14"/>
  <c r="T113" i="14"/>
  <c r="R113" i="14"/>
  <c r="Q113" i="14"/>
  <c r="U112" i="14"/>
  <c r="T112" i="14"/>
  <c r="R112" i="14"/>
  <c r="Q112" i="14"/>
  <c r="U111" i="14"/>
  <c r="T111" i="14"/>
  <c r="R111" i="14"/>
  <c r="Q111" i="14"/>
  <c r="U110" i="14"/>
  <c r="T110" i="14"/>
  <c r="R110" i="14"/>
  <c r="Q110" i="14"/>
  <c r="U109" i="14"/>
  <c r="T109" i="14"/>
  <c r="R109" i="14"/>
  <c r="Q109" i="14"/>
  <c r="U108" i="14"/>
  <c r="T108" i="14"/>
  <c r="R108" i="14"/>
  <c r="Q108" i="14"/>
  <c r="U107" i="14"/>
  <c r="T107" i="14"/>
  <c r="R107" i="14"/>
  <c r="Q107" i="14"/>
  <c r="U106" i="14"/>
  <c r="T106" i="14"/>
  <c r="R106" i="14"/>
  <c r="Q106" i="14"/>
  <c r="U105" i="14"/>
  <c r="T105" i="14"/>
  <c r="R105" i="14"/>
  <c r="Q105" i="14"/>
  <c r="U104" i="14"/>
  <c r="T104" i="14"/>
  <c r="R104" i="14"/>
  <c r="Q104" i="14"/>
  <c r="U103" i="14"/>
  <c r="T103" i="14"/>
  <c r="R103" i="14"/>
  <c r="Q103" i="14"/>
  <c r="U102" i="14"/>
  <c r="T102" i="14"/>
  <c r="R102" i="14"/>
  <c r="Q102" i="14"/>
  <c r="U101" i="14"/>
  <c r="T101" i="14"/>
  <c r="R101" i="14"/>
  <c r="Q101" i="14"/>
  <c r="U100" i="14"/>
  <c r="T100" i="14"/>
  <c r="R100" i="14"/>
  <c r="Q100" i="14"/>
  <c r="U99" i="14"/>
  <c r="T99" i="14"/>
  <c r="R99" i="14"/>
  <c r="Q99" i="14"/>
  <c r="U98" i="14"/>
  <c r="T98" i="14"/>
  <c r="R98" i="14"/>
  <c r="Q98" i="14"/>
  <c r="U97" i="14"/>
  <c r="T97" i="14"/>
  <c r="R97" i="14"/>
  <c r="Q97" i="14"/>
  <c r="U96" i="14"/>
  <c r="T96" i="14"/>
  <c r="R96" i="14"/>
  <c r="Q96" i="14"/>
  <c r="U95" i="14"/>
  <c r="T95" i="14"/>
  <c r="R95" i="14"/>
  <c r="Q95" i="14"/>
  <c r="U94" i="14"/>
  <c r="T94" i="14"/>
  <c r="R94" i="14"/>
  <c r="Q94" i="14"/>
  <c r="U93" i="14"/>
  <c r="T93" i="14"/>
  <c r="R93" i="14"/>
  <c r="Q93" i="14"/>
  <c r="U92" i="14"/>
  <c r="T92" i="14"/>
  <c r="R92" i="14"/>
  <c r="Q92" i="14"/>
  <c r="U91" i="14"/>
  <c r="T91" i="14"/>
  <c r="R91" i="14"/>
  <c r="Q91" i="14"/>
  <c r="U90" i="14"/>
  <c r="T90" i="14"/>
  <c r="R90" i="14"/>
  <c r="Q90" i="14"/>
  <c r="U89" i="14"/>
  <c r="T89" i="14"/>
  <c r="R89" i="14"/>
  <c r="Q89" i="14"/>
  <c r="U88" i="14"/>
  <c r="T88" i="14"/>
  <c r="R88" i="14"/>
  <c r="Q88" i="14"/>
  <c r="U87" i="14"/>
  <c r="T87" i="14"/>
  <c r="R87" i="14"/>
  <c r="Q87" i="14"/>
  <c r="U86" i="14"/>
  <c r="T86" i="14"/>
  <c r="R86" i="14"/>
  <c r="Q86" i="14"/>
  <c r="U85" i="14"/>
  <c r="T85" i="14"/>
  <c r="R85" i="14"/>
  <c r="Q85" i="14"/>
  <c r="U84" i="14"/>
  <c r="T84" i="14"/>
  <c r="R84" i="14"/>
  <c r="Q84" i="14"/>
  <c r="U83" i="14"/>
  <c r="T83" i="14"/>
  <c r="R83" i="14"/>
  <c r="Q83" i="14"/>
  <c r="U82" i="14"/>
  <c r="T82" i="14"/>
  <c r="R82" i="14"/>
  <c r="Q82" i="14"/>
  <c r="U81" i="14"/>
  <c r="T81" i="14"/>
  <c r="R81" i="14"/>
  <c r="Q81" i="14"/>
  <c r="U80" i="14"/>
  <c r="T80" i="14"/>
  <c r="R80" i="14"/>
  <c r="Q80" i="14"/>
  <c r="U79" i="14"/>
  <c r="T79" i="14"/>
  <c r="R79" i="14"/>
  <c r="Q79" i="14"/>
  <c r="U78" i="14"/>
  <c r="T78" i="14"/>
  <c r="R78" i="14"/>
  <c r="Q78" i="14"/>
  <c r="U77" i="14"/>
  <c r="T77" i="14"/>
  <c r="R77" i="14"/>
  <c r="Q77" i="14"/>
  <c r="U76" i="14"/>
  <c r="T76" i="14"/>
  <c r="R76" i="14"/>
  <c r="Q76" i="14"/>
  <c r="U75" i="14"/>
  <c r="T75" i="14"/>
  <c r="R75" i="14"/>
  <c r="Q75" i="14"/>
  <c r="U74" i="14"/>
  <c r="T74" i="14"/>
  <c r="R74" i="14"/>
  <c r="Q74" i="14"/>
  <c r="U73" i="14"/>
  <c r="T73" i="14"/>
  <c r="R73" i="14"/>
  <c r="Q73" i="14"/>
  <c r="U72" i="14"/>
  <c r="T72" i="14"/>
  <c r="R72" i="14"/>
  <c r="Q72" i="14"/>
  <c r="U71" i="14"/>
  <c r="T71" i="14"/>
  <c r="R71" i="14"/>
  <c r="Q71" i="14"/>
  <c r="U70" i="14"/>
  <c r="T70" i="14"/>
  <c r="R70" i="14"/>
  <c r="Q70" i="14"/>
  <c r="U69" i="14"/>
  <c r="T69" i="14"/>
  <c r="R69" i="14"/>
  <c r="Q69" i="14"/>
  <c r="U68" i="14"/>
  <c r="T68" i="14"/>
  <c r="R68" i="14"/>
  <c r="Q68" i="14"/>
  <c r="U51" i="14"/>
  <c r="R51" i="14"/>
  <c r="Q51" i="14"/>
  <c r="U36" i="14"/>
  <c r="R36" i="14"/>
  <c r="Q36" i="14"/>
  <c r="U31" i="14"/>
  <c r="R31" i="14"/>
  <c r="Q31" i="14"/>
  <c r="U15" i="14" l="1"/>
  <c r="U16" i="14"/>
  <c r="U17" i="14"/>
  <c r="U18" i="14"/>
  <c r="U19" i="14"/>
  <c r="U20" i="14"/>
  <c r="U21" i="14"/>
  <c r="U22" i="14"/>
  <c r="U23" i="14"/>
  <c r="U52" i="14"/>
  <c r="U53" i="14"/>
  <c r="U26" i="14"/>
  <c r="U27" i="14"/>
  <c r="U28" i="14"/>
  <c r="U29" i="14"/>
  <c r="U24" i="14"/>
  <c r="U43" i="14"/>
  <c r="U44" i="14"/>
  <c r="U45" i="14"/>
  <c r="U46" i="14"/>
  <c r="U47" i="14"/>
  <c r="U48" i="14"/>
  <c r="U49" i="14"/>
  <c r="U30" i="14"/>
  <c r="U32" i="14"/>
  <c r="U33" i="14"/>
  <c r="U34" i="14"/>
  <c r="U35" i="14"/>
  <c r="U37" i="14"/>
  <c r="U38" i="14"/>
  <c r="U39" i="14"/>
  <c r="U40" i="14"/>
  <c r="U41" i="14"/>
  <c r="U42" i="14"/>
  <c r="U50" i="14"/>
  <c r="U54" i="14"/>
  <c r="U25" i="14"/>
  <c r="U55" i="14"/>
  <c r="U56" i="14"/>
  <c r="U57" i="14"/>
  <c r="U58" i="14"/>
  <c r="U59" i="14"/>
  <c r="U60" i="14"/>
  <c r="U14" i="14"/>
  <c r="Q15" i="14"/>
  <c r="Q16" i="14"/>
  <c r="Q17" i="14"/>
  <c r="Q18" i="14"/>
  <c r="Q19" i="14"/>
  <c r="Q20" i="14"/>
  <c r="Q21" i="14"/>
  <c r="Q22" i="14"/>
  <c r="Q23" i="14"/>
  <c r="Q52" i="14"/>
  <c r="Q53" i="14"/>
  <c r="Q26" i="14"/>
  <c r="Q27" i="14"/>
  <c r="Q28" i="14"/>
  <c r="Q29" i="14"/>
  <c r="Q24" i="14"/>
  <c r="Q43" i="14"/>
  <c r="Q44" i="14"/>
  <c r="Q45" i="14"/>
  <c r="Q46" i="14"/>
  <c r="Q47" i="14"/>
  <c r="Q48" i="14"/>
  <c r="Q49" i="14"/>
  <c r="Q30" i="14"/>
  <c r="Q32" i="14"/>
  <c r="Q33" i="14"/>
  <c r="Q34" i="14"/>
  <c r="Q35" i="14"/>
  <c r="Q37" i="14"/>
  <c r="Q38" i="14"/>
  <c r="Q39" i="14"/>
  <c r="Q40" i="14"/>
  <c r="Q41" i="14"/>
  <c r="Q42" i="14"/>
  <c r="Q50" i="14"/>
  <c r="Q54" i="14"/>
  <c r="Q25" i="14"/>
  <c r="Q55" i="14"/>
  <c r="Q56" i="14"/>
  <c r="Q57" i="14"/>
  <c r="Q58" i="14"/>
  <c r="Q59" i="14"/>
  <c r="Q60" i="14"/>
  <c r="Q14" i="14"/>
  <c r="P61" i="14"/>
  <c r="P115" i="14"/>
  <c r="H9" i="14" s="1"/>
  <c r="E9" i="11" s="1"/>
  <c r="O115" i="14"/>
  <c r="L115" i="14"/>
  <c r="H7" i="14" s="1"/>
  <c r="I115" i="14"/>
  <c r="I6" i="14" s="1"/>
  <c r="I9" i="14" l="1"/>
  <c r="I8" i="14"/>
  <c r="H6" i="14"/>
  <c r="H8" i="14"/>
  <c r="I7" i="14"/>
  <c r="U115" i="14"/>
  <c r="U61" i="14"/>
  <c r="T115" i="14"/>
  <c r="I10" i="14" l="1"/>
  <c r="H10" i="14"/>
  <c r="O61" i="14"/>
  <c r="G8" i="14" s="1"/>
  <c r="L61" i="14"/>
  <c r="R60" i="14"/>
  <c r="R59" i="14"/>
  <c r="R58" i="14"/>
  <c r="R57" i="14"/>
  <c r="R56" i="14"/>
  <c r="R55" i="14"/>
  <c r="R46" i="14"/>
  <c r="R45" i="14"/>
  <c r="R44" i="14"/>
  <c r="R43" i="14"/>
  <c r="R24" i="14"/>
  <c r="R29" i="14"/>
  <c r="R28" i="14"/>
  <c r="R27" i="14"/>
  <c r="R26" i="14"/>
  <c r="R53" i="14"/>
  <c r="R52" i="14"/>
  <c r="R23" i="14"/>
  <c r="R22" i="14"/>
  <c r="R21" i="14"/>
  <c r="R25" i="14"/>
  <c r="R54" i="14"/>
  <c r="R50" i="14"/>
  <c r="R42" i="14"/>
  <c r="R41" i="14"/>
  <c r="R40" i="14"/>
  <c r="R39" i="14"/>
  <c r="R38" i="14"/>
  <c r="R37" i="14"/>
  <c r="R35" i="14"/>
  <c r="R34" i="14"/>
  <c r="R33" i="14"/>
  <c r="R32" i="14"/>
  <c r="R30" i="14"/>
  <c r="R49" i="14"/>
  <c r="R48" i="14"/>
  <c r="R47" i="14"/>
  <c r="E18" i="4" l="1"/>
  <c r="E12" i="4"/>
  <c r="E6" i="4"/>
  <c r="E16" i="4"/>
  <c r="E10" i="4"/>
  <c r="E5" i="4"/>
  <c r="E15" i="4"/>
  <c r="E9" i="4"/>
  <c r="E4" i="4"/>
  <c r="E14" i="4"/>
  <c r="E8" i="4"/>
  <c r="E3" i="4"/>
  <c r="B9" i="11" l="1"/>
  <c r="C9" i="11" l="1"/>
  <c r="R20" i="14"/>
  <c r="D9" i="11" l="1"/>
  <c r="R16" i="14"/>
  <c r="R17" i="14"/>
  <c r="R18" i="14"/>
  <c r="R19" i="14"/>
  <c r="G18" i="4"/>
  <c r="H19" i="4"/>
  <c r="G11" i="4"/>
  <c r="H13" i="4"/>
  <c r="G12" i="4"/>
  <c r="G10" i="4"/>
  <c r="G9" i="4"/>
  <c r="G8" i="4"/>
  <c r="G6" i="4"/>
  <c r="H7" i="4"/>
  <c r="G13" i="4" l="1"/>
  <c r="K94" i="14" l="1"/>
  <c r="J94" i="14" s="1"/>
  <c r="K86" i="14"/>
  <c r="J86" i="14" s="1"/>
  <c r="K77" i="14"/>
  <c r="J77" i="14" s="1"/>
  <c r="K76" i="14"/>
  <c r="J76" i="14" s="1"/>
  <c r="K36" i="14"/>
  <c r="J36" i="14" s="1"/>
  <c r="K95" i="14"/>
  <c r="J95" i="14" s="1"/>
  <c r="K87" i="14"/>
  <c r="J87" i="14" s="1"/>
  <c r="K78" i="14"/>
  <c r="J78" i="14" s="1"/>
  <c r="K68" i="14"/>
  <c r="J68" i="14" s="1"/>
  <c r="K96" i="14"/>
  <c r="J96" i="14" s="1"/>
  <c r="K88" i="14"/>
  <c r="J88" i="14" s="1"/>
  <c r="K79" i="14"/>
  <c r="J79" i="14" s="1"/>
  <c r="K69" i="14"/>
  <c r="J69" i="14" s="1"/>
  <c r="K80" i="14"/>
  <c r="J80" i="14" s="1"/>
  <c r="K70" i="14"/>
  <c r="J70" i="14" s="1"/>
  <c r="K97" i="14"/>
  <c r="J97" i="14" s="1"/>
  <c r="K89" i="14"/>
  <c r="J89" i="14" s="1"/>
  <c r="K31" i="14"/>
  <c r="J31" i="14" s="1"/>
  <c r="K51" i="14"/>
  <c r="J51" i="14" s="1"/>
  <c r="K98" i="14"/>
  <c r="J98" i="14" s="1"/>
  <c r="K90" i="14"/>
  <c r="J90" i="14" s="1"/>
  <c r="K81" i="14"/>
  <c r="J81" i="14" s="1"/>
  <c r="K71" i="14"/>
  <c r="J71" i="14" s="1"/>
  <c r="K112" i="14"/>
  <c r="J112" i="14" s="1"/>
  <c r="K111" i="14"/>
  <c r="J111" i="14" s="1"/>
  <c r="K109" i="14"/>
  <c r="J109" i="14" s="1"/>
  <c r="K108" i="14"/>
  <c r="J108" i="14" s="1"/>
  <c r="K107" i="14"/>
  <c r="J107" i="14" s="1"/>
  <c r="K99" i="14"/>
  <c r="J99" i="14" s="1"/>
  <c r="K91" i="14"/>
  <c r="J91" i="14" s="1"/>
  <c r="K82" i="14"/>
  <c r="J82" i="14" s="1"/>
  <c r="K73" i="14"/>
  <c r="J73" i="14" s="1"/>
  <c r="K72" i="14"/>
  <c r="J72" i="14" s="1"/>
  <c r="K113" i="14"/>
  <c r="J113" i="14" s="1"/>
  <c r="K110" i="14"/>
  <c r="J110" i="14" s="1"/>
  <c r="K106" i="14"/>
  <c r="J106" i="14" s="1"/>
  <c r="K105" i="14"/>
  <c r="J105" i="14" s="1"/>
  <c r="K100" i="14"/>
  <c r="J100" i="14" s="1"/>
  <c r="K92" i="14"/>
  <c r="J92" i="14" s="1"/>
  <c r="K84" i="14"/>
  <c r="J84" i="14" s="1"/>
  <c r="K83" i="14"/>
  <c r="J83" i="14" s="1"/>
  <c r="K74" i="14"/>
  <c r="J74" i="14" s="1"/>
  <c r="K114" i="14"/>
  <c r="J114" i="14" s="1"/>
  <c r="K104" i="14"/>
  <c r="J104" i="14" s="1"/>
  <c r="K103" i="14"/>
  <c r="J103" i="14" s="1"/>
  <c r="K102" i="14"/>
  <c r="J102" i="14" s="1"/>
  <c r="K101" i="14"/>
  <c r="J101" i="14" s="1"/>
  <c r="K93" i="14"/>
  <c r="J93" i="14" s="1"/>
  <c r="K85" i="14"/>
  <c r="J85" i="14" s="1"/>
  <c r="K75" i="14"/>
  <c r="J75" i="14" s="1"/>
  <c r="K20" i="14"/>
  <c r="J20" i="14" s="1"/>
  <c r="K59" i="14"/>
  <c r="J59" i="14" s="1"/>
  <c r="K57" i="14"/>
  <c r="J57" i="14" s="1"/>
  <c r="K55" i="14"/>
  <c r="J55" i="14" s="1"/>
  <c r="K45" i="14"/>
  <c r="J45" i="14" s="1"/>
  <c r="K43" i="14"/>
  <c r="J43" i="14" s="1"/>
  <c r="K29" i="14"/>
  <c r="J29" i="14" s="1"/>
  <c r="K27" i="14"/>
  <c r="J27" i="14" s="1"/>
  <c r="K53" i="14"/>
  <c r="J53" i="14" s="1"/>
  <c r="K21" i="14"/>
  <c r="J21" i="14" s="1"/>
  <c r="K50" i="14"/>
  <c r="J50" i="14" s="1"/>
  <c r="K41" i="14"/>
  <c r="J41" i="14" s="1"/>
  <c r="K39" i="14"/>
  <c r="J39" i="14" s="1"/>
  <c r="K37" i="14"/>
  <c r="J37" i="14" s="1"/>
  <c r="K34" i="14"/>
  <c r="J34" i="14" s="1"/>
  <c r="K32" i="14"/>
  <c r="J32" i="14" s="1"/>
  <c r="K49" i="14"/>
  <c r="J49" i="14" s="1"/>
  <c r="K47" i="14"/>
  <c r="J47" i="14" s="1"/>
  <c r="K40" i="14"/>
  <c r="J40" i="14" s="1"/>
  <c r="K48" i="14"/>
  <c r="J48" i="14" s="1"/>
  <c r="K35" i="14"/>
  <c r="J35" i="14" s="1"/>
  <c r="K30" i="14"/>
  <c r="J30" i="14" s="1"/>
  <c r="K38" i="14"/>
  <c r="J38" i="14" s="1"/>
  <c r="K60" i="14"/>
  <c r="J60" i="14" s="1"/>
  <c r="K58" i="14"/>
  <c r="J58" i="14" s="1"/>
  <c r="K56" i="14"/>
  <c r="J56" i="14" s="1"/>
  <c r="K46" i="14"/>
  <c r="J46" i="14" s="1"/>
  <c r="K44" i="14"/>
  <c r="J44" i="14" s="1"/>
  <c r="K24" i="14"/>
  <c r="J24" i="14" s="1"/>
  <c r="K28" i="14"/>
  <c r="J28" i="14" s="1"/>
  <c r="K26" i="14"/>
  <c r="J26" i="14" s="1"/>
  <c r="K52" i="14"/>
  <c r="J52" i="14" s="1"/>
  <c r="K23" i="14"/>
  <c r="J23" i="14" s="1"/>
  <c r="K22" i="14"/>
  <c r="J22" i="14" s="1"/>
  <c r="K25" i="14"/>
  <c r="J25" i="14" s="1"/>
  <c r="K54" i="14"/>
  <c r="J54" i="14" s="1"/>
  <c r="K42" i="14"/>
  <c r="J42" i="14" s="1"/>
  <c r="K33" i="14"/>
  <c r="J33" i="14" s="1"/>
  <c r="K16" i="14"/>
  <c r="J16" i="14" s="1"/>
  <c r="K19" i="14"/>
  <c r="J19" i="14" s="1"/>
  <c r="K17" i="14"/>
  <c r="J17" i="14" s="1"/>
  <c r="K15" i="14"/>
  <c r="J15" i="14" s="1"/>
  <c r="K18" i="14"/>
  <c r="J18" i="14" s="1"/>
  <c r="J115" i="14" l="1"/>
  <c r="J117" i="14" s="1"/>
  <c r="R15" i="14"/>
  <c r="G16" i="4"/>
  <c r="R14" i="14"/>
  <c r="G3" i="4" l="1"/>
  <c r="C26" i="11" l="1"/>
  <c r="E26" i="11"/>
  <c r="G15" i="4" l="1"/>
  <c r="G17" i="4"/>
  <c r="G4" i="4"/>
  <c r="G5" i="4"/>
  <c r="G7" i="4" l="1"/>
  <c r="H114" i="14" l="1"/>
  <c r="G114" i="14" s="1"/>
  <c r="H105" i="14"/>
  <c r="G105" i="14" s="1"/>
  <c r="H104" i="14"/>
  <c r="G104" i="14" s="1"/>
  <c r="H103" i="14"/>
  <c r="G103" i="14" s="1"/>
  <c r="H102" i="14"/>
  <c r="G102" i="14" s="1"/>
  <c r="H101" i="14"/>
  <c r="G101" i="14" s="1"/>
  <c r="H93" i="14"/>
  <c r="G93" i="14" s="1"/>
  <c r="H85" i="14"/>
  <c r="G85" i="14" s="1"/>
  <c r="H75" i="14"/>
  <c r="G75" i="14" s="1"/>
  <c r="H51" i="14"/>
  <c r="G51" i="14" s="1"/>
  <c r="H94" i="14"/>
  <c r="G94" i="14" s="1"/>
  <c r="H86" i="14"/>
  <c r="G86" i="14" s="1"/>
  <c r="H77" i="14"/>
  <c r="G77" i="14" s="1"/>
  <c r="H76" i="14"/>
  <c r="G76" i="14" s="1"/>
  <c r="H95" i="14"/>
  <c r="G95" i="14" s="1"/>
  <c r="H87" i="14"/>
  <c r="G87" i="14" s="1"/>
  <c r="H78" i="14"/>
  <c r="G78" i="14" s="1"/>
  <c r="H68" i="14"/>
  <c r="G68" i="14" s="1"/>
  <c r="H31" i="14"/>
  <c r="G31" i="14" s="1"/>
  <c r="H96" i="14"/>
  <c r="G96" i="14" s="1"/>
  <c r="H88" i="14"/>
  <c r="G88" i="14" s="1"/>
  <c r="H79" i="14"/>
  <c r="G79" i="14" s="1"/>
  <c r="H69" i="14"/>
  <c r="G69" i="14" s="1"/>
  <c r="H97" i="14"/>
  <c r="G97" i="14" s="1"/>
  <c r="H89" i="14"/>
  <c r="G89" i="14" s="1"/>
  <c r="H80" i="14"/>
  <c r="G80" i="14" s="1"/>
  <c r="H70" i="14"/>
  <c r="G70" i="14" s="1"/>
  <c r="H98" i="14"/>
  <c r="G98" i="14" s="1"/>
  <c r="H90" i="14"/>
  <c r="G90" i="14" s="1"/>
  <c r="H81" i="14"/>
  <c r="G81" i="14" s="1"/>
  <c r="H71" i="14"/>
  <c r="G71" i="14" s="1"/>
  <c r="H112" i="14"/>
  <c r="G112" i="14" s="1"/>
  <c r="H108" i="14"/>
  <c r="G108" i="14" s="1"/>
  <c r="H99" i="14"/>
  <c r="G99" i="14" s="1"/>
  <c r="H91" i="14"/>
  <c r="G91" i="14" s="1"/>
  <c r="H82" i="14"/>
  <c r="G82" i="14" s="1"/>
  <c r="H72" i="14"/>
  <c r="G72" i="14" s="1"/>
  <c r="H36" i="14"/>
  <c r="G36" i="14" s="1"/>
  <c r="H83" i="14"/>
  <c r="G83" i="14" s="1"/>
  <c r="H74" i="14"/>
  <c r="G74" i="14" s="1"/>
  <c r="H113" i="14"/>
  <c r="G113" i="14" s="1"/>
  <c r="H111" i="14"/>
  <c r="G111" i="14" s="1"/>
  <c r="H110" i="14"/>
  <c r="G110" i="14" s="1"/>
  <c r="H109" i="14"/>
  <c r="G109" i="14" s="1"/>
  <c r="H107" i="14"/>
  <c r="G107" i="14" s="1"/>
  <c r="H106" i="14"/>
  <c r="G106" i="14" s="1"/>
  <c r="H100" i="14"/>
  <c r="G100" i="14" s="1"/>
  <c r="H92" i="14"/>
  <c r="G92" i="14" s="1"/>
  <c r="H84" i="14"/>
  <c r="G84" i="14" s="1"/>
  <c r="H73" i="14"/>
  <c r="G73" i="14" s="1"/>
  <c r="H34" i="14"/>
  <c r="G34" i="14" s="1"/>
  <c r="H47" i="14"/>
  <c r="G47" i="14" s="1"/>
  <c r="H22" i="14"/>
  <c r="G22" i="14" s="1"/>
  <c r="H35" i="14"/>
  <c r="G35" i="14" s="1"/>
  <c r="H59" i="14"/>
  <c r="H57" i="14"/>
  <c r="G57" i="14" s="1"/>
  <c r="H55" i="14"/>
  <c r="G55" i="14" s="1"/>
  <c r="H45" i="14"/>
  <c r="G45" i="14" s="1"/>
  <c r="H43" i="14"/>
  <c r="G43" i="14" s="1"/>
  <c r="H29" i="14"/>
  <c r="G29" i="14" s="1"/>
  <c r="H27" i="14"/>
  <c r="G27" i="14" s="1"/>
  <c r="H53" i="14"/>
  <c r="G53" i="14" s="1"/>
  <c r="H21" i="14"/>
  <c r="G21" i="14" s="1"/>
  <c r="H50" i="14"/>
  <c r="G50" i="14" s="1"/>
  <c r="H41" i="14"/>
  <c r="G41" i="14" s="1"/>
  <c r="H39" i="14"/>
  <c r="G39" i="14" s="1"/>
  <c r="H37" i="14"/>
  <c r="G37" i="14" s="1"/>
  <c r="H32" i="14"/>
  <c r="G32" i="14" s="1"/>
  <c r="H49" i="14"/>
  <c r="G49" i="14" s="1"/>
  <c r="H24" i="14"/>
  <c r="G24" i="14" s="1"/>
  <c r="H42" i="14"/>
  <c r="G42" i="14" s="1"/>
  <c r="H48" i="14"/>
  <c r="G48" i="14" s="1"/>
  <c r="H28" i="14"/>
  <c r="G28" i="14" s="1"/>
  <c r="H40" i="14"/>
  <c r="G40" i="14" s="1"/>
  <c r="H26" i="14"/>
  <c r="G26" i="14" s="1"/>
  <c r="H25" i="14"/>
  <c r="G25" i="14" s="1"/>
  <c r="H30" i="14"/>
  <c r="G30" i="14" s="1"/>
  <c r="H52" i="14"/>
  <c r="G52" i="14" s="1"/>
  <c r="H54" i="14"/>
  <c r="G54" i="14" s="1"/>
  <c r="H33" i="14"/>
  <c r="G33" i="14" s="1"/>
  <c r="H60" i="14"/>
  <c r="H58" i="14"/>
  <c r="G58" i="14" s="1"/>
  <c r="H56" i="14"/>
  <c r="G56" i="14" s="1"/>
  <c r="H46" i="14"/>
  <c r="G46" i="14" s="1"/>
  <c r="H44" i="14"/>
  <c r="G44" i="14" s="1"/>
  <c r="H23" i="14"/>
  <c r="G23" i="14" s="1"/>
  <c r="H38" i="14"/>
  <c r="G38" i="14" s="1"/>
  <c r="H20" i="14"/>
  <c r="G20" i="14" s="1"/>
  <c r="K14" i="14"/>
  <c r="J14" i="14" s="1"/>
  <c r="J61" i="14" s="1"/>
  <c r="J63" i="14" s="1"/>
  <c r="G115" i="14" l="1"/>
  <c r="G117" i="14" s="1"/>
  <c r="G14" i="4"/>
  <c r="G19" i="4" s="1"/>
  <c r="N95" i="14" l="1"/>
  <c r="M95" i="14" s="1"/>
  <c r="N87" i="14"/>
  <c r="M87" i="14" s="1"/>
  <c r="N78" i="14"/>
  <c r="M78" i="14" s="1"/>
  <c r="N68" i="14"/>
  <c r="M68" i="14" s="1"/>
  <c r="N69" i="14"/>
  <c r="M69" i="14" s="1"/>
  <c r="N96" i="14"/>
  <c r="M96" i="14" s="1"/>
  <c r="N88" i="14"/>
  <c r="M88" i="14" s="1"/>
  <c r="N79" i="14"/>
  <c r="M79" i="14" s="1"/>
  <c r="N97" i="14"/>
  <c r="M97" i="14" s="1"/>
  <c r="N89" i="14"/>
  <c r="M89" i="14" s="1"/>
  <c r="N80" i="14"/>
  <c r="M80" i="14" s="1"/>
  <c r="N70" i="14"/>
  <c r="M70" i="14" s="1"/>
  <c r="N31" i="14"/>
  <c r="M31" i="14" s="1"/>
  <c r="N71" i="14"/>
  <c r="M71" i="14" s="1"/>
  <c r="N98" i="14"/>
  <c r="M98" i="14" s="1"/>
  <c r="N90" i="14"/>
  <c r="M90" i="14" s="1"/>
  <c r="N81" i="14"/>
  <c r="M81" i="14" s="1"/>
  <c r="N112" i="14"/>
  <c r="M112" i="14" s="1"/>
  <c r="N111" i="14"/>
  <c r="M111" i="14" s="1"/>
  <c r="N110" i="14"/>
  <c r="M110" i="14" s="1"/>
  <c r="N109" i="14"/>
  <c r="M109" i="14" s="1"/>
  <c r="N108" i="14"/>
  <c r="M108" i="14" s="1"/>
  <c r="N107" i="14"/>
  <c r="M107" i="14" s="1"/>
  <c r="N106" i="14"/>
  <c r="M106" i="14" s="1"/>
  <c r="N99" i="14"/>
  <c r="M99" i="14" s="1"/>
  <c r="N91" i="14"/>
  <c r="M91" i="14" s="1"/>
  <c r="N83" i="14"/>
  <c r="M83" i="14" s="1"/>
  <c r="N82" i="14"/>
  <c r="M82" i="14" s="1"/>
  <c r="N73" i="14"/>
  <c r="M73" i="14" s="1"/>
  <c r="N72" i="14"/>
  <c r="M72" i="14" s="1"/>
  <c r="N36" i="14"/>
  <c r="M36" i="14" s="1"/>
  <c r="N113" i="14"/>
  <c r="M113" i="14" s="1"/>
  <c r="N105" i="14"/>
  <c r="M105" i="14" s="1"/>
  <c r="N104" i="14"/>
  <c r="M104" i="14" s="1"/>
  <c r="N101" i="14"/>
  <c r="M101" i="14" s="1"/>
  <c r="N100" i="14"/>
  <c r="M100" i="14" s="1"/>
  <c r="N92" i="14"/>
  <c r="M92" i="14" s="1"/>
  <c r="N84" i="14"/>
  <c r="M84" i="14" s="1"/>
  <c r="N74" i="14"/>
  <c r="M74" i="14" s="1"/>
  <c r="N114" i="14"/>
  <c r="M114" i="14" s="1"/>
  <c r="N103" i="14"/>
  <c r="N102" i="14"/>
  <c r="M102" i="14" s="1"/>
  <c r="N93" i="14"/>
  <c r="M93" i="14" s="1"/>
  <c r="N85" i="14"/>
  <c r="M85" i="14" s="1"/>
  <c r="N76" i="14"/>
  <c r="M76" i="14" s="1"/>
  <c r="N75" i="14"/>
  <c r="M75" i="14" s="1"/>
  <c r="N51" i="14"/>
  <c r="M51" i="14" s="1"/>
  <c r="N94" i="14"/>
  <c r="M94" i="14" s="1"/>
  <c r="N86" i="14"/>
  <c r="M86" i="14" s="1"/>
  <c r="N77" i="14"/>
  <c r="M77" i="14" s="1"/>
  <c r="N20" i="14"/>
  <c r="M20" i="14" s="1"/>
  <c r="N40" i="14"/>
  <c r="M40" i="14" s="1"/>
  <c r="N48" i="14"/>
  <c r="M48" i="14" s="1"/>
  <c r="N57" i="14"/>
  <c r="M57" i="14" s="1"/>
  <c r="N37" i="14"/>
  <c r="M37" i="14" s="1"/>
  <c r="N38" i="14"/>
  <c r="M38" i="14" s="1"/>
  <c r="N30" i="14"/>
  <c r="M30" i="14" s="1"/>
  <c r="N27" i="14"/>
  <c r="M27" i="14" s="1"/>
  <c r="N39" i="14"/>
  <c r="M39" i="14" s="1"/>
  <c r="N54" i="14"/>
  <c r="M54" i="14" s="1"/>
  <c r="N43" i="14"/>
  <c r="M43" i="14" s="1"/>
  <c r="N60" i="14"/>
  <c r="M60" i="14" s="1"/>
  <c r="N58" i="14"/>
  <c r="M58" i="14" s="1"/>
  <c r="N56" i="14"/>
  <c r="M56" i="14" s="1"/>
  <c r="N46" i="14"/>
  <c r="M46" i="14" s="1"/>
  <c r="N44" i="14"/>
  <c r="M44" i="14" s="1"/>
  <c r="N24" i="14"/>
  <c r="M24" i="14" s="1"/>
  <c r="N28" i="14"/>
  <c r="M28" i="14" s="1"/>
  <c r="N26" i="14"/>
  <c r="M26" i="14" s="1"/>
  <c r="N52" i="14"/>
  <c r="M52" i="14" s="1"/>
  <c r="N23" i="14"/>
  <c r="M23" i="14" s="1"/>
  <c r="N22" i="14"/>
  <c r="M22" i="14" s="1"/>
  <c r="N25" i="14"/>
  <c r="M25" i="14" s="1"/>
  <c r="N42" i="14"/>
  <c r="M42" i="14" s="1"/>
  <c r="N35" i="14"/>
  <c r="M35" i="14" s="1"/>
  <c r="N33" i="14"/>
  <c r="M33" i="14" s="1"/>
  <c r="N29" i="14"/>
  <c r="M29" i="14" s="1"/>
  <c r="N21" i="14"/>
  <c r="M21" i="14" s="1"/>
  <c r="N32" i="14"/>
  <c r="M32" i="14" s="1"/>
  <c r="N45" i="14"/>
  <c r="M45" i="14" s="1"/>
  <c r="N50" i="14"/>
  <c r="M50" i="14" s="1"/>
  <c r="N49" i="14"/>
  <c r="N59" i="14"/>
  <c r="M59" i="14" s="1"/>
  <c r="N53" i="14"/>
  <c r="M53" i="14" s="1"/>
  <c r="N41" i="14"/>
  <c r="M41" i="14" s="1"/>
  <c r="N47" i="14"/>
  <c r="M47" i="14" s="1"/>
  <c r="N55" i="14"/>
  <c r="M55" i="14" s="1"/>
  <c r="N34" i="14"/>
  <c r="M34" i="14" s="1"/>
  <c r="N16" i="14"/>
  <c r="M16" i="14" s="1"/>
  <c r="N19" i="14"/>
  <c r="M19" i="14" s="1"/>
  <c r="N17" i="14"/>
  <c r="M17" i="14" s="1"/>
  <c r="N15" i="14"/>
  <c r="M15" i="14" s="1"/>
  <c r="N18" i="14"/>
  <c r="M18" i="14" s="1"/>
  <c r="N14" i="14"/>
  <c r="M14" i="14" s="1"/>
  <c r="M115" i="14" l="1"/>
  <c r="M117" i="14" s="1"/>
  <c r="M61" i="14"/>
  <c r="M63" i="14" s="1"/>
  <c r="E8" i="11"/>
  <c r="F8" i="11" s="1"/>
  <c r="G8" i="11" s="1"/>
  <c r="H16" i="14"/>
  <c r="H17" i="14"/>
  <c r="H15" i="14"/>
  <c r="H18" i="14"/>
  <c r="H19" i="14"/>
  <c r="E7" i="11"/>
  <c r="H14" i="14"/>
  <c r="G14" i="14" s="1"/>
  <c r="F7" i="11" l="1"/>
  <c r="G18" i="14"/>
  <c r="G15" i="14"/>
  <c r="G17" i="14"/>
  <c r="G16" i="14"/>
  <c r="G19" i="14"/>
  <c r="H9" i="11"/>
  <c r="G7" i="11" l="1"/>
  <c r="K9" i="11"/>
  <c r="J9" i="14"/>
  <c r="K9" i="14" s="1"/>
  <c r="I9" i="11"/>
  <c r="J9" i="11" s="1"/>
  <c r="B8" i="11"/>
  <c r="H7" i="11"/>
  <c r="I18" i="2"/>
  <c r="M18" i="2"/>
  <c r="E18" i="2"/>
  <c r="G18" i="2" s="1"/>
  <c r="C8" i="11" l="1"/>
  <c r="D8" i="11" s="1"/>
  <c r="F9" i="11"/>
  <c r="L9" i="11" s="1"/>
  <c r="I7" i="11"/>
  <c r="H8" i="11"/>
  <c r="K8" i="11" s="1"/>
  <c r="F6" i="2"/>
  <c r="J7" i="11" l="1"/>
  <c r="G9" i="11"/>
  <c r="M9" i="11" s="1"/>
  <c r="J8" i="14"/>
  <c r="K8" i="14" s="1"/>
  <c r="I8" i="11"/>
  <c r="L8" i="11" s="1"/>
  <c r="D92" i="2"/>
  <c r="M69" i="2"/>
  <c r="O69" i="2" s="1"/>
  <c r="M70" i="2"/>
  <c r="O70" i="2" s="1"/>
  <c r="M71" i="2"/>
  <c r="O71" i="2" s="1"/>
  <c r="M72" i="2"/>
  <c r="O72" i="2" s="1"/>
  <c r="M73" i="2"/>
  <c r="O73" i="2" s="1"/>
  <c r="M74" i="2"/>
  <c r="O74" i="2" s="1"/>
  <c r="M75" i="2"/>
  <c r="O75" i="2" s="1"/>
  <c r="M76" i="2"/>
  <c r="O76" i="2" s="1"/>
  <c r="M77" i="2"/>
  <c r="O77" i="2" s="1"/>
  <c r="M78" i="2"/>
  <c r="O78" i="2" s="1"/>
  <c r="M79" i="2"/>
  <c r="O79" i="2" s="1"/>
  <c r="M81" i="2"/>
  <c r="O81" i="2" s="1"/>
  <c r="M82" i="2"/>
  <c r="O82" i="2" s="1"/>
  <c r="M83" i="2"/>
  <c r="O83" i="2" s="1"/>
  <c r="M84" i="2"/>
  <c r="O84" i="2" s="1"/>
  <c r="M85" i="2"/>
  <c r="O85" i="2" s="1"/>
  <c r="M86" i="2"/>
  <c r="O86" i="2" s="1"/>
  <c r="M87" i="2"/>
  <c r="O87" i="2" s="1"/>
  <c r="M88" i="2"/>
  <c r="O88" i="2" s="1"/>
  <c r="M89" i="2"/>
  <c r="O89" i="2" s="1"/>
  <c r="M90" i="2"/>
  <c r="O90" i="2" s="1"/>
  <c r="M68" i="2"/>
  <c r="O68" i="2" s="1"/>
  <c r="J8" i="11" l="1"/>
  <c r="M8" i="11" s="1"/>
  <c r="O91" i="2"/>
  <c r="M91" i="2"/>
  <c r="G92" i="2"/>
  <c r="J92" i="2" l="1"/>
  <c r="G95" i="2"/>
  <c r="G99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68" i="2"/>
  <c r="E69" i="2"/>
  <c r="G69" i="2" s="1"/>
  <c r="E70" i="2"/>
  <c r="G70" i="2" s="1"/>
  <c r="E71" i="2"/>
  <c r="G71" i="2" s="1"/>
  <c r="E72" i="2"/>
  <c r="G72" i="2" s="1"/>
  <c r="E73" i="2"/>
  <c r="G73" i="2" s="1"/>
  <c r="E74" i="2"/>
  <c r="G74" i="2" s="1"/>
  <c r="E75" i="2"/>
  <c r="G75" i="2" s="1"/>
  <c r="E76" i="2"/>
  <c r="G76" i="2" s="1"/>
  <c r="E77" i="2"/>
  <c r="G77" i="2" s="1"/>
  <c r="E78" i="2"/>
  <c r="G78" i="2" s="1"/>
  <c r="E79" i="2"/>
  <c r="G79" i="2" s="1"/>
  <c r="E81" i="2"/>
  <c r="G81" i="2" s="1"/>
  <c r="E82" i="2"/>
  <c r="G82" i="2" s="1"/>
  <c r="E83" i="2"/>
  <c r="G83" i="2" s="1"/>
  <c r="E84" i="2"/>
  <c r="G84" i="2" s="1"/>
  <c r="E85" i="2"/>
  <c r="G85" i="2" s="1"/>
  <c r="E86" i="2"/>
  <c r="G86" i="2" s="1"/>
  <c r="E87" i="2"/>
  <c r="G87" i="2" s="1"/>
  <c r="E88" i="2"/>
  <c r="G88" i="2" s="1"/>
  <c r="E89" i="2"/>
  <c r="G89" i="2" s="1"/>
  <c r="E90" i="2"/>
  <c r="G90" i="2" s="1"/>
  <c r="G64" i="2"/>
  <c r="J64" i="2"/>
  <c r="D64" i="2"/>
  <c r="L42" i="2"/>
  <c r="L43" i="2"/>
  <c r="L44" i="2"/>
  <c r="L45" i="2"/>
  <c r="L46" i="2"/>
  <c r="L47" i="2"/>
  <c r="L48" i="2"/>
  <c r="L49" i="2"/>
  <c r="L50" i="2"/>
  <c r="L51" i="2"/>
  <c r="L52" i="2"/>
  <c r="L54" i="2"/>
  <c r="L55" i="2"/>
  <c r="L56" i="2"/>
  <c r="L57" i="2"/>
  <c r="L58" i="2"/>
  <c r="L59" i="2"/>
  <c r="L60" i="2"/>
  <c r="L61" i="2"/>
  <c r="L62" i="2"/>
  <c r="L63" i="2"/>
  <c r="L41" i="2"/>
  <c r="I42" i="2"/>
  <c r="I43" i="2"/>
  <c r="I44" i="2"/>
  <c r="I45" i="2"/>
  <c r="I46" i="2"/>
  <c r="I47" i="2"/>
  <c r="I48" i="2"/>
  <c r="I49" i="2"/>
  <c r="I50" i="2"/>
  <c r="I51" i="2"/>
  <c r="I52" i="2"/>
  <c r="I54" i="2"/>
  <c r="I55" i="2"/>
  <c r="I56" i="2"/>
  <c r="I57" i="2"/>
  <c r="I58" i="2"/>
  <c r="I59" i="2"/>
  <c r="I60" i="2"/>
  <c r="I61" i="2"/>
  <c r="I62" i="2"/>
  <c r="I63" i="2"/>
  <c r="I41" i="2"/>
  <c r="F42" i="2"/>
  <c r="F43" i="2"/>
  <c r="F44" i="2"/>
  <c r="F45" i="2"/>
  <c r="F46" i="2"/>
  <c r="F47" i="2"/>
  <c r="F48" i="2"/>
  <c r="F49" i="2"/>
  <c r="F50" i="2"/>
  <c r="F51" i="2"/>
  <c r="F52" i="2"/>
  <c r="F54" i="2"/>
  <c r="F55" i="2"/>
  <c r="F56" i="2"/>
  <c r="F57" i="2"/>
  <c r="F58" i="2"/>
  <c r="F59" i="2"/>
  <c r="F60" i="2"/>
  <c r="F61" i="2"/>
  <c r="F62" i="2"/>
  <c r="F63" i="2"/>
  <c r="F41" i="2"/>
  <c r="M19" i="2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M28" i="2"/>
  <c r="O28" i="2" s="1"/>
  <c r="O18" i="2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K18" i="2"/>
  <c r="E22" i="2"/>
  <c r="G22" i="2" s="1"/>
  <c r="E23" i="2"/>
  <c r="G23" i="2" s="1"/>
  <c r="E24" i="2"/>
  <c r="G24" i="2" s="1"/>
  <c r="E25" i="2"/>
  <c r="G25" i="2" s="1"/>
  <c r="E26" i="2"/>
  <c r="G26" i="2" s="1"/>
  <c r="E27" i="2"/>
  <c r="G27" i="2" s="1"/>
  <c r="E28" i="2"/>
  <c r="G28" i="2" s="1"/>
  <c r="E20" i="2"/>
  <c r="G20" i="2" s="1"/>
  <c r="E21" i="2"/>
  <c r="G21" i="2" s="1"/>
  <c r="E19" i="2"/>
  <c r="G19" i="2" s="1"/>
  <c r="J14" i="2"/>
  <c r="G14" i="2"/>
  <c r="D14" i="2"/>
  <c r="L4" i="2"/>
  <c r="L5" i="2"/>
  <c r="L6" i="2"/>
  <c r="L7" i="2"/>
  <c r="L8" i="2"/>
  <c r="L9" i="2"/>
  <c r="L10" i="2"/>
  <c r="L11" i="2"/>
  <c r="L12" i="2"/>
  <c r="L13" i="2"/>
  <c r="L3" i="2"/>
  <c r="I4" i="2"/>
  <c r="I5" i="2"/>
  <c r="I6" i="2"/>
  <c r="I7" i="2"/>
  <c r="I8" i="2"/>
  <c r="I9" i="2"/>
  <c r="I10" i="2"/>
  <c r="I11" i="2"/>
  <c r="I12" i="2"/>
  <c r="I13" i="2"/>
  <c r="I3" i="2"/>
  <c r="F4" i="2"/>
  <c r="F5" i="2"/>
  <c r="F7" i="2"/>
  <c r="F8" i="2"/>
  <c r="F9" i="2"/>
  <c r="F10" i="2"/>
  <c r="F11" i="2"/>
  <c r="F12" i="2"/>
  <c r="F13" i="2"/>
  <c r="F3" i="2"/>
  <c r="D30" i="2"/>
  <c r="I91" i="2" l="1"/>
  <c r="F64" i="2"/>
  <c r="I64" i="2"/>
  <c r="K68" i="2"/>
  <c r="K91" i="2" s="1"/>
  <c r="L64" i="2"/>
  <c r="M29" i="2"/>
  <c r="I29" i="2"/>
  <c r="O19" i="2"/>
  <c r="O29" i="2" s="1"/>
  <c r="F14" i="2"/>
  <c r="E29" i="2"/>
  <c r="L14" i="2"/>
  <c r="I14" i="2"/>
  <c r="K29" i="2"/>
  <c r="G29" i="2"/>
  <c r="G30" i="2"/>
  <c r="F97" i="2" l="1"/>
  <c r="F96" i="2"/>
  <c r="F98" i="2"/>
  <c r="J30" i="2"/>
  <c r="G33" i="2"/>
  <c r="G37" i="2" s="1"/>
  <c r="F36" i="2"/>
  <c r="F34" i="2"/>
  <c r="F35" i="2"/>
  <c r="F33" i="2"/>
  <c r="G116" i="2"/>
  <c r="G115" i="2"/>
  <c r="F37" i="2" l="1"/>
  <c r="H37" i="2" s="1"/>
  <c r="E68" i="2" l="1"/>
  <c r="E91" i="2" l="1"/>
  <c r="G68" i="2"/>
  <c r="G91" i="2" s="1"/>
  <c r="F95" i="2" s="1"/>
  <c r="F99" i="2" s="1"/>
  <c r="H99" i="2" s="1"/>
  <c r="G59" i="14" l="1"/>
  <c r="T61" i="14"/>
  <c r="G60" i="14"/>
  <c r="I61" i="14"/>
  <c r="G7" i="14" l="1"/>
  <c r="J7" i="14" s="1"/>
  <c r="K7" i="14" s="1"/>
  <c r="G61" i="14"/>
  <c r="G63" i="14" s="1"/>
  <c r="E6" i="11"/>
  <c r="E10" i="11" s="1"/>
  <c r="G6" i="14"/>
  <c r="G10" i="14" l="1"/>
  <c r="B7" i="11"/>
  <c r="C7" i="11" s="1"/>
  <c r="L7" i="11" s="1"/>
  <c r="H6" i="11"/>
  <c r="H10" i="11" s="1"/>
  <c r="J6" i="14"/>
  <c r="J10" i="14" s="1"/>
  <c r="B6" i="11"/>
  <c r="C6" i="11" s="1"/>
  <c r="B17" i="11"/>
  <c r="B33" i="11" s="1"/>
  <c r="F6" i="11"/>
  <c r="F10" i="11" l="1"/>
  <c r="C17" i="11" s="1"/>
  <c r="K7" i="11"/>
  <c r="K6" i="14"/>
  <c r="K10" i="14" s="1"/>
  <c r="G6" i="11"/>
  <c r="I6" i="11"/>
  <c r="B18" i="11"/>
  <c r="B34" i="11" s="1"/>
  <c r="B10" i="11"/>
  <c r="B16" i="11" s="1"/>
  <c r="D6" i="11"/>
  <c r="K6" i="11"/>
  <c r="G33" i="11"/>
  <c r="D7" i="11"/>
  <c r="M7" i="11" s="1"/>
  <c r="K10" i="11" l="1"/>
  <c r="G10" i="11"/>
  <c r="D17" i="11" s="1"/>
  <c r="I10" i="11"/>
  <c r="C18" i="11" s="1"/>
  <c r="J6" i="11"/>
  <c r="M6" i="11" s="1"/>
  <c r="M10" i="11" s="1"/>
  <c r="D10" i="11"/>
  <c r="B32" i="11"/>
  <c r="B19" i="11"/>
  <c r="G34" i="11"/>
  <c r="C35" i="11"/>
  <c r="C36" i="11"/>
  <c r="C10" i="11"/>
  <c r="C16" i="11" s="1"/>
  <c r="L6" i="11"/>
  <c r="L10" i="11" s="1"/>
  <c r="J10" i="11" l="1"/>
  <c r="D18" i="11" s="1"/>
  <c r="C19" i="11"/>
  <c r="C37" i="11"/>
  <c r="G35" i="11"/>
  <c r="D20" i="11"/>
  <c r="C5" i="17"/>
  <c r="D16" i="11"/>
  <c r="B37" i="11"/>
  <c r="G32" i="11"/>
  <c r="G36" i="11"/>
  <c r="D19" i="11" l="1"/>
  <c r="B25" i="11" s="1"/>
  <c r="B26" i="11" s="1"/>
  <c r="D5" i="17"/>
  <c r="E5" i="17" s="1"/>
  <c r="G37" i="11"/>
  <c r="F25" i="11" l="1"/>
  <c r="F26" i="11" s="1"/>
  <c r="F27" i="11" s="1"/>
  <c r="E32" i="11" s="1"/>
  <c r="D25" i="11"/>
  <c r="D26" i="11" s="1"/>
  <c r="D27" i="11" s="1"/>
  <c r="D32" i="11" s="1"/>
  <c r="F5" i="17"/>
  <c r="D13" i="17" s="1"/>
  <c r="D14" i="17"/>
  <c r="E34" i="11" l="1"/>
  <c r="E33" i="11"/>
  <c r="D34" i="11"/>
  <c r="F34" i="11" s="1"/>
  <c r="D33" i="11"/>
  <c r="F33" i="11" s="1"/>
  <c r="D36" i="11"/>
  <c r="F36" i="11" s="1"/>
  <c r="D35" i="11"/>
  <c r="F35" i="11" s="1"/>
  <c r="E35" i="11"/>
  <c r="E36" i="11"/>
  <c r="G5" i="17"/>
  <c r="D15" i="17" s="1"/>
  <c r="F32" i="11"/>
  <c r="H5" i="17"/>
  <c r="E37" i="11" l="1"/>
  <c r="D37" i="11"/>
  <c r="F37" i="11" s="1"/>
  <c r="A43" i="11" s="1"/>
  <c r="D45" i="11" s="1"/>
  <c r="I5" i="17"/>
  <c r="D9" i="17" s="1"/>
  <c r="K5" i="17"/>
  <c r="D10" i="17" s="1"/>
  <c r="D17" i="17" s="1"/>
  <c r="C45" i="11" l="1"/>
  <c r="B45" i="11" s="1"/>
  <c r="J5" i="17"/>
  <c r="D8" i="17" s="1"/>
  <c r="E45" i="11" l="1"/>
</calcChain>
</file>

<file path=xl/sharedStrings.xml><?xml version="1.0" encoding="utf-8"?>
<sst xmlns="http://schemas.openxmlformats.org/spreadsheetml/2006/main" count="1217" uniqueCount="340">
  <si>
    <t>Servei</t>
  </si>
  <si>
    <t>Aplicació</t>
  </si>
  <si>
    <t>€ Manteniment correctiu</t>
  </si>
  <si>
    <t>h Manteniment correctiu</t>
  </si>
  <si>
    <t>Servei plec</t>
  </si>
  <si>
    <t>Perfil</t>
  </si>
  <si>
    <t>% dedicació</t>
  </si>
  <si>
    <t>Manteniment correctiu</t>
  </si>
  <si>
    <t>h OT</t>
  </si>
  <si>
    <t>€ OT</t>
  </si>
  <si>
    <t>DATA INICI NOUS SERVEIS</t>
  </si>
  <si>
    <t>Contracte</t>
  </si>
  <si>
    <t>Lot X</t>
  </si>
  <si>
    <t>Manteniment recurrent</t>
  </si>
  <si>
    <t>h Manteniment recurrent</t>
  </si>
  <si>
    <t>€ Manteniment recurrent</t>
  </si>
  <si>
    <t>GR</t>
  </si>
  <si>
    <t>G0026</t>
  </si>
  <si>
    <t>G0004</t>
  </si>
  <si>
    <t>G0018</t>
  </si>
  <si>
    <t>Mediacloud</t>
  </si>
  <si>
    <t>G0074</t>
  </si>
  <si>
    <t>?</t>
  </si>
  <si>
    <t>SER0028</t>
  </si>
  <si>
    <t>SER0044</t>
  </si>
  <si>
    <t>SER0204</t>
  </si>
  <si>
    <t>SER0032</t>
  </si>
  <si>
    <t>SER0046</t>
  </si>
  <si>
    <t>SER0047</t>
  </si>
  <si>
    <t>SER0031</t>
  </si>
  <si>
    <t>SER0412</t>
  </si>
  <si>
    <t>SER0411</t>
  </si>
  <si>
    <t>SER0474</t>
  </si>
  <si>
    <t>SER0473</t>
  </si>
  <si>
    <t>SER0038</t>
  </si>
  <si>
    <t>SER0153</t>
  </si>
  <si>
    <t>SER0027</t>
  </si>
  <si>
    <t>SER0413</t>
  </si>
  <si>
    <t>SER0414</t>
  </si>
  <si>
    <t>SER0150</t>
  </si>
  <si>
    <t>APP0360-Inmagic</t>
  </si>
  <si>
    <t>APP0859-Unicorn-hyperion</t>
  </si>
  <si>
    <t>APP0868-Albala</t>
  </si>
  <si>
    <t>APP0262-eSubvencions</t>
  </si>
  <si>
    <t>APP0858-BCNROC</t>
  </si>
  <si>
    <t>APP0862-Gestió Actius</t>
  </si>
  <si>
    <t>APP0373-INFOLEX</t>
  </si>
  <si>
    <t>APP0865-Infolex de consulta</t>
  </si>
  <si>
    <t>APP0169-Consums energetics</t>
  </si>
  <si>
    <t>APP0421-Manteniment Edificis</t>
  </si>
  <si>
    <t>BKM</t>
  </si>
  <si>
    <t>APP0478-Organismes Municipals</t>
  </si>
  <si>
    <t>APP0860-SAP Subvencions</t>
  </si>
  <si>
    <t>APP0861-SAP Convenis</t>
  </si>
  <si>
    <t>APP0943-Expedient bustia etica</t>
  </si>
  <si>
    <t>APP0867-Recepció factura electrònica</t>
  </si>
  <si>
    <t>APP0864-Emissio factura electrònica</t>
  </si>
  <si>
    <t>APP0866-FENS</t>
  </si>
  <si>
    <t>APP0896-Gestió de bestretes</t>
  </si>
  <si>
    <t>APP0895-Expedients economics(core)</t>
  </si>
  <si>
    <t>APP0150-Compres</t>
  </si>
  <si>
    <t>APP0898-Autorització de viatges</t>
  </si>
  <si>
    <t>APP0176-COPERNICO</t>
  </si>
  <si>
    <t>APP0719-Digitalització actes del plenari</t>
  </si>
  <si>
    <t>APP0295-GASETA</t>
  </si>
  <si>
    <t>APP0668-Tauler d'Edictes</t>
  </si>
  <si>
    <t>APP0591-RIS Unions civils</t>
  </si>
  <si>
    <t>APP0233-eDecrets</t>
  </si>
  <si>
    <t>APP0942-eDecretIns</t>
  </si>
  <si>
    <t>APP0340-GPD</t>
  </si>
  <si>
    <t>APP0571-RecGUB</t>
  </si>
  <si>
    <t>APP0579-RIS centralitzat</t>
  </si>
  <si>
    <t>APP0341-GRA</t>
  </si>
  <si>
    <t>APP0702-VIPS</t>
  </si>
  <si>
    <t>APP0900 - ORGA</t>
  </si>
  <si>
    <t>APP0899 SIAP</t>
  </si>
  <si>
    <t>APP0896 VERDI</t>
  </si>
  <si>
    <t>APP0294-GALIOT consulta històric</t>
  </si>
  <si>
    <t>APP0592-RISPLUS</t>
  </si>
  <si>
    <t>APP0071-Autorització comissió de servei</t>
  </si>
  <si>
    <t>APP0102-CALIMA</t>
  </si>
  <si>
    <t>Governança de serveis i projectes</t>
  </si>
  <si>
    <t>Governança de gestió d'actius</t>
  </si>
  <si>
    <t>Bustia etica</t>
  </si>
  <si>
    <t>G0389</t>
  </si>
  <si>
    <t>G0080</t>
  </si>
  <si>
    <t>G0079</t>
  </si>
  <si>
    <t>G0024</t>
  </si>
  <si>
    <t>No</t>
  </si>
  <si>
    <t>Contrato a parte</t>
  </si>
  <si>
    <t>Producte</t>
  </si>
  <si>
    <t>INCLOURE PROCUCTE O LLICENCIA. Marca</t>
  </si>
  <si>
    <t>Queden fora els següents manteniments:</t>
  </si>
  <si>
    <t>Quden fora d'abast:</t>
  </si>
  <si>
    <t>Nou sistema d'alcaldia</t>
  </si>
  <si>
    <t>Nou registre d'interessos</t>
  </si>
  <si>
    <t>H0094</t>
  </si>
  <si>
    <t>G0519</t>
  </si>
  <si>
    <t>Projecte nou</t>
  </si>
  <si>
    <t>Nou expedient de bustia etica</t>
  </si>
  <si>
    <t>Nou organismes municipals</t>
  </si>
  <si>
    <t>Nou GRA</t>
  </si>
  <si>
    <t>2 lots!!</t>
  </si>
  <si>
    <t>Varia de molt poc</t>
  </si>
  <si>
    <t>GERÈNCIA DE RECURSOS (GR) LOT1 J2EE</t>
  </si>
  <si>
    <t>Glòria Santamaria</t>
  </si>
  <si>
    <t>S</t>
  </si>
  <si>
    <t>GERÈNCIA DE RECURSOS (GR) LOT2 SAP</t>
  </si>
  <si>
    <t>Preu/hora</t>
  </si>
  <si>
    <t>A partir de 16/05/2018</t>
  </si>
  <si>
    <t>h A partir 16/05/2018</t>
  </si>
  <si>
    <t>LOT 1</t>
  </si>
  <si>
    <t>CORR-RECU-OT</t>
  </si>
  <si>
    <t>TRANS</t>
  </si>
  <si>
    <t>LOT 2</t>
  </si>
  <si>
    <t>Data inici contracte</t>
  </si>
  <si>
    <t>Total</t>
  </si>
  <si>
    <t>Preu perfil tipus</t>
  </si>
  <si>
    <t>VE eventuals pròrrogues</t>
  </si>
  <si>
    <t> TOTAL</t>
  </si>
  <si>
    <t>Import màxim ampliació (amb IVA)</t>
  </si>
  <si>
    <t>Import màxim disminució (amb IVA)</t>
  </si>
  <si>
    <t>Import total</t>
  </si>
  <si>
    <t>Import net</t>
  </si>
  <si>
    <t>IVA 21%</t>
  </si>
  <si>
    <t>Any</t>
  </si>
  <si>
    <t>Pressupost net</t>
  </si>
  <si>
    <t>IVA</t>
  </si>
  <si>
    <t>Distribució de pressupost per any</t>
  </si>
  <si>
    <t>Distribució de pressupost per any i per servei</t>
  </si>
  <si>
    <t>Modificacions de contracte: ampliació / disminució</t>
  </si>
  <si>
    <t>Serveis</t>
  </si>
  <si>
    <t>VEC</t>
  </si>
  <si>
    <t>IT Manteniment correctiu</t>
  </si>
  <si>
    <t> </t>
  </si>
  <si>
    <t>Import total licitació</t>
  </si>
  <si>
    <t>Codi Aplicació</t>
  </si>
  <si>
    <t>Data inici servei</t>
  </si>
  <si>
    <t>Nom Aplicació</t>
  </si>
  <si>
    <t>Total import net</t>
  </si>
  <si>
    <t>Total IVA 21%</t>
  </si>
  <si>
    <t>Total import contracte</t>
  </si>
  <si>
    <t>% Ampliació sobre import del contracte</t>
  </si>
  <si>
    <t>% Disminució sobre import del contracte</t>
  </si>
  <si>
    <t>Nom Servei</t>
  </si>
  <si>
    <t>IVA EXCLÒS</t>
  </si>
  <si>
    <t>PT  Manteniment recurrent</t>
  </si>
  <si>
    <t>Data inici transició</t>
  </si>
  <si>
    <t>Causes previstes de modificació</t>
  </si>
  <si>
    <t>Import contracte (IVA inclòs)</t>
  </si>
  <si>
    <t>VE prestació</t>
  </si>
  <si>
    <t>VE modificacions contracte amb increment de cost previstes</t>
  </si>
  <si>
    <t>VE modificacions contracte amb disminució de cost previstes</t>
  </si>
  <si>
    <t>SUMA</t>
  </si>
  <si>
    <t>TOTAL</t>
  </si>
  <si>
    <t>CÀLCUL COSTOS DIRECTES I INDIRECTES PEL PROJECTE</t>
  </si>
  <si>
    <t>Preu
 IVA exclòs</t>
  </si>
  <si>
    <t>Benefici 
Industrial (20%)</t>
  </si>
  <si>
    <t>Cost Total</t>
  </si>
  <si>
    <t>Cost 
Indirecte (8%)</t>
  </si>
  <si>
    <t>Suma costos 
Indirectes</t>
  </si>
  <si>
    <t>Cost 
personal</t>
  </si>
  <si>
    <t>Seguretat 
Social (34%)</t>
  </si>
  <si>
    <t>Salari 
Brut</t>
  </si>
  <si>
    <t>Costos directes:</t>
  </si>
  <si>
    <t>Costos salarials - Salari Brut</t>
  </si>
  <si>
    <t>Costos salarials - Seguretat Social (34%)</t>
  </si>
  <si>
    <t>TOTAL (Suma costos directes)</t>
  </si>
  <si>
    <t>Costos indirectes:</t>
  </si>
  <si>
    <t>TOTAL (Suma costos indirectes)</t>
  </si>
  <si>
    <t>Solvència económica</t>
  </si>
  <si>
    <t>Solvència tècnica</t>
  </si>
  <si>
    <t>TOTAL DE COSTOS (directes + indirectes):</t>
  </si>
  <si>
    <t>Data fi del contracte</t>
  </si>
  <si>
    <t>Preu/hora IVA exclòs</t>
  </si>
  <si>
    <t>Import €/hora amb IVA</t>
  </si>
  <si>
    <t>Suma costos 
directes</t>
  </si>
  <si>
    <t xml:space="preserve">Responsable de contracte  </t>
  </si>
  <si>
    <t>Import 2022</t>
  </si>
  <si>
    <t>Import 2023</t>
  </si>
  <si>
    <t>(*) L'import total de l'IVA correspon al sumatori dels imports individuals detallats a la taula anterior (fila 10, columnes C, F, I, L) i no a l'aplicació directa de l'IVA actual del 21% sobre el pressupost net totalitzat (files 16 a 19 columna B).</t>
  </si>
  <si>
    <t xml:space="preserve">Modificacions per augment o disminució de volumetries en Serveis/Aplicacions </t>
  </si>
  <si>
    <t>Marges possibles solvènvia</t>
  </si>
  <si>
    <t>Anys de contracte</t>
  </si>
  <si>
    <t>ACONSELLABLE</t>
  </si>
  <si>
    <t>MÀXIM</t>
  </si>
  <si>
    <t>MÍNIM</t>
  </si>
  <si>
    <t>1,5 x VEC / anys de contracte</t>
  </si>
  <si>
    <t>1,5 x VEC</t>
  </si>
  <si>
    <t>2/3 VEC / anys de contracte</t>
  </si>
  <si>
    <t xml:space="preserve">  - Llicències</t>
  </si>
  <si>
    <t>€ Llicències</t>
  </si>
  <si>
    <t>Preu perfil IVA inclòs</t>
  </si>
  <si>
    <t>Preu perfil IVA exclòs</t>
  </si>
  <si>
    <t>Import Total IVA exclòs</t>
  </si>
  <si>
    <t>Import Total IVA inclòs</t>
  </si>
  <si>
    <t>Preu / hora /perfil  IVA inclòs</t>
  </si>
  <si>
    <t xml:space="preserve">TT Serveis Transversals de Manteniment </t>
  </si>
  <si>
    <t>€ STM</t>
  </si>
  <si>
    <t xml:space="preserve">Serveis Transversals de Manteniment </t>
  </si>
  <si>
    <t>Import 2024</t>
  </si>
  <si>
    <t>ANY 2022 5 mesos de transició + 7 mesos de servei</t>
  </si>
  <si>
    <t>SER0056</t>
  </si>
  <si>
    <t>SER0057</t>
  </si>
  <si>
    <t>SER0058</t>
  </si>
  <si>
    <t>SER0059</t>
  </si>
  <si>
    <t>SER0060</t>
  </si>
  <si>
    <t>SER0061</t>
  </si>
  <si>
    <t>SER0063</t>
  </si>
  <si>
    <t>SER0064</t>
  </si>
  <si>
    <t>SER0065</t>
  </si>
  <si>
    <t>SER0066</t>
  </si>
  <si>
    <t>SER0068</t>
  </si>
  <si>
    <t>SER0069</t>
  </si>
  <si>
    <t>SER0470</t>
  </si>
  <si>
    <t>SER0631</t>
  </si>
  <si>
    <t>SER0632</t>
  </si>
  <si>
    <t>SER0633</t>
  </si>
  <si>
    <t>SER0634</t>
  </si>
  <si>
    <t>SER0635</t>
  </si>
  <si>
    <t>SER0636</t>
  </si>
  <si>
    <t>SER0637</t>
  </si>
  <si>
    <t>SER0638</t>
  </si>
  <si>
    <t>SER0644</t>
  </si>
  <si>
    <t>SER0659</t>
  </si>
  <si>
    <t>SER0661</t>
  </si>
  <si>
    <t>SER9999</t>
  </si>
  <si>
    <t>APP0247</t>
  </si>
  <si>
    <t>eNotaris</t>
  </si>
  <si>
    <t>Notaris</t>
  </si>
  <si>
    <t>APP0254</t>
  </si>
  <si>
    <t>Tributs vehicles</t>
  </si>
  <si>
    <t>SAP TRM Vehicles</t>
  </si>
  <si>
    <t>APP0729</t>
  </si>
  <si>
    <t>SAP TRM G.Expedients Vehicles</t>
  </si>
  <si>
    <t>APP0931</t>
  </si>
  <si>
    <t>Tributs IBI i Cadastre</t>
  </si>
  <si>
    <t>SAP TRM Cadastre</t>
  </si>
  <si>
    <t>APP0925</t>
  </si>
  <si>
    <t>SAP TRM G.Expedients Cadastre</t>
  </si>
  <si>
    <t>APP0927</t>
  </si>
  <si>
    <t>APP0934</t>
  </si>
  <si>
    <t>Tributs Plusvàlues</t>
  </si>
  <si>
    <t>Tributs IAE</t>
  </si>
  <si>
    <t>SAP TRM G. Expedients IAE</t>
  </si>
  <si>
    <t>APP0928</t>
  </si>
  <si>
    <t>SAP TRM IAE</t>
  </si>
  <si>
    <t>APP0932</t>
  </si>
  <si>
    <t>Tributs Residus</t>
  </si>
  <si>
    <t>SAP TRM G. Expedients Residus</t>
  </si>
  <si>
    <t>APP0930</t>
  </si>
  <si>
    <t>SAP TRM Residus</t>
  </si>
  <si>
    <t>APP0937</t>
  </si>
  <si>
    <t>SAP TRM Recaptació</t>
  </si>
  <si>
    <t>APP0730</t>
  </si>
  <si>
    <t>SAP TRM Contribuents</t>
  </si>
  <si>
    <t>APP0731</t>
  </si>
  <si>
    <t>SAP TRM G. Expedients Sol·licituds</t>
  </si>
  <si>
    <t>APP0938</t>
  </si>
  <si>
    <t>Comptabilitat, deute tercers i operacions massives</t>
  </si>
  <si>
    <t>Passarel pagament</t>
  </si>
  <si>
    <t>APP0496</t>
  </si>
  <si>
    <t>Cobraments, domiciliacions, passarel·la i IVR</t>
  </si>
  <si>
    <t>SAP TRM Liquidació Facturació Autoliquidació</t>
  </si>
  <si>
    <t>APP0933</t>
  </si>
  <si>
    <t xml:space="preserve">Liquidacions, autoliquidacions i facturació </t>
  </si>
  <si>
    <t>eConvenis</t>
  </si>
  <si>
    <t>APP0231</t>
  </si>
  <si>
    <t>Gestió Sancions</t>
  </si>
  <si>
    <t>eMultes</t>
  </si>
  <si>
    <t>APP0245</t>
  </si>
  <si>
    <t>Llistats descentralització (LESS)</t>
  </si>
  <si>
    <t>APP0406</t>
  </si>
  <si>
    <t>SAP TRM Sancions i recursos sancions</t>
  </si>
  <si>
    <t>APP0935</t>
  </si>
  <si>
    <t>MTO monitor</t>
  </si>
  <si>
    <t>APP0958</t>
  </si>
  <si>
    <t>SAU IMH</t>
  </si>
  <si>
    <t>Invesdoc</t>
  </si>
  <si>
    <t>APP0397</t>
  </si>
  <si>
    <t>Arxiu d'imatges digitalitzades</t>
  </si>
  <si>
    <t>APP0907</t>
  </si>
  <si>
    <t>Suport SAU a eConvenis, ePadrons, eMultes i eNotificacions</t>
  </si>
  <si>
    <t>Fraccionaments i expedients de sol·licitud de fraccionament</t>
  </si>
  <si>
    <t>Devolucions i expedients de devolucions, no inclou complementàries</t>
  </si>
  <si>
    <t>Certificat de deute</t>
  </si>
  <si>
    <t>Genèric</t>
  </si>
  <si>
    <t>APP0723</t>
  </si>
  <si>
    <t>Suspensions/paralitzacions, concursal, inclòs expedient i certificats</t>
  </si>
  <si>
    <t>Executiva i notificacions i expedients d'executiva, derivació responsabilitat i gestió activa</t>
  </si>
  <si>
    <t>SAP TRM Expedients recaptació</t>
  </si>
  <si>
    <t>APP0926</t>
  </si>
  <si>
    <t>Embargaments automàtics, CC, ATC, AEAT... i expedients d'embargaments</t>
  </si>
  <si>
    <t>Baixes i expedients de baixes, fallits, baixa ofici, baixa prescripció</t>
  </si>
  <si>
    <t>Gestió Recursos de Sancions</t>
  </si>
  <si>
    <t>SAP TRM G. Expedients Recursos tributs</t>
  </si>
  <si>
    <t>APP0936</t>
  </si>
  <si>
    <t xml:space="preserve">Expedients de Recursos de tributs </t>
  </si>
  <si>
    <t>SAP TRM G.Expedients Inspecció</t>
  </si>
  <si>
    <t>APP0929</t>
  </si>
  <si>
    <t>SAP TRM G.Expedients Inspecció</t>
  </si>
  <si>
    <t>Expedients de gestió Tributària</t>
  </si>
  <si>
    <t>Expedients de Sol·licituds de beneficis fiscals</t>
  </si>
  <si>
    <t>APP9999</t>
  </si>
  <si>
    <t>€ Transició (recurrent)</t>
  </si>
  <si>
    <t>Tecnologia</t>
  </si>
  <si>
    <t>J2EE</t>
  </si>
  <si>
    <t>SAP TRM</t>
  </si>
  <si>
    <t>-</t>
  </si>
  <si>
    <t>FTE</t>
  </si>
  <si>
    <t>ANY 2023 i 2024</t>
  </si>
  <si>
    <t>Treball fet real en incidència. Es paga al final</t>
  </si>
  <si>
    <t>Treball valorat i acceptat. Es paga al final</t>
  </si>
  <si>
    <t>Tarifa plana</t>
  </si>
  <si>
    <t>Segons consum</t>
  </si>
  <si>
    <t>Mesos transició</t>
  </si>
  <si>
    <t>AM IMH (3+2)</t>
  </si>
  <si>
    <t>Mesos Transició</t>
  </si>
  <si>
    <t>TOTAL (sense transició)</t>
  </si>
  <si>
    <t>(sense SAU)</t>
  </si>
  <si>
    <t>Mesos</t>
  </si>
  <si>
    <t>Contribuents, unificació, traspàs de deute i BIs de captació i expedients de cancel·lació i modificació</t>
  </si>
  <si>
    <t>SAP TRM Plusvàlua</t>
  </si>
  <si>
    <t>ePadró</t>
  </si>
  <si>
    <t>Subgrup</t>
  </si>
  <si>
    <t xml:space="preserve">  - Llicències (incloses a STM)</t>
  </si>
  <si>
    <t>GTR - Gestió Tributs</t>
  </si>
  <si>
    <t>GRE - Gestió Recaptació</t>
  </si>
  <si>
    <t>GMU - Gestió Multes</t>
  </si>
  <si>
    <t>GEX - Gestió Expedients</t>
  </si>
  <si>
    <t xml:space="preserve">Analista programador/a J2EE </t>
  </si>
  <si>
    <t>Analista programador/a SAP</t>
  </si>
  <si>
    <t>Consultor/a sènior SAP</t>
  </si>
  <si>
    <t xml:space="preserve">Arquitecte/a / Responsable tècnic/a de seguretat </t>
  </si>
  <si>
    <t>Arquitecte/a / Responsable tècnic/a de seguretat</t>
  </si>
  <si>
    <t>Consultor/a sènior SAP / Arquitecte</t>
  </si>
  <si>
    <t>Compra CB</t>
  </si>
  <si>
    <t>Benefici industrial (20%)</t>
  </si>
  <si>
    <t>Despeses generals d’estructura (8%)</t>
  </si>
  <si>
    <t>Responsable de contracte  (Coordinador/a del contracte / Cap de projecte)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</si>
</sst>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€-403]_-;\-* #,##0.00\ [$€-403]_-;_-* &quot;-&quot;??\ [$€-403]_-;_-@_-"/>
    <numFmt numFmtId="166" formatCode="#,##0.00_ ;[Red]\-#,##0.00\ "/>
    <numFmt numFmtId="167" formatCode="#,##0.0000"/>
    <numFmt numFmtId="168" formatCode="_-* #,##0.00&quot; €&quot;_-;\-* #,##0.00&quot; €&quot;_-;_-* \-??&quot; €&quot;_-;_-@_-"/>
    <numFmt numFmtId="169" formatCode="#,##0.00\ [$€-1]"/>
    <numFmt numFmtId="170" formatCode="#,##0.00&quot;€&quot;"/>
    <numFmt numFmtId="171" formatCode="0.0000%"/>
    <numFmt numFmtId="172" formatCode="#,##0.00000000"/>
    <numFmt numFmtId="173" formatCode="#,##0.0000000"/>
  </numFmts>
  <fonts count="4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1"/>
      <color rgb="FF1F497D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charset val="1"/>
    </font>
    <font>
      <sz val="11"/>
      <name val="Calibri"/>
      <family val="2"/>
    </font>
    <font>
      <b/>
      <sz val="11"/>
      <color rgb="FF0000FF"/>
      <name val="Calibri"/>
      <family val="2"/>
    </font>
    <font>
      <sz val="11"/>
      <color rgb="FF0000FF"/>
      <name val="Calibri"/>
      <family val="2"/>
    </font>
    <font>
      <i/>
      <sz val="11"/>
      <color rgb="FF0000FF"/>
      <name val="Calibri"/>
      <family val="2"/>
    </font>
    <font>
      <sz val="10"/>
      <color theme="1"/>
      <name val="Times New Roman"/>
      <family val="1"/>
    </font>
    <font>
      <b/>
      <sz val="10"/>
      <color rgb="FF000000"/>
      <name val="Calibri"/>
      <family val="2"/>
    </font>
    <font>
      <sz val="8"/>
      <color theme="1"/>
      <name val="Times New Roman"/>
      <family val="1"/>
    </font>
    <font>
      <b/>
      <sz val="12"/>
      <color theme="0"/>
      <name val="Calibri"/>
      <family val="2"/>
    </font>
    <font>
      <b/>
      <sz val="11"/>
      <color theme="0"/>
      <name val="Calibri"/>
      <family val="2"/>
    </font>
    <font>
      <sz val="11"/>
      <color rgb="FF00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DDEBF7"/>
        <bgColor rgb="FFDDEBF7"/>
      </patternFill>
    </fill>
    <fill>
      <patternFill patternType="solid">
        <fgColor rgb="FFFFC000"/>
        <bgColor indexed="64"/>
      </patternFill>
    </fill>
  </fills>
  <borders count="24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0" fillId="0" borderId="0"/>
    <xf numFmtId="0" fontId="31" fillId="0" borderId="0"/>
    <xf numFmtId="43" fontId="31" fillId="0" borderId="0" applyFont="0" applyFill="0" applyBorder="0" applyAlignment="0" applyProtection="0"/>
    <xf numFmtId="168" fontId="31" fillId="0" borderId="0" applyBorder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</cellStyleXfs>
  <cellXfs count="275">
    <xf numFmtId="0" fontId="0" fillId="0" borderId="0" xfId="0"/>
    <xf numFmtId="0" fontId="1" fillId="3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44" fontId="0" fillId="4" borderId="1" xfId="1" applyFont="1" applyFill="1" applyBorder="1" applyAlignment="1">
      <alignment horizontal="center" vertical="center"/>
    </xf>
    <xf numFmtId="0" fontId="0" fillId="5" borderId="0" xfId="0" applyNumberForma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0" fillId="6" borderId="0" xfId="0" applyFill="1" applyBorder="1"/>
    <xf numFmtId="0" fontId="0" fillId="6" borderId="0" xfId="0" applyNumberFormat="1" applyFill="1" applyBorder="1" applyProtection="1">
      <protection hidden="1"/>
    </xf>
    <xf numFmtId="0" fontId="0" fillId="6" borderId="0" xfId="0" applyFill="1"/>
    <xf numFmtId="44" fontId="0" fillId="6" borderId="0" xfId="1" applyFont="1" applyFill="1"/>
    <xf numFmtId="0" fontId="0" fillId="8" borderId="0" xfId="0" applyNumberFormat="1" applyFill="1" applyBorder="1" applyProtection="1">
      <protection hidden="1"/>
    </xf>
    <xf numFmtId="0" fontId="0" fillId="9" borderId="0" xfId="0" applyNumberFormat="1" applyFill="1" applyBorder="1" applyProtection="1">
      <protection hidden="1"/>
    </xf>
    <xf numFmtId="0" fontId="4" fillId="9" borderId="0" xfId="0" applyFont="1" applyFill="1" applyBorder="1"/>
    <xf numFmtId="0" fontId="0" fillId="9" borderId="0" xfId="0" applyFill="1"/>
    <xf numFmtId="0" fontId="0" fillId="9" borderId="0" xfId="0" applyFill="1" applyBorder="1"/>
    <xf numFmtId="0" fontId="4" fillId="5" borderId="0" xfId="0" applyFont="1" applyFill="1" applyBorder="1"/>
    <xf numFmtId="0" fontId="0" fillId="5" borderId="0" xfId="0" applyFill="1"/>
    <xf numFmtId="0" fontId="0" fillId="7" borderId="0" xfId="0" applyFill="1"/>
    <xf numFmtId="0" fontId="0" fillId="7" borderId="0" xfId="0" applyFill="1" applyBorder="1"/>
    <xf numFmtId="0" fontId="0" fillId="0" borderId="0" xfId="0" applyFill="1" applyBorder="1"/>
    <xf numFmtId="0" fontId="0" fillId="8" borderId="0" xfId="0" applyFill="1" applyBorder="1"/>
    <xf numFmtId="0" fontId="0" fillId="0" borderId="0" xfId="0" applyBorder="1"/>
    <xf numFmtId="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0" xfId="0" applyNumberFormat="1"/>
    <xf numFmtId="4" fontId="0" fillId="0" borderId="0" xfId="0" applyNumberFormat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165" fontId="5" fillId="0" borderId="2" xfId="0" applyNumberFormat="1" applyFont="1" applyBorder="1"/>
    <xf numFmtId="165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left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 applyAlignment="1">
      <alignment horizontal="center"/>
    </xf>
    <xf numFmtId="44" fontId="1" fillId="4" borderId="1" xfId="1" applyFont="1" applyFill="1" applyBorder="1" applyAlignment="1">
      <alignment horizontal="center" vertical="center"/>
    </xf>
    <xf numFmtId="165" fontId="0" fillId="0" borderId="0" xfId="0" applyNumberFormat="1" applyBorder="1"/>
    <xf numFmtId="165" fontId="5" fillId="0" borderId="0" xfId="0" applyNumberFormat="1" applyFont="1" applyBorder="1"/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left" wrapText="1"/>
    </xf>
    <xf numFmtId="44" fontId="1" fillId="0" borderId="0" xfId="1" applyFont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166" fontId="0" fillId="0" borderId="0" xfId="0" applyNumberFormat="1"/>
    <xf numFmtId="166" fontId="0" fillId="11" borderId="0" xfId="0" applyNumberFormat="1" applyFill="1"/>
    <xf numFmtId="44" fontId="1" fillId="12" borderId="0" xfId="1" applyFont="1" applyFill="1"/>
    <xf numFmtId="167" fontId="1" fillId="0" borderId="0" xfId="0" applyNumberFormat="1" applyFont="1" applyAlignment="1">
      <alignment horizontal="center"/>
    </xf>
    <xf numFmtId="2" fontId="0" fillId="0" borderId="0" xfId="0" applyNumberFormat="1"/>
    <xf numFmtId="0" fontId="6" fillId="14" borderId="0" xfId="0" applyFont="1" applyFill="1" applyAlignment="1">
      <alignment horizontal="center" vertic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0" xfId="0" applyFont="1"/>
    <xf numFmtId="0" fontId="9" fillId="0" borderId="0" xfId="0" applyFont="1" applyFill="1"/>
    <xf numFmtId="14" fontId="9" fillId="0" borderId="0" xfId="0" applyNumberFormat="1" applyFont="1" applyFill="1"/>
    <xf numFmtId="0" fontId="9" fillId="0" borderId="0" xfId="0" applyFont="1" applyFill="1" applyAlignment="1">
      <alignment horizontal="right"/>
    </xf>
    <xf numFmtId="4" fontId="9" fillId="0" borderId="0" xfId="0" applyNumberFormat="1" applyFont="1" applyFill="1" applyBorder="1" applyAlignment="1">
      <alignment horizontal="center" vertical="center"/>
    </xf>
    <xf numFmtId="0" fontId="1" fillId="0" borderId="0" xfId="0" applyFont="1"/>
    <xf numFmtId="0" fontId="12" fillId="13" borderId="0" xfId="0" applyNumberFormat="1" applyFont="1" applyFill="1" applyBorder="1" applyAlignment="1" applyProtection="1">
      <alignment horizontal="left" vertical="center"/>
      <protection hidden="1"/>
    </xf>
    <xf numFmtId="0" fontId="8" fillId="15" borderId="0" xfId="0" applyFont="1" applyFill="1" applyAlignment="1">
      <alignment horizontal="center" vertical="center" wrapText="1"/>
    </xf>
    <xf numFmtId="0" fontId="8" fillId="14" borderId="0" xfId="0" applyFont="1" applyFill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14" borderId="7" xfId="0" applyFont="1" applyFill="1" applyBorder="1" applyAlignment="1">
      <alignment horizontal="center" vertical="center"/>
    </xf>
    <xf numFmtId="2" fontId="0" fillId="0" borderId="7" xfId="0" applyNumberFormat="1" applyBorder="1"/>
    <xf numFmtId="2" fontId="1" fillId="11" borderId="7" xfId="0" applyNumberFormat="1" applyFont="1" applyFill="1" applyBorder="1" applyAlignment="1">
      <alignment horizontal="right"/>
    </xf>
    <xf numFmtId="10" fontId="0" fillId="0" borderId="7" xfId="0" applyNumberFormat="1" applyBorder="1"/>
    <xf numFmtId="164" fontId="9" fillId="0" borderId="0" xfId="0" applyNumberFormat="1" applyFont="1" applyFill="1" applyAlignment="1">
      <alignment vertical="center"/>
    </xf>
    <xf numFmtId="164" fontId="1" fillId="11" borderId="0" xfId="0" applyNumberFormat="1" applyFont="1" applyFill="1" applyAlignment="1"/>
    <xf numFmtId="164" fontId="9" fillId="0" borderId="0" xfId="0" applyNumberFormat="1" applyFont="1"/>
    <xf numFmtId="0" fontId="14" fillId="0" borderId="0" xfId="0" applyFont="1" applyFill="1" applyAlignment="1">
      <alignment horizontal="left"/>
    </xf>
    <xf numFmtId="0" fontId="15" fillId="0" borderId="0" xfId="0" applyFont="1"/>
    <xf numFmtId="0" fontId="15" fillId="0" borderId="0" xfId="0" applyFont="1" applyBorder="1"/>
    <xf numFmtId="0" fontId="14" fillId="16" borderId="2" xfId="0" applyFont="1" applyFill="1" applyBorder="1" applyAlignment="1">
      <alignment vertical="center" wrapText="1"/>
    </xf>
    <xf numFmtId="0" fontId="16" fillId="14" borderId="4" xfId="0" applyFont="1" applyFill="1" applyBorder="1" applyAlignment="1">
      <alignment horizontal="center" vertical="center"/>
    </xf>
    <xf numFmtId="0" fontId="16" fillId="14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vertical="center"/>
    </xf>
    <xf numFmtId="0" fontId="14" fillId="0" borderId="2" xfId="0" applyFont="1" applyFill="1" applyBorder="1" applyAlignment="1">
      <alignment horizontal="left" vertical="center"/>
    </xf>
    <xf numFmtId="0" fontId="14" fillId="0" borderId="0" xfId="0" applyFont="1"/>
    <xf numFmtId="0" fontId="17" fillId="14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0" fillId="14" borderId="2" xfId="0" applyFont="1" applyFill="1" applyBorder="1" applyAlignment="1">
      <alignment horizontal="center" vertical="center" wrapText="1"/>
    </xf>
    <xf numFmtId="164" fontId="21" fillId="0" borderId="2" xfId="0" applyNumberFormat="1" applyFont="1" applyBorder="1" applyAlignment="1">
      <alignment horizontal="right" vertical="center" wrapText="1"/>
    </xf>
    <xf numFmtId="8" fontId="21" fillId="0" borderId="2" xfId="0" applyNumberFormat="1" applyFont="1" applyBorder="1" applyAlignment="1">
      <alignment horizontal="right" vertical="center"/>
    </xf>
    <xf numFmtId="0" fontId="22" fillId="11" borderId="2" xfId="0" applyFont="1" applyFill="1" applyBorder="1" applyAlignment="1">
      <alignment horizontal="left" vertical="center"/>
    </xf>
    <xf numFmtId="164" fontId="23" fillId="11" borderId="2" xfId="0" applyNumberFormat="1" applyFont="1" applyFill="1" applyBorder="1" applyAlignment="1">
      <alignment horizontal="right" vertical="center" wrapText="1"/>
    </xf>
    <xf numFmtId="10" fontId="23" fillId="11" borderId="2" xfId="0" applyNumberFormat="1" applyFont="1" applyFill="1" applyBorder="1" applyAlignment="1">
      <alignment horizontal="center" vertical="center" wrapText="1"/>
    </xf>
    <xf numFmtId="8" fontId="23" fillId="11" borderId="2" xfId="0" applyNumberFormat="1" applyFont="1" applyFill="1" applyBorder="1" applyAlignment="1">
      <alignment horizontal="right" vertical="center"/>
    </xf>
    <xf numFmtId="0" fontId="24" fillId="14" borderId="3" xfId="0" applyFont="1" applyFill="1" applyBorder="1" applyAlignment="1">
      <alignment horizontal="center" vertical="center"/>
    </xf>
    <xf numFmtId="8" fontId="21" fillId="0" borderId="2" xfId="0" applyNumberFormat="1" applyFont="1" applyFill="1" applyBorder="1" applyAlignment="1">
      <alignment horizontal="right" vertical="center"/>
    </xf>
    <xf numFmtId="0" fontId="25" fillId="11" borderId="2" xfId="0" applyFont="1" applyFill="1" applyBorder="1" applyAlignment="1">
      <alignment horizontal="center" vertical="center"/>
    </xf>
    <xf numFmtId="0" fontId="26" fillId="0" borderId="0" xfId="0" applyFont="1" applyAlignment="1">
      <alignment wrapText="1"/>
    </xf>
    <xf numFmtId="0" fontId="27" fillId="0" borderId="0" xfId="0" applyFont="1"/>
    <xf numFmtId="0" fontId="28" fillId="0" borderId="0" xfId="0" applyFont="1" applyAlignment="1">
      <alignment wrapText="1"/>
    </xf>
    <xf numFmtId="44" fontId="15" fillId="0" borderId="0" xfId="0" applyNumberFormat="1" applyFont="1"/>
    <xf numFmtId="0" fontId="3" fillId="0" borderId="0" xfId="0" applyFont="1"/>
    <xf numFmtId="14" fontId="9" fillId="0" borderId="0" xfId="0" applyNumberFormat="1" applyFont="1"/>
    <xf numFmtId="0" fontId="0" fillId="0" borderId="1" xfId="0" applyBorder="1" applyAlignment="1">
      <alignment wrapText="1"/>
    </xf>
    <xf numFmtId="14" fontId="1" fillId="0" borderId="0" xfId="0" applyNumberFormat="1" applyFont="1"/>
    <xf numFmtId="14" fontId="0" fillId="0" borderId="0" xfId="0" applyNumberFormat="1" applyFont="1"/>
    <xf numFmtId="0" fontId="0" fillId="0" borderId="0" xfId="0" applyFont="1" applyFill="1"/>
    <xf numFmtId="0" fontId="9" fillId="13" borderId="0" xfId="0" applyFont="1" applyFill="1" applyAlignment="1">
      <alignment wrapText="1"/>
    </xf>
    <xf numFmtId="14" fontId="0" fillId="0" borderId="0" xfId="0" applyNumberFormat="1" applyFill="1" applyAlignment="1">
      <alignment wrapText="1"/>
    </xf>
    <xf numFmtId="0" fontId="0" fillId="0" borderId="0" xfId="0" applyFill="1" applyAlignment="1">
      <alignment horizontal="right" wrapText="1"/>
    </xf>
    <xf numFmtId="0" fontId="9" fillId="0" borderId="0" xfId="0" applyFont="1" applyAlignment="1">
      <alignment wrapText="1"/>
    </xf>
    <xf numFmtId="0" fontId="9" fillId="0" borderId="0" xfId="0" applyFont="1" applyFill="1" applyAlignment="1">
      <alignment wrapText="1"/>
    </xf>
    <xf numFmtId="0" fontId="6" fillId="14" borderId="0" xfId="0" applyFont="1" applyFill="1" applyAlignment="1">
      <alignment horizontal="center" vertical="center" wrapText="1"/>
    </xf>
    <xf numFmtId="4" fontId="10" fillId="0" borderId="0" xfId="0" applyNumberFormat="1" applyFont="1" applyAlignment="1">
      <alignment horizontal="left" wrapText="1"/>
    </xf>
    <xf numFmtId="4" fontId="1" fillId="0" borderId="0" xfId="0" applyNumberFormat="1" applyFont="1" applyAlignment="1">
      <alignment horizontal="left" wrapText="1"/>
    </xf>
    <xf numFmtId="4" fontId="10" fillId="11" borderId="0" xfId="0" applyNumberFormat="1" applyFont="1" applyFill="1" applyAlignment="1">
      <alignment horizontal="left" wrapText="1"/>
    </xf>
    <xf numFmtId="0" fontId="0" fillId="0" borderId="9" xfId="0" applyBorder="1" applyAlignment="1">
      <alignment wrapText="1"/>
    </xf>
    <xf numFmtId="4" fontId="29" fillId="0" borderId="0" xfId="0" applyNumberFormat="1" applyFont="1" applyBorder="1" applyAlignment="1">
      <alignment horizontal="center" vertical="center"/>
    </xf>
    <xf numFmtId="164" fontId="29" fillId="0" borderId="0" xfId="0" applyNumberFormat="1" applyFont="1" applyBorder="1" applyAlignment="1">
      <alignment horizontal="right" vertical="center"/>
    </xf>
    <xf numFmtId="4" fontId="29" fillId="0" borderId="0" xfId="0" applyNumberFormat="1" applyFont="1" applyFill="1" applyBorder="1" applyAlignment="1">
      <alignment horizontal="center" vertical="center"/>
    </xf>
    <xf numFmtId="10" fontId="0" fillId="0" borderId="0" xfId="0" applyNumberFormat="1"/>
    <xf numFmtId="44" fontId="15" fillId="11" borderId="2" xfId="0" applyNumberFormat="1" applyFont="1" applyFill="1" applyBorder="1" applyAlignment="1">
      <alignment horizontal="center" vertical="center"/>
    </xf>
    <xf numFmtId="44" fontId="19" fillId="0" borderId="2" xfId="0" applyNumberFormat="1" applyFont="1" applyBorder="1" applyAlignment="1">
      <alignment horizontal="center" vertical="center" wrapText="1"/>
    </xf>
    <xf numFmtId="44" fontId="18" fillId="0" borderId="2" xfId="0" applyNumberFormat="1" applyFont="1" applyBorder="1" applyAlignment="1">
      <alignment horizontal="center" vertical="center" wrapText="1"/>
    </xf>
    <xf numFmtId="44" fontId="19" fillId="0" borderId="0" xfId="0" applyNumberFormat="1" applyFont="1" applyBorder="1" applyAlignment="1">
      <alignment horizontal="center" vertical="center" wrapText="1"/>
    </xf>
    <xf numFmtId="44" fontId="15" fillId="0" borderId="2" xfId="0" applyNumberFormat="1" applyFont="1" applyFill="1" applyBorder="1" applyAlignment="1">
      <alignment horizontal="center" vertical="center"/>
    </xf>
    <xf numFmtId="44" fontId="21" fillId="0" borderId="2" xfId="0" applyNumberFormat="1" applyFont="1" applyBorder="1" applyAlignment="1">
      <alignment horizontal="right" vertical="center"/>
    </xf>
    <xf numFmtId="10" fontId="21" fillId="17" borderId="2" xfId="0" applyNumberFormat="1" applyFont="1" applyFill="1" applyBorder="1" applyAlignment="1">
      <alignment horizontal="center" vertical="center" wrapText="1"/>
    </xf>
    <xf numFmtId="164" fontId="29" fillId="11" borderId="0" xfId="0" applyNumberFormat="1" applyFont="1" applyFill="1" applyAlignment="1"/>
    <xf numFmtId="14" fontId="29" fillId="0" borderId="7" xfId="0" applyNumberFormat="1" applyFont="1" applyFill="1" applyBorder="1" applyAlignment="1">
      <alignment horizontal="center"/>
    </xf>
    <xf numFmtId="44" fontId="29" fillId="0" borderId="8" xfId="1" applyFont="1" applyFill="1" applyBorder="1" applyAlignment="1">
      <alignment horizontal="center" vertical="center"/>
    </xf>
    <xf numFmtId="8" fontId="21" fillId="4" borderId="2" xfId="0" applyNumberFormat="1" applyFont="1" applyFill="1" applyBorder="1" applyAlignment="1">
      <alignment horizontal="right" vertical="center"/>
    </xf>
    <xf numFmtId="0" fontId="15" fillId="4" borderId="2" xfId="0" applyFont="1" applyFill="1" applyBorder="1" applyAlignment="1">
      <alignment horizontal="right"/>
    </xf>
    <xf numFmtId="0" fontId="24" fillId="14" borderId="3" xfId="0" applyFont="1" applyFill="1" applyBorder="1" applyAlignment="1">
      <alignment horizontal="center" vertical="center" wrapText="1"/>
    </xf>
    <xf numFmtId="8" fontId="15" fillId="0" borderId="0" xfId="0" applyNumberFormat="1" applyFont="1"/>
    <xf numFmtId="0" fontId="25" fillId="11" borderId="0" xfId="0" applyFont="1" applyFill="1" applyBorder="1" applyAlignment="1">
      <alignment horizontal="center" vertical="center"/>
    </xf>
    <xf numFmtId="8" fontId="23" fillId="11" borderId="0" xfId="0" applyNumberFormat="1" applyFont="1" applyFill="1" applyBorder="1" applyAlignment="1">
      <alignment horizontal="right" vertical="center"/>
    </xf>
    <xf numFmtId="165" fontId="15" fillId="0" borderId="0" xfId="0" applyNumberFormat="1" applyFont="1"/>
    <xf numFmtId="0" fontId="0" fillId="0" borderId="0" xfId="0" applyFont="1" applyAlignment="1">
      <alignment wrapText="1"/>
    </xf>
    <xf numFmtId="44" fontId="18" fillId="0" borderId="0" xfId="0" applyNumberFormat="1" applyFont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0" fillId="0" borderId="0" xfId="0" applyFont="1" applyAlignment="1"/>
    <xf numFmtId="169" fontId="32" fillId="0" borderId="0" xfId="0" applyNumberFormat="1" applyFont="1"/>
    <xf numFmtId="0" fontId="33" fillId="0" borderId="13" xfId="0" applyFont="1" applyBorder="1" applyAlignment="1"/>
    <xf numFmtId="0" fontId="34" fillId="0" borderId="13" xfId="0" applyFont="1" applyBorder="1" applyAlignment="1"/>
    <xf numFmtId="169" fontId="34" fillId="0" borderId="13" xfId="0" applyNumberFormat="1" applyFont="1" applyBorder="1" applyAlignment="1"/>
    <xf numFmtId="0" fontId="34" fillId="0" borderId="13" xfId="0" applyFont="1" applyBorder="1" applyAlignment="1">
      <alignment horizontal="center"/>
    </xf>
    <xf numFmtId="0" fontId="33" fillId="0" borderId="13" xfId="0" applyFont="1" applyBorder="1" applyAlignment="1">
      <alignment horizontal="right"/>
    </xf>
    <xf numFmtId="170" fontId="35" fillId="19" borderId="13" xfId="0" applyNumberFormat="1" applyFont="1" applyFill="1" applyBorder="1" applyAlignment="1">
      <alignment horizontal="center"/>
    </xf>
    <xf numFmtId="170" fontId="35" fillId="0" borderId="13" xfId="0" applyNumberFormat="1" applyFont="1" applyBorder="1" applyAlignment="1">
      <alignment horizontal="center"/>
    </xf>
    <xf numFmtId="169" fontId="35" fillId="19" borderId="13" xfId="0" applyNumberFormat="1" applyFont="1" applyFill="1" applyBorder="1" applyAlignment="1">
      <alignment horizontal="center"/>
    </xf>
    <xf numFmtId="0" fontId="13" fillId="0" borderId="0" xfId="0" applyFont="1" applyAlignment="1"/>
    <xf numFmtId="0" fontId="32" fillId="0" borderId="11" xfId="0" applyFont="1" applyBorder="1" applyAlignment="1">
      <alignment vertical="top"/>
    </xf>
    <xf numFmtId="0" fontId="32" fillId="0" borderId="0" xfId="0" applyFont="1" applyAlignment="1">
      <alignment vertical="top"/>
    </xf>
    <xf numFmtId="164" fontId="0" fillId="0" borderId="0" xfId="0" applyNumberFormat="1" applyFont="1" applyAlignment="1"/>
    <xf numFmtId="0" fontId="20" fillId="14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36" fillId="0" borderId="15" xfId="0" applyFont="1" applyBorder="1" applyAlignment="1">
      <alignment vertical="center"/>
    </xf>
    <xf numFmtId="0" fontId="36" fillId="0" borderId="0" xfId="0" applyFont="1" applyAlignment="1">
      <alignment vertical="center"/>
    </xf>
    <xf numFmtId="0" fontId="20" fillId="14" borderId="16" xfId="0" applyFont="1" applyFill="1" applyBorder="1" applyAlignment="1">
      <alignment horizontal="center" vertical="center" wrapText="1"/>
    </xf>
    <xf numFmtId="0" fontId="20" fillId="14" borderId="17" xfId="0" applyFont="1" applyFill="1" applyBorder="1" applyAlignment="1">
      <alignment horizontal="center" vertical="center" wrapText="1"/>
    </xf>
    <xf numFmtId="0" fontId="20" fillId="14" borderId="18" xfId="0" applyFont="1" applyFill="1" applyBorder="1" applyAlignment="1">
      <alignment horizontal="center" vertical="center" wrapText="1"/>
    </xf>
    <xf numFmtId="0" fontId="37" fillId="0" borderId="16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8" fontId="0" fillId="0" borderId="0" xfId="0" applyNumberFormat="1"/>
    <xf numFmtId="8" fontId="22" fillId="0" borderId="18" xfId="0" applyNumberFormat="1" applyFont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8" fontId="37" fillId="0" borderId="16" xfId="0" applyNumberFormat="1" applyFont="1" applyBorder="1" applyAlignment="1">
      <alignment horizontal="center" vertical="center" wrapText="1"/>
    </xf>
    <xf numFmtId="8" fontId="37" fillId="0" borderId="18" xfId="0" applyNumberFormat="1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38" fillId="0" borderId="0" xfId="0" applyFont="1" applyAlignment="1">
      <alignment horizontal="justify" vertical="center"/>
    </xf>
    <xf numFmtId="4" fontId="18" fillId="0" borderId="0" xfId="0" applyNumberFormat="1" applyFont="1" applyAlignment="1">
      <alignment horizontal="center"/>
    </xf>
    <xf numFmtId="171" fontId="9" fillId="0" borderId="0" xfId="2" applyNumberFormat="1" applyFont="1"/>
    <xf numFmtId="0" fontId="0" fillId="0" borderId="19" xfId="0" applyBorder="1"/>
    <xf numFmtId="0" fontId="6" fillId="14" borderId="20" xfId="0" applyFont="1" applyFill="1" applyBorder="1" applyAlignment="1">
      <alignment horizontal="center" vertical="center" wrapText="1"/>
    </xf>
    <xf numFmtId="0" fontId="33" fillId="0" borderId="13" xfId="0" applyFont="1" applyBorder="1" applyAlignment="1">
      <alignment horizontal="center" wrapText="1"/>
    </xf>
    <xf numFmtId="0" fontId="34" fillId="0" borderId="13" xfId="0" applyFont="1" applyBorder="1" applyAlignment="1">
      <alignment wrapText="1"/>
    </xf>
    <xf numFmtId="0" fontId="34" fillId="0" borderId="13" xfId="0" applyFont="1" applyBorder="1" applyAlignment="1">
      <alignment horizontal="center" wrapText="1"/>
    </xf>
    <xf numFmtId="0" fontId="33" fillId="19" borderId="13" xfId="0" applyFont="1" applyFill="1" applyBorder="1" applyAlignment="1">
      <alignment horizontal="center" wrapText="1"/>
    </xf>
    <xf numFmtId="169" fontId="33" fillId="19" borderId="13" xfId="0" applyNumberFormat="1" applyFont="1" applyFill="1" applyBorder="1" applyAlignment="1">
      <alignment horizontal="center" wrapText="1"/>
    </xf>
    <xf numFmtId="0" fontId="0" fillId="0" borderId="1" xfId="0" applyFill="1" applyBorder="1" applyAlignment="1">
      <alignment horizontal="left"/>
    </xf>
    <xf numFmtId="0" fontId="6" fillId="13" borderId="0" xfId="0" applyFont="1" applyFill="1"/>
    <xf numFmtId="0" fontId="0" fillId="0" borderId="2" xfId="0" applyBorder="1" applyAlignment="1">
      <alignment horizontal="left"/>
    </xf>
    <xf numFmtId="4" fontId="1" fillId="17" borderId="2" xfId="0" applyNumberFormat="1" applyFont="1" applyFill="1" applyBorder="1" applyAlignment="1">
      <alignment horizontal="center"/>
    </xf>
    <xf numFmtId="0" fontId="0" fillId="0" borderId="0" xfId="0" applyFont="1" applyProtection="1">
      <protection locked="0"/>
    </xf>
    <xf numFmtId="44" fontId="18" fillId="17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4" fontId="11" fillId="11" borderId="0" xfId="0" applyNumberFormat="1" applyFont="1" applyFill="1" applyBorder="1" applyAlignment="1">
      <alignment horizontal="center" vertical="center"/>
    </xf>
    <xf numFmtId="164" fontId="11" fillId="11" borderId="0" xfId="0" applyNumberFormat="1" applyFont="1" applyFill="1" applyAlignment="1"/>
    <xf numFmtId="0" fontId="0" fillId="11" borderId="1" xfId="0" applyFill="1" applyBorder="1" applyAlignment="1">
      <alignment wrapText="1"/>
    </xf>
    <xf numFmtId="0" fontId="0" fillId="11" borderId="1" xfId="0" applyFill="1" applyBorder="1" applyAlignment="1">
      <alignment horizontal="left"/>
    </xf>
    <xf numFmtId="0" fontId="0" fillId="11" borderId="9" xfId="0" applyFill="1" applyBorder="1" applyAlignment="1">
      <alignment wrapText="1"/>
    </xf>
    <xf numFmtId="44" fontId="23" fillId="11" borderId="2" xfId="0" applyNumberFormat="1" applyFont="1" applyFill="1" applyBorder="1" applyAlignment="1">
      <alignment horizontal="right" vertical="center"/>
    </xf>
    <xf numFmtId="0" fontId="28" fillId="0" borderId="2" xfId="0" applyFont="1" applyBorder="1" applyAlignment="1">
      <alignment horizontal="center" wrapText="1"/>
    </xf>
    <xf numFmtId="0" fontId="15" fillId="0" borderId="0" xfId="0" quotePrefix="1" applyFont="1" applyAlignment="1">
      <alignment horizontal="center"/>
    </xf>
    <xf numFmtId="0" fontId="15" fillId="0" borderId="0" xfId="0" quotePrefix="1" applyFont="1"/>
    <xf numFmtId="0" fontId="39" fillId="14" borderId="3" xfId="0" applyFont="1" applyFill="1" applyBorder="1" applyAlignment="1">
      <alignment horizontal="left" vertical="center" wrapText="1"/>
    </xf>
    <xf numFmtId="44" fontId="39" fillId="14" borderId="3" xfId="1" applyFont="1" applyFill="1" applyBorder="1" applyAlignment="1">
      <alignment horizontal="left" vertical="center" wrapText="1"/>
    </xf>
    <xf numFmtId="0" fontId="29" fillId="0" borderId="13" xfId="0" applyFont="1" applyBorder="1" applyAlignment="1">
      <alignment vertical="top"/>
    </xf>
    <xf numFmtId="0" fontId="29" fillId="0" borderId="13" xfId="0" applyFont="1" applyBorder="1" applyAlignment="1">
      <alignment horizontal="left" vertical="top"/>
    </xf>
    <xf numFmtId="170" fontId="29" fillId="0" borderId="12" xfId="0" applyNumberFormat="1" applyFont="1" applyBorder="1" applyAlignment="1">
      <alignment horizontal="right" vertical="top"/>
    </xf>
    <xf numFmtId="170" fontId="11" fillId="0" borderId="12" xfId="0" applyNumberFormat="1" applyFont="1" applyBorder="1" applyAlignment="1">
      <alignment horizontal="right" vertical="top"/>
    </xf>
    <xf numFmtId="0" fontId="29" fillId="0" borderId="11" xfId="0" applyFont="1" applyBorder="1" applyAlignment="1">
      <alignment vertical="top"/>
    </xf>
    <xf numFmtId="0" fontId="8" fillId="14" borderId="3" xfId="0" applyFont="1" applyFill="1" applyBorder="1" applyAlignment="1">
      <alignment horizontal="left" vertical="center" wrapText="1"/>
    </xf>
    <xf numFmtId="169" fontId="11" fillId="0" borderId="14" xfId="0" applyNumberFormat="1" applyFont="1" applyBorder="1" applyAlignment="1">
      <alignment horizontal="right" vertical="top"/>
    </xf>
    <xf numFmtId="0" fontId="1" fillId="11" borderId="7" xfId="0" applyFont="1" applyFill="1" applyBorder="1" applyAlignment="1">
      <alignment horizontal="left"/>
    </xf>
    <xf numFmtId="0" fontId="6" fillId="14" borderId="7" xfId="0" applyFont="1" applyFill="1" applyBorder="1" applyAlignment="1">
      <alignment horizontal="center" vertical="center" wrapText="1"/>
    </xf>
    <xf numFmtId="0" fontId="6" fillId="15" borderId="0" xfId="0" applyFont="1" applyFill="1" applyAlignment="1">
      <alignment horizontal="center" vertical="center" wrapText="1"/>
    </xf>
    <xf numFmtId="164" fontId="3" fillId="0" borderId="0" xfId="0" applyNumberFormat="1" applyFont="1" applyFill="1" applyAlignment="1">
      <alignment vertical="center"/>
    </xf>
    <xf numFmtId="0" fontId="0" fillId="0" borderId="2" xfId="0" applyBorder="1" applyAlignment="1">
      <alignment horizontal="center"/>
    </xf>
    <xf numFmtId="8" fontId="15" fillId="17" borderId="0" xfId="0" applyNumberFormat="1" applyFont="1" applyFill="1"/>
    <xf numFmtId="0" fontId="15" fillId="17" borderId="0" xfId="0" applyFont="1" applyFill="1" applyAlignment="1">
      <alignment horizontal="center"/>
    </xf>
    <xf numFmtId="0" fontId="5" fillId="17" borderId="0" xfId="0" applyFont="1" applyFill="1" applyAlignment="1">
      <alignment wrapText="1"/>
    </xf>
    <xf numFmtId="14" fontId="29" fillId="0" borderId="0" xfId="0" applyNumberFormat="1" applyFont="1" applyFill="1" applyBorder="1" applyAlignment="1">
      <alignment horizontal="center"/>
    </xf>
    <xf numFmtId="0" fontId="12" fillId="13" borderId="0" xfId="0" applyNumberFormat="1" applyFont="1" applyFill="1" applyBorder="1" applyAlignment="1" applyProtection="1">
      <alignment horizontal="center" vertical="center"/>
      <protection hidden="1"/>
    </xf>
    <xf numFmtId="0" fontId="11" fillId="0" borderId="0" xfId="0" applyNumberFormat="1" applyFont="1" applyFill="1" applyBorder="1" applyAlignment="1" applyProtection="1">
      <alignment horizontal="center"/>
      <protection hidden="1"/>
    </xf>
    <xf numFmtId="0" fontId="10" fillId="0" borderId="0" xfId="0" applyNumberFormat="1" applyFont="1" applyFill="1" applyBorder="1" applyAlignment="1" applyProtection="1">
      <alignment horizontal="center"/>
      <protection hidden="1"/>
    </xf>
    <xf numFmtId="0" fontId="9" fillId="0" borderId="0" xfId="0" applyFont="1" applyAlignment="1">
      <alignment horizontal="center"/>
    </xf>
    <xf numFmtId="0" fontId="0" fillId="0" borderId="2" xfId="0" applyFill="1" applyBorder="1" applyAlignment="1">
      <alignment horizontal="center"/>
    </xf>
    <xf numFmtId="0" fontId="5" fillId="17" borderId="0" xfId="0" applyFont="1" applyFill="1" applyAlignment="1">
      <alignment horizontal="left"/>
    </xf>
    <xf numFmtId="164" fontId="29" fillId="0" borderId="0" xfId="0" applyNumberFormat="1" applyFont="1" applyFill="1" applyAlignment="1">
      <alignment vertical="center"/>
    </xf>
    <xf numFmtId="0" fontId="7" fillId="13" borderId="0" xfId="0" applyFont="1" applyFill="1" applyAlignment="1">
      <alignment horizontal="center" wrapText="1"/>
    </xf>
    <xf numFmtId="0" fontId="9" fillId="0" borderId="0" xfId="0" applyFont="1" applyFill="1" applyAlignment="1">
      <alignment horizontal="center" wrapText="1"/>
    </xf>
    <xf numFmtId="0" fontId="9" fillId="0" borderId="0" xfId="0" applyFont="1" applyAlignment="1">
      <alignment horizontal="center" wrapText="1"/>
    </xf>
    <xf numFmtId="4" fontId="10" fillId="0" borderId="0" xfId="0" applyNumberFormat="1" applyFont="1" applyAlignment="1">
      <alignment horizontal="center" wrapText="1"/>
    </xf>
    <xf numFmtId="4" fontId="1" fillId="0" borderId="0" xfId="0" applyNumberFormat="1" applyFont="1" applyAlignment="1">
      <alignment horizontal="center" wrapText="1"/>
    </xf>
    <xf numFmtId="4" fontId="10" fillId="11" borderId="0" xfId="0" applyNumberFormat="1" applyFont="1" applyFill="1" applyAlignment="1">
      <alignment horizontal="center" wrapText="1"/>
    </xf>
    <xf numFmtId="0" fontId="9" fillId="0" borderId="0" xfId="0" applyFont="1" applyAlignment="1" applyProtection="1">
      <alignment horizontal="center" wrapText="1"/>
      <protection locked="0"/>
    </xf>
    <xf numFmtId="0" fontId="0" fillId="0" borderId="2" xfId="0" applyBorder="1" applyAlignment="1">
      <alignment horizontal="center" wrapText="1"/>
    </xf>
    <xf numFmtId="0" fontId="0" fillId="11" borderId="0" xfId="0" applyFill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172" fontId="29" fillId="0" borderId="0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wrapText="1"/>
    </xf>
    <xf numFmtId="0" fontId="1" fillId="0" borderId="0" xfId="0" applyFont="1" applyBorder="1" applyAlignment="1">
      <alignment horizontal="center" wrapText="1"/>
    </xf>
    <xf numFmtId="4" fontId="11" fillId="0" borderId="0" xfId="0" applyNumberFormat="1" applyFont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2" xfId="0" applyBorder="1" applyAlignment="1" applyProtection="1">
      <alignment horizontal="center"/>
      <protection locked="0"/>
    </xf>
    <xf numFmtId="14" fontId="29" fillId="0" borderId="2" xfId="0" applyNumberFormat="1" applyFont="1" applyFill="1" applyBorder="1" applyAlignment="1">
      <alignment horizontal="center"/>
    </xf>
    <xf numFmtId="44" fontId="29" fillId="0" borderId="2" xfId="1" applyFont="1" applyFill="1" applyBorder="1" applyAlignment="1">
      <alignment horizontal="center" vertical="center"/>
    </xf>
    <xf numFmtId="164" fontId="1" fillId="0" borderId="0" xfId="0" applyNumberFormat="1" applyFont="1"/>
    <xf numFmtId="164" fontId="29" fillId="0" borderId="8" xfId="1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wrapText="1"/>
    </xf>
    <xf numFmtId="0" fontId="9" fillId="0" borderId="2" xfId="0" applyFont="1" applyBorder="1" applyAlignment="1">
      <alignment horizontal="center"/>
    </xf>
    <xf numFmtId="14" fontId="9" fillId="0" borderId="2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14" fontId="0" fillId="0" borderId="2" xfId="0" applyNumberFormat="1" applyFont="1" applyBorder="1" applyAlignment="1">
      <alignment horizontal="center"/>
    </xf>
    <xf numFmtId="44" fontId="15" fillId="20" borderId="2" xfId="0" applyNumberFormat="1" applyFont="1" applyFill="1" applyBorder="1" applyAlignment="1">
      <alignment horizontal="center" vertical="center"/>
    </xf>
    <xf numFmtId="8" fontId="21" fillId="20" borderId="2" xfId="0" applyNumberFormat="1" applyFont="1" applyFill="1" applyBorder="1" applyAlignment="1">
      <alignment horizontal="right" vertical="center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wrapText="1"/>
      <protection locked="0"/>
    </xf>
    <xf numFmtId="0" fontId="0" fillId="0" borderId="2" xfId="0" applyFill="1" applyBorder="1"/>
    <xf numFmtId="0" fontId="29" fillId="0" borderId="2" xfId="0" applyFont="1" applyFill="1" applyBorder="1"/>
    <xf numFmtId="0" fontId="9" fillId="17" borderId="0" xfId="0" applyFont="1" applyFill="1" applyProtection="1">
      <protection locked="0"/>
    </xf>
    <xf numFmtId="173" fontId="11" fillId="11" borderId="0" xfId="0" applyNumberFormat="1" applyFont="1" applyFill="1" applyBorder="1" applyAlignment="1">
      <alignment horizontal="center" vertical="center"/>
    </xf>
    <xf numFmtId="4" fontId="41" fillId="0" borderId="0" xfId="0" applyNumberFormat="1" applyFont="1"/>
    <xf numFmtId="4" fontId="1" fillId="0" borderId="2" xfId="0" applyNumberFormat="1" applyFont="1" applyFill="1" applyBorder="1" applyAlignment="1">
      <alignment horizontal="center"/>
    </xf>
    <xf numFmtId="9" fontId="0" fillId="0" borderId="0" xfId="2" applyFont="1"/>
    <xf numFmtId="0" fontId="0" fillId="0" borderId="2" xfId="0" applyFill="1" applyBorder="1" applyAlignment="1">
      <alignment wrapText="1"/>
    </xf>
    <xf numFmtId="0" fontId="1" fillId="11" borderId="7" xfId="0" applyFont="1" applyFill="1" applyBorder="1" applyAlignment="1">
      <alignment horizontal="left"/>
    </xf>
    <xf numFmtId="0" fontId="7" fillId="18" borderId="7" xfId="0" applyFont="1" applyFill="1" applyBorder="1" applyAlignment="1">
      <alignment horizontal="center" vertical="center"/>
    </xf>
    <xf numFmtId="0" fontId="7" fillId="18" borderId="7" xfId="0" applyFont="1" applyFill="1" applyBorder="1" applyAlignment="1">
      <alignment horizontal="center" vertical="center" wrapText="1"/>
    </xf>
    <xf numFmtId="0" fontId="39" fillId="14" borderId="22" xfId="0" applyFont="1" applyFill="1" applyBorder="1" applyAlignment="1">
      <alignment horizontal="center" vertical="center" wrapText="1"/>
    </xf>
    <xf numFmtId="0" fontId="39" fillId="14" borderId="23" xfId="0" applyFont="1" applyFill="1" applyBorder="1" applyAlignment="1">
      <alignment horizontal="center" vertical="center" wrapText="1"/>
    </xf>
    <xf numFmtId="0" fontId="40" fillId="14" borderId="3" xfId="0" applyFont="1" applyFill="1" applyBorder="1" applyAlignment="1">
      <alignment horizontal="center" vertical="center" wrapText="1"/>
    </xf>
    <xf numFmtId="0" fontId="40" fillId="14" borderId="6" xfId="0" applyFont="1" applyFill="1" applyBorder="1" applyAlignment="1">
      <alignment horizontal="center" vertical="center" wrapText="1"/>
    </xf>
    <xf numFmtId="0" fontId="16" fillId="14" borderId="3" xfId="0" applyFont="1" applyFill="1" applyBorder="1" applyAlignment="1">
      <alignment horizontal="center" vertical="center"/>
    </xf>
    <xf numFmtId="0" fontId="16" fillId="14" borderId="5" xfId="0" applyFont="1" applyFill="1" applyBorder="1" applyAlignment="1">
      <alignment horizontal="center" vertical="center"/>
    </xf>
    <xf numFmtId="0" fontId="16" fillId="14" borderId="6" xfId="0" applyFont="1" applyFill="1" applyBorder="1" applyAlignment="1">
      <alignment horizontal="center" vertical="center"/>
    </xf>
    <xf numFmtId="0" fontId="15" fillId="0" borderId="2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</cellXfs>
  <cellStyles count="10">
    <cellStyle name="Coma 2" xfId="5"/>
    <cellStyle name="Millares 2" xfId="7"/>
    <cellStyle name="Moneda" xfId="1" builtinId="4"/>
    <cellStyle name="Moneda 2" xfId="6"/>
    <cellStyle name="Normal" xfId="0" builtinId="0"/>
    <cellStyle name="Normal 2" xfId="4"/>
    <cellStyle name="Normal 3" xfId="3"/>
    <cellStyle name="Normal 4" xfId="8"/>
    <cellStyle name="Normal 5" xfId="9"/>
    <cellStyle name="Percentatge" xfId="2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161925</xdr:colOff>
          <xdr:row>63</xdr:row>
          <xdr:rowOff>171450</xdr:rowOff>
        </xdr:from>
        <xdr:to>
          <xdr:col>2</xdr:col>
          <xdr:colOff>304800</xdr:colOff>
          <xdr:row>65</xdr:row>
          <xdr:rowOff>19050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161925</xdr:colOff>
          <xdr:row>63</xdr:row>
          <xdr:rowOff>171450</xdr:rowOff>
        </xdr:from>
        <xdr:to>
          <xdr:col>2</xdr:col>
          <xdr:colOff>304800</xdr:colOff>
          <xdr:row>65</xdr:row>
          <xdr:rowOff>19050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161925</xdr:colOff>
          <xdr:row>63</xdr:row>
          <xdr:rowOff>171450</xdr:rowOff>
        </xdr:from>
        <xdr:to>
          <xdr:col>2</xdr:col>
          <xdr:colOff>304800</xdr:colOff>
          <xdr:row>65</xdr:row>
          <xdr:rowOff>19050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161925</xdr:colOff>
          <xdr:row>63</xdr:row>
          <xdr:rowOff>171450</xdr:rowOff>
        </xdr:from>
        <xdr:to>
          <xdr:col>2</xdr:col>
          <xdr:colOff>304800</xdr:colOff>
          <xdr:row>65</xdr:row>
          <xdr:rowOff>19050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161925</xdr:colOff>
          <xdr:row>63</xdr:row>
          <xdr:rowOff>171450</xdr:rowOff>
        </xdr:from>
        <xdr:to>
          <xdr:col>2</xdr:col>
          <xdr:colOff>304800</xdr:colOff>
          <xdr:row>65</xdr:row>
          <xdr:rowOff>19050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1"/>
  <dimension ref="A1:AA121"/>
  <sheetViews>
    <sheetView tabSelected="1" zoomScaleNormal="100" workbookViewId="0">
      <pane xSplit="2" topLeftCell="C1" activePane="topRight" state="frozen"/>
      <selection pane="topRight" activeCell="S1" sqref="S1:S1048576"/>
    </sheetView>
  </sheetViews>
  <sheetFormatPr defaultColWidth="11.42578125" defaultRowHeight="15" x14ac:dyDescent="0.25"/>
  <cols>
    <col min="1" max="1" width="19.140625" style="219" bestFit="1" customWidth="1"/>
    <col min="2" max="2" width="11.5703125" style="59" bestFit="1" customWidth="1"/>
    <col min="3" max="3" width="28.140625" style="58" customWidth="1"/>
    <col min="4" max="4" width="19.28515625" style="59" bestFit="1" customWidth="1"/>
    <col min="5" max="5" width="32.42578125" style="229" customWidth="1"/>
    <col min="6" max="6" width="17.5703125" style="58" customWidth="1"/>
    <col min="7" max="7" width="17.85546875" style="58" customWidth="1"/>
    <col min="8" max="8" width="16.7109375" style="60" customWidth="1"/>
    <col min="9" max="9" width="18.42578125" style="60" customWidth="1"/>
    <col min="10" max="11" width="16.140625" style="60" customWidth="1"/>
    <col min="12" max="12" width="18.7109375" style="60" customWidth="1"/>
    <col min="13" max="13" width="16.42578125" style="60" customWidth="1"/>
    <col min="14" max="15" width="15.5703125" style="60" customWidth="1"/>
    <col min="16" max="16" width="12.28515625" style="60" customWidth="1"/>
    <col min="17" max="17" width="11.7109375" style="60" customWidth="1"/>
    <col min="18" max="18" width="11.7109375" style="219" customWidth="1"/>
    <col min="19" max="20" width="14.42578125" style="60" customWidth="1"/>
    <col min="21" max="22" width="17.85546875" style="61" bestFit="1" customWidth="1"/>
    <col min="23" max="23" width="14.42578125" style="102" customWidth="1"/>
    <col min="24" max="24" width="11.5703125" style="61" bestFit="1" customWidth="1"/>
    <col min="25" max="25" width="18.28515625" style="61" bestFit="1" customWidth="1"/>
    <col min="26" max="26" width="17.28515625" style="61" customWidth="1"/>
    <col min="27" max="27" width="14" style="60" customWidth="1"/>
    <col min="28" max="29" width="11.42578125" style="60"/>
    <col min="30" max="30" width="12.7109375" style="60" bestFit="1" customWidth="1"/>
    <col min="31" max="16384" width="11.42578125" style="60"/>
  </cols>
  <sheetData>
    <row r="1" spans="1:26" ht="31.5" customHeight="1" x14ac:dyDescent="0.25">
      <c r="A1" s="216" t="s">
        <v>316</v>
      </c>
      <c r="B1" s="108"/>
      <c r="C1" s="183"/>
      <c r="D1" s="66"/>
      <c r="E1" s="223"/>
      <c r="F1" s="61"/>
      <c r="G1" s="60"/>
      <c r="T1" s="246" t="s">
        <v>317</v>
      </c>
      <c r="U1" s="246" t="s">
        <v>147</v>
      </c>
      <c r="V1" s="102"/>
      <c r="W1" s="61"/>
      <c r="X1" s="60"/>
      <c r="Y1" s="60"/>
      <c r="Z1" s="60"/>
    </row>
    <row r="2" spans="1:26" x14ac:dyDescent="0.25">
      <c r="A2" s="217" t="s">
        <v>115</v>
      </c>
      <c r="B2" s="109">
        <v>44562</v>
      </c>
      <c r="C2" s="62"/>
      <c r="D2" s="112"/>
      <c r="E2" s="224"/>
      <c r="F2" s="109"/>
      <c r="H2" s="74"/>
      <c r="Q2" s="102"/>
      <c r="R2" s="239"/>
      <c r="T2" s="247">
        <v>0</v>
      </c>
      <c r="U2" s="248">
        <v>44713</v>
      </c>
      <c r="V2" s="60"/>
      <c r="W2" s="60"/>
      <c r="X2" s="60"/>
      <c r="Y2" s="60"/>
      <c r="Z2" s="60"/>
    </row>
    <row r="3" spans="1:26" x14ac:dyDescent="0.25">
      <c r="A3" s="39" t="s">
        <v>137</v>
      </c>
      <c r="B3" s="109">
        <v>44713</v>
      </c>
      <c r="C3" s="62"/>
      <c r="D3" s="112"/>
      <c r="E3" s="224"/>
      <c r="F3" s="103"/>
      <c r="H3" s="74"/>
      <c r="Q3" s="102"/>
      <c r="R3" s="239"/>
      <c r="T3" s="247">
        <v>1</v>
      </c>
      <c r="U3" s="248">
        <v>44682</v>
      </c>
      <c r="V3" s="60"/>
      <c r="W3" s="60"/>
      <c r="X3" s="60"/>
      <c r="Y3" s="60"/>
      <c r="Z3" s="60"/>
    </row>
    <row r="4" spans="1:26" x14ac:dyDescent="0.25">
      <c r="A4" s="217" t="s">
        <v>173</v>
      </c>
      <c r="B4" s="109">
        <v>45657</v>
      </c>
      <c r="C4" s="62"/>
      <c r="D4" s="111"/>
      <c r="E4" s="225"/>
      <c r="F4" s="60"/>
      <c r="J4" s="174"/>
      <c r="Q4" s="102"/>
      <c r="R4" s="239"/>
      <c r="S4" s="61"/>
      <c r="T4" s="247">
        <v>2</v>
      </c>
      <c r="U4" s="248">
        <v>44652</v>
      </c>
      <c r="V4" s="60"/>
      <c r="W4" s="60"/>
      <c r="X4" s="60"/>
      <c r="Y4" s="60"/>
      <c r="Z4" s="60"/>
    </row>
    <row r="5" spans="1:26" ht="30" x14ac:dyDescent="0.25">
      <c r="A5" s="217"/>
      <c r="B5" s="217"/>
      <c r="C5" s="110"/>
      <c r="D5" s="63"/>
      <c r="E5" s="113" t="s">
        <v>0</v>
      </c>
      <c r="F5" s="113"/>
      <c r="G5" s="57" t="s">
        <v>178</v>
      </c>
      <c r="H5" s="57" t="s">
        <v>179</v>
      </c>
      <c r="I5" s="57" t="s">
        <v>200</v>
      </c>
      <c r="J5" s="209" t="s">
        <v>195</v>
      </c>
      <c r="K5" s="209" t="s">
        <v>194</v>
      </c>
      <c r="R5" s="102"/>
      <c r="S5" s="239"/>
      <c r="T5" s="247">
        <v>3</v>
      </c>
      <c r="U5" s="248">
        <v>44621</v>
      </c>
      <c r="W5" s="60"/>
      <c r="X5" s="60"/>
      <c r="Y5" s="60"/>
      <c r="Z5" s="60"/>
    </row>
    <row r="6" spans="1:26" x14ac:dyDescent="0.25">
      <c r="A6" s="218"/>
      <c r="B6" s="218"/>
      <c r="C6" s="186" t="s">
        <v>311</v>
      </c>
      <c r="E6" s="114" t="s">
        <v>7</v>
      </c>
      <c r="F6" s="226"/>
      <c r="G6" s="74">
        <f>+I61</f>
        <v>609478.4360000001</v>
      </c>
      <c r="H6" s="74">
        <f>+I115</f>
        <v>918949.71280040871</v>
      </c>
      <c r="I6" s="74">
        <f>+I115</f>
        <v>918949.71280040871</v>
      </c>
      <c r="J6" s="74">
        <f>SUM(G6:I6)</f>
        <v>2447377.8616008176</v>
      </c>
      <c r="K6" s="210">
        <f>+ROUND(J6/1.21,2)</f>
        <v>2022626.33</v>
      </c>
      <c r="R6" s="102"/>
      <c r="S6" s="239"/>
      <c r="T6" s="249">
        <v>4</v>
      </c>
      <c r="U6" s="248">
        <v>44593</v>
      </c>
      <c r="W6" s="106"/>
      <c r="X6" s="60"/>
      <c r="Y6" s="60"/>
      <c r="Z6" s="60"/>
    </row>
    <row r="7" spans="1:26" x14ac:dyDescent="0.25">
      <c r="B7" s="219"/>
      <c r="C7" s="186" t="s">
        <v>312</v>
      </c>
      <c r="E7" s="114" t="s">
        <v>13</v>
      </c>
      <c r="F7" s="226"/>
      <c r="G7" s="74">
        <f>+L61+T61</f>
        <v>1089866.4940000004</v>
      </c>
      <c r="H7" s="74">
        <f>+L115</f>
        <v>1378424.5692006131</v>
      </c>
      <c r="I7" s="74">
        <f>+L115</f>
        <v>1378424.5692006131</v>
      </c>
      <c r="J7" s="74">
        <f>SUM(G7:I7)</f>
        <v>3846715.6324012266</v>
      </c>
      <c r="K7" s="210">
        <f>+ROUND(J7/1.21,2)</f>
        <v>3179103.83</v>
      </c>
      <c r="R7" s="102"/>
      <c r="S7" s="239"/>
      <c r="T7" s="249">
        <v>5</v>
      </c>
      <c r="U7" s="250">
        <v>44562</v>
      </c>
      <c r="V7" s="103"/>
      <c r="W7" s="103"/>
      <c r="X7" s="60"/>
      <c r="Y7" s="60"/>
      <c r="Z7" s="60"/>
    </row>
    <row r="8" spans="1:26" ht="30" x14ac:dyDescent="0.25">
      <c r="B8" s="219"/>
      <c r="C8" s="186" t="s">
        <v>313</v>
      </c>
      <c r="E8" s="115" t="s">
        <v>199</v>
      </c>
      <c r="F8" s="227"/>
      <c r="G8" s="74">
        <f>+O61</f>
        <v>342161.86</v>
      </c>
      <c r="H8" s="74">
        <f>+O115+P115</f>
        <v>536970.75</v>
      </c>
      <c r="I8" s="74">
        <f>+O115+P115</f>
        <v>536970.75</v>
      </c>
      <c r="J8" s="74">
        <f>SUM(G8:I8)</f>
        <v>1416103.3599999999</v>
      </c>
      <c r="K8" s="210">
        <f>+ROUND(J8/1.21,2)</f>
        <v>1170333.3600000001</v>
      </c>
      <c r="R8" s="102"/>
      <c r="S8" s="239"/>
      <c r="U8" s="60"/>
      <c r="V8" s="60"/>
      <c r="W8" s="60"/>
      <c r="X8" s="60"/>
      <c r="Y8" s="60"/>
      <c r="Z8" s="60"/>
    </row>
    <row r="9" spans="1:26" x14ac:dyDescent="0.25">
      <c r="B9" s="219"/>
      <c r="C9" s="186" t="s">
        <v>314</v>
      </c>
      <c r="E9" s="115" t="s">
        <v>325</v>
      </c>
      <c r="F9" s="227"/>
      <c r="G9" s="222"/>
      <c r="H9" s="74">
        <f>+P115</f>
        <v>10229</v>
      </c>
      <c r="I9" s="74">
        <f>+P115</f>
        <v>10229</v>
      </c>
      <c r="J9" s="74">
        <f>SUM(G9:I9)</f>
        <v>20458</v>
      </c>
      <c r="K9" s="210">
        <f>+ROUND(J9/1.21,2)</f>
        <v>16907.439999999999</v>
      </c>
      <c r="R9" s="102"/>
      <c r="S9" s="239"/>
      <c r="U9" s="60"/>
      <c r="V9" s="60"/>
      <c r="W9" s="60"/>
      <c r="X9" s="60"/>
      <c r="Y9" s="60"/>
      <c r="Z9" s="60"/>
    </row>
    <row r="10" spans="1:26" x14ac:dyDescent="0.25">
      <c r="B10" s="219"/>
      <c r="C10" s="59"/>
      <c r="D10" s="58"/>
      <c r="E10" s="116" t="s">
        <v>135</v>
      </c>
      <c r="F10" s="228"/>
      <c r="G10" s="129">
        <f>SUM(G6:G8)</f>
        <v>2041506.7900000005</v>
      </c>
      <c r="H10" s="129">
        <f>SUM(H6:H8)</f>
        <v>2834345.0320010218</v>
      </c>
      <c r="I10" s="129">
        <f>SUM(I6:I8)</f>
        <v>2834345.0320010218</v>
      </c>
      <c r="J10" s="75">
        <f>SUM(J6:J8)</f>
        <v>7710196.8540020436</v>
      </c>
      <c r="K10" s="75">
        <f>SUM(K6:K8)</f>
        <v>6372063.5200000005</v>
      </c>
      <c r="R10" s="102"/>
      <c r="S10" s="239"/>
      <c r="U10" s="60"/>
      <c r="V10" s="60"/>
      <c r="W10" s="60"/>
      <c r="X10" s="60"/>
      <c r="Y10" s="60"/>
      <c r="Z10" s="60"/>
    </row>
    <row r="11" spans="1:26" x14ac:dyDescent="0.25">
      <c r="B11" s="219"/>
      <c r="C11" s="111"/>
      <c r="D11" s="60"/>
      <c r="E11" s="111"/>
      <c r="F11" s="225"/>
      <c r="G11" s="60"/>
      <c r="J11" s="76"/>
      <c r="L11" s="174"/>
      <c r="R11" s="60"/>
      <c r="S11" s="219"/>
      <c r="U11" s="60"/>
      <c r="V11" s="60"/>
      <c r="W11" s="60"/>
      <c r="X11" s="102"/>
      <c r="Y11" s="60"/>
      <c r="Z11" s="60"/>
    </row>
    <row r="12" spans="1:26" ht="15.75" x14ac:dyDescent="0.25">
      <c r="A12" s="221" t="s">
        <v>201</v>
      </c>
      <c r="B12" s="214"/>
      <c r="C12" s="257"/>
      <c r="D12" s="253" t="s">
        <v>320</v>
      </c>
      <c r="E12" s="254">
        <v>7</v>
      </c>
      <c r="P12" s="61"/>
      <c r="Q12" s="107"/>
      <c r="R12" s="240"/>
      <c r="S12" s="107"/>
      <c r="T12" s="102"/>
      <c r="U12" s="65"/>
      <c r="V12" s="65"/>
      <c r="W12" s="61"/>
      <c r="X12" s="60"/>
      <c r="Y12" s="60"/>
      <c r="Z12" s="60"/>
    </row>
    <row r="13" spans="1:26" s="65" customFormat="1" ht="54" customHeight="1" x14ac:dyDescent="0.25">
      <c r="A13" s="67" t="s">
        <v>324</v>
      </c>
      <c r="B13" s="67" t="s">
        <v>0</v>
      </c>
      <c r="C13" s="67" t="s">
        <v>144</v>
      </c>
      <c r="D13" s="67" t="s">
        <v>136</v>
      </c>
      <c r="E13" s="67" t="s">
        <v>138</v>
      </c>
      <c r="F13" s="67" t="s">
        <v>305</v>
      </c>
      <c r="G13" s="68" t="s">
        <v>133</v>
      </c>
      <c r="H13" s="68" t="s">
        <v>108</v>
      </c>
      <c r="I13" s="68" t="s">
        <v>2</v>
      </c>
      <c r="J13" s="68" t="s">
        <v>146</v>
      </c>
      <c r="K13" s="68" t="s">
        <v>108</v>
      </c>
      <c r="L13" s="68" t="s">
        <v>15</v>
      </c>
      <c r="M13" s="68" t="s">
        <v>197</v>
      </c>
      <c r="N13" s="68" t="s">
        <v>108</v>
      </c>
      <c r="O13" s="68" t="s">
        <v>198</v>
      </c>
      <c r="P13" s="68" t="s">
        <v>191</v>
      </c>
      <c r="Q13" s="67" t="s">
        <v>147</v>
      </c>
      <c r="R13" s="67" t="s">
        <v>137</v>
      </c>
      <c r="S13" s="67" t="s">
        <v>315</v>
      </c>
      <c r="T13" s="68" t="s">
        <v>304</v>
      </c>
      <c r="U13" s="68" t="s">
        <v>318</v>
      </c>
      <c r="V13" s="105"/>
    </row>
    <row r="14" spans="1:26" s="65" customFormat="1" x14ac:dyDescent="0.25">
      <c r="A14" s="255" t="s">
        <v>326</v>
      </c>
      <c r="B14" s="220" t="s">
        <v>202</v>
      </c>
      <c r="C14" s="255" t="s">
        <v>229</v>
      </c>
      <c r="D14" s="255" t="s">
        <v>227</v>
      </c>
      <c r="E14" s="30" t="s">
        <v>228</v>
      </c>
      <c r="F14" s="211" t="s">
        <v>306</v>
      </c>
      <c r="G14" s="233">
        <f>+I14/H14</f>
        <v>70.044485221508566</v>
      </c>
      <c r="H14" s="118">
        <f>Perfils!$G$7</f>
        <v>60.6</v>
      </c>
      <c r="I14" s="119">
        <v>4244.6958044234188</v>
      </c>
      <c r="J14" s="233">
        <f t="shared" ref="J14:J60" si="0">+L14/K14</f>
        <v>104.17283551431821</v>
      </c>
      <c r="K14" s="120">
        <f>Perfils!$G$13</f>
        <v>61.12</v>
      </c>
      <c r="L14" s="119">
        <v>6367.0437066351287</v>
      </c>
      <c r="M14" s="233">
        <f t="shared" ref="M14:M60" si="1">+O14/N14</f>
        <v>0</v>
      </c>
      <c r="N14" s="120">
        <f>Perfils!$G$19</f>
        <v>64.3</v>
      </c>
      <c r="O14" s="119">
        <v>0</v>
      </c>
      <c r="P14" s="119">
        <v>0</v>
      </c>
      <c r="Q14" s="242">
        <f>VLOOKUP(S14,$T$2:$U$6,2)</f>
        <v>44652</v>
      </c>
      <c r="R14" s="242">
        <f>+$B$3</f>
        <v>44713</v>
      </c>
      <c r="S14" s="241">
        <v>2</v>
      </c>
      <c r="T14" s="243">
        <v>666.67</v>
      </c>
      <c r="U14" s="244">
        <f>+I14+L14+O14+P14</f>
        <v>10611.739511058548</v>
      </c>
      <c r="V14" s="105"/>
    </row>
    <row r="15" spans="1:26" s="65" customFormat="1" x14ac:dyDescent="0.25">
      <c r="A15" s="255" t="s">
        <v>326</v>
      </c>
      <c r="B15" s="220" t="s">
        <v>203</v>
      </c>
      <c r="C15" s="255" t="s">
        <v>231</v>
      </c>
      <c r="D15" s="255" t="s">
        <v>230</v>
      </c>
      <c r="E15" s="30" t="s">
        <v>323</v>
      </c>
      <c r="F15" s="211" t="s">
        <v>306</v>
      </c>
      <c r="G15" s="233">
        <f t="shared" ref="G15:G60" si="2">+I15/H15</f>
        <v>10.506672783226284</v>
      </c>
      <c r="H15" s="118">
        <f>Perfils!$G$7</f>
        <v>60.6</v>
      </c>
      <c r="I15" s="119">
        <v>636.7043706635128</v>
      </c>
      <c r="J15" s="233">
        <f t="shared" si="0"/>
        <v>15.625925327147728</v>
      </c>
      <c r="K15" s="120">
        <f>Perfils!$G$13</f>
        <v>61.12</v>
      </c>
      <c r="L15" s="119">
        <v>955.05655599526915</v>
      </c>
      <c r="M15" s="233">
        <f t="shared" si="1"/>
        <v>0</v>
      </c>
      <c r="N15" s="120">
        <f>Perfils!$G$19</f>
        <v>64.3</v>
      </c>
      <c r="O15" s="119">
        <v>0</v>
      </c>
      <c r="P15" s="119">
        <v>0</v>
      </c>
      <c r="Q15" s="242">
        <f t="shared" ref="Q15:Q60" si="3">VLOOKUP(S15,$T$2:$U$6,2)</f>
        <v>44652</v>
      </c>
      <c r="R15" s="242">
        <f>+$B$3</f>
        <v>44713</v>
      </c>
      <c r="S15" s="241">
        <v>2</v>
      </c>
      <c r="T15" s="243">
        <v>100</v>
      </c>
      <c r="U15" s="244">
        <f t="shared" ref="U15:U60" si="4">+I15+L15+O15+P15</f>
        <v>1591.760926658782</v>
      </c>
    </row>
    <row r="16" spans="1:26" s="65" customFormat="1" x14ac:dyDescent="0.25">
      <c r="A16" s="255" t="s">
        <v>326</v>
      </c>
      <c r="B16" s="220" t="s">
        <v>203</v>
      </c>
      <c r="C16" s="255" t="s">
        <v>231</v>
      </c>
      <c r="D16" s="262" t="s">
        <v>233</v>
      </c>
      <c r="E16" s="188" t="s">
        <v>232</v>
      </c>
      <c r="F16" s="230" t="s">
        <v>307</v>
      </c>
      <c r="G16" s="233">
        <f t="shared" si="2"/>
        <v>219.07660420419811</v>
      </c>
      <c r="H16" s="118">
        <f>Perfils!$G$7</f>
        <v>60.6</v>
      </c>
      <c r="I16" s="119">
        <v>13276.042214774405</v>
      </c>
      <c r="J16" s="233">
        <f t="shared" si="0"/>
        <v>325.8190988573561</v>
      </c>
      <c r="K16" s="120">
        <f>Perfils!$G$13</f>
        <v>61.12</v>
      </c>
      <c r="L16" s="119">
        <v>19914.063322161604</v>
      </c>
      <c r="M16" s="233">
        <f t="shared" si="1"/>
        <v>0</v>
      </c>
      <c r="N16" s="120">
        <f>Perfils!$G$19</f>
        <v>64.3</v>
      </c>
      <c r="O16" s="119">
        <v>0</v>
      </c>
      <c r="P16" s="119">
        <v>0</v>
      </c>
      <c r="Q16" s="242">
        <f t="shared" si="3"/>
        <v>44621</v>
      </c>
      <c r="R16" s="242">
        <f t="shared" ref="R16:R60" si="5">+$B$3</f>
        <v>44713</v>
      </c>
      <c r="S16" s="241">
        <v>3</v>
      </c>
      <c r="T16" s="243">
        <v>3127.68</v>
      </c>
      <c r="U16" s="244">
        <f t="shared" si="4"/>
        <v>33190.105536936011</v>
      </c>
    </row>
    <row r="17" spans="1:21" s="65" customFormat="1" x14ac:dyDescent="0.25">
      <c r="A17" s="255" t="s">
        <v>326</v>
      </c>
      <c r="B17" s="220" t="s">
        <v>204</v>
      </c>
      <c r="C17" s="255" t="s">
        <v>236</v>
      </c>
      <c r="D17" s="255" t="s">
        <v>230</v>
      </c>
      <c r="E17" s="30" t="s">
        <v>323</v>
      </c>
      <c r="F17" s="211" t="s">
        <v>306</v>
      </c>
      <c r="G17" s="233">
        <f t="shared" si="2"/>
        <v>10.506672783226284</v>
      </c>
      <c r="H17" s="118">
        <f>Perfils!$G$7</f>
        <v>60.6</v>
      </c>
      <c r="I17" s="119">
        <v>636.7043706635128</v>
      </c>
      <c r="J17" s="233">
        <f t="shared" si="0"/>
        <v>15.625925327147728</v>
      </c>
      <c r="K17" s="120">
        <f>Perfils!$G$13</f>
        <v>61.12</v>
      </c>
      <c r="L17" s="119">
        <v>955.05655599526915</v>
      </c>
      <c r="M17" s="233">
        <f t="shared" si="1"/>
        <v>0</v>
      </c>
      <c r="N17" s="120">
        <f>Perfils!$G$19</f>
        <v>64.3</v>
      </c>
      <c r="O17" s="119">
        <v>0</v>
      </c>
      <c r="P17" s="119">
        <v>0</v>
      </c>
      <c r="Q17" s="242">
        <f t="shared" si="3"/>
        <v>44652</v>
      </c>
      <c r="R17" s="242">
        <f t="shared" si="5"/>
        <v>44713</v>
      </c>
      <c r="S17" s="241">
        <v>2</v>
      </c>
      <c r="T17" s="243">
        <v>100</v>
      </c>
      <c r="U17" s="244">
        <f t="shared" si="4"/>
        <v>1591.760926658782</v>
      </c>
    </row>
    <row r="18" spans="1:21" s="65" customFormat="1" x14ac:dyDescent="0.25">
      <c r="A18" s="255" t="s">
        <v>326</v>
      </c>
      <c r="B18" s="220" t="s">
        <v>204</v>
      </c>
      <c r="C18" s="255" t="s">
        <v>236</v>
      </c>
      <c r="D18" s="255" t="s">
        <v>238</v>
      </c>
      <c r="E18" s="188" t="s">
        <v>237</v>
      </c>
      <c r="F18" s="230" t="s">
        <v>307</v>
      </c>
      <c r="G18" s="233">
        <f t="shared" si="2"/>
        <v>788.00045874197133</v>
      </c>
      <c r="H18" s="118">
        <f>Perfils!$G$7</f>
        <v>60.6</v>
      </c>
      <c r="I18" s="119">
        <v>47752.827799763465</v>
      </c>
      <c r="J18" s="233">
        <f t="shared" si="0"/>
        <v>1171.9443995360798</v>
      </c>
      <c r="K18" s="120">
        <f>Perfils!$G$13</f>
        <v>61.12</v>
      </c>
      <c r="L18" s="119">
        <v>71629.241699645194</v>
      </c>
      <c r="M18" s="233">
        <f t="shared" si="1"/>
        <v>0</v>
      </c>
      <c r="N18" s="120">
        <f>Perfils!$G$19</f>
        <v>64.3</v>
      </c>
      <c r="O18" s="119">
        <v>0</v>
      </c>
      <c r="P18" s="119">
        <v>0</v>
      </c>
      <c r="Q18" s="242">
        <f t="shared" si="3"/>
        <v>44593</v>
      </c>
      <c r="R18" s="242">
        <f t="shared" si="5"/>
        <v>44713</v>
      </c>
      <c r="S18" s="241">
        <v>4</v>
      </c>
      <c r="T18" s="243">
        <v>15000</v>
      </c>
      <c r="U18" s="244">
        <f t="shared" si="4"/>
        <v>119382.06949940865</v>
      </c>
    </row>
    <row r="19" spans="1:21" s="65" customFormat="1" x14ac:dyDescent="0.25">
      <c r="A19" s="255" t="s">
        <v>326</v>
      </c>
      <c r="B19" s="220" t="s">
        <v>205</v>
      </c>
      <c r="C19" s="255" t="s">
        <v>242</v>
      </c>
      <c r="D19" s="262" t="s">
        <v>241</v>
      </c>
      <c r="E19" s="188" t="s">
        <v>322</v>
      </c>
      <c r="F19" s="230" t="s">
        <v>307</v>
      </c>
      <c r="G19" s="233">
        <f t="shared" si="2"/>
        <v>244.80429384848432</v>
      </c>
      <c r="H19" s="118">
        <f>Perfils!$G$7</f>
        <v>60.6</v>
      </c>
      <c r="I19" s="119">
        <v>14835.14020721815</v>
      </c>
      <c r="J19" s="233">
        <f t="shared" si="0"/>
        <v>364.08230220594282</v>
      </c>
      <c r="K19" s="120">
        <f>Perfils!$G$13</f>
        <v>61.12</v>
      </c>
      <c r="L19" s="119">
        <v>22252.710310827224</v>
      </c>
      <c r="M19" s="233">
        <f t="shared" si="1"/>
        <v>0</v>
      </c>
      <c r="N19" s="120">
        <f>Perfils!$G$19</f>
        <v>64.3</v>
      </c>
      <c r="O19" s="119">
        <v>0</v>
      </c>
      <c r="P19" s="119">
        <v>0</v>
      </c>
      <c r="Q19" s="242">
        <f t="shared" si="3"/>
        <v>44621</v>
      </c>
      <c r="R19" s="242">
        <f t="shared" si="5"/>
        <v>44713</v>
      </c>
      <c r="S19" s="241">
        <v>3</v>
      </c>
      <c r="T19" s="243">
        <v>3494.98</v>
      </c>
      <c r="U19" s="244">
        <f t="shared" si="4"/>
        <v>37087.850518045372</v>
      </c>
    </row>
    <row r="20" spans="1:21" s="65" customFormat="1" x14ac:dyDescent="0.25">
      <c r="A20" s="255" t="s">
        <v>326</v>
      </c>
      <c r="B20" s="220" t="s">
        <v>206</v>
      </c>
      <c r="C20" s="255" t="s">
        <v>243</v>
      </c>
      <c r="D20" s="255" t="s">
        <v>230</v>
      </c>
      <c r="E20" s="30" t="s">
        <v>323</v>
      </c>
      <c r="F20" s="211" t="s">
        <v>306</v>
      </c>
      <c r="G20" s="233">
        <f t="shared" si="2"/>
        <v>10.506672783226284</v>
      </c>
      <c r="H20" s="118">
        <f>Perfils!$G$7</f>
        <v>60.6</v>
      </c>
      <c r="I20" s="119">
        <v>636.7043706635128</v>
      </c>
      <c r="J20" s="233">
        <f t="shared" si="0"/>
        <v>15.625925327147728</v>
      </c>
      <c r="K20" s="120">
        <f>Perfils!$G$13</f>
        <v>61.12</v>
      </c>
      <c r="L20" s="119">
        <v>955.05655599526915</v>
      </c>
      <c r="M20" s="233">
        <f t="shared" si="1"/>
        <v>0</v>
      </c>
      <c r="N20" s="120">
        <f>Perfils!$G$19</f>
        <v>64.3</v>
      </c>
      <c r="O20" s="119">
        <v>0</v>
      </c>
      <c r="P20" s="119">
        <v>0</v>
      </c>
      <c r="Q20" s="242">
        <f t="shared" si="3"/>
        <v>44652</v>
      </c>
      <c r="R20" s="242">
        <f t="shared" si="5"/>
        <v>44713</v>
      </c>
      <c r="S20" s="241">
        <v>2</v>
      </c>
      <c r="T20" s="243">
        <v>100</v>
      </c>
      <c r="U20" s="244">
        <f t="shared" si="4"/>
        <v>1591.760926658782</v>
      </c>
    </row>
    <row r="21" spans="1:21" s="65" customFormat="1" x14ac:dyDescent="0.25">
      <c r="A21" s="255" t="s">
        <v>326</v>
      </c>
      <c r="B21" s="220" t="s">
        <v>206</v>
      </c>
      <c r="C21" s="255" t="s">
        <v>243</v>
      </c>
      <c r="D21" s="262" t="s">
        <v>247</v>
      </c>
      <c r="E21" s="188" t="s">
        <v>246</v>
      </c>
      <c r="F21" s="230" t="s">
        <v>307</v>
      </c>
      <c r="G21" s="233">
        <f t="shared" si="2"/>
        <v>429.4128824312433</v>
      </c>
      <c r="H21" s="118">
        <f>Perfils!$G$7</f>
        <v>60.6</v>
      </c>
      <c r="I21" s="119">
        <v>26022.420675333346</v>
      </c>
      <c r="J21" s="233">
        <f t="shared" si="0"/>
        <v>638.63925086714687</v>
      </c>
      <c r="K21" s="120">
        <f>Perfils!$G$13</f>
        <v>61.12</v>
      </c>
      <c r="L21" s="119">
        <v>39033.631013000013</v>
      </c>
      <c r="M21" s="233">
        <f t="shared" si="1"/>
        <v>0</v>
      </c>
      <c r="N21" s="120">
        <f>Perfils!$G$19</f>
        <v>64.3</v>
      </c>
      <c r="O21" s="119">
        <v>0</v>
      </c>
      <c r="P21" s="119">
        <v>0</v>
      </c>
      <c r="Q21" s="242">
        <f t="shared" si="3"/>
        <v>44621</v>
      </c>
      <c r="R21" s="242">
        <f t="shared" si="5"/>
        <v>44713</v>
      </c>
      <c r="S21" s="241">
        <v>3</v>
      </c>
      <c r="T21" s="243">
        <v>6130.57</v>
      </c>
      <c r="U21" s="244">
        <f t="shared" si="4"/>
        <v>65056.051688333362</v>
      </c>
    </row>
    <row r="22" spans="1:21" s="65" customFormat="1" x14ac:dyDescent="0.25">
      <c r="A22" s="255" t="s">
        <v>326</v>
      </c>
      <c r="B22" s="220" t="s">
        <v>207</v>
      </c>
      <c r="C22" s="255" t="s">
        <v>248</v>
      </c>
      <c r="D22" s="255" t="s">
        <v>230</v>
      </c>
      <c r="E22" s="30" t="s">
        <v>323</v>
      </c>
      <c r="F22" s="211" t="s">
        <v>306</v>
      </c>
      <c r="G22" s="233">
        <f t="shared" si="2"/>
        <v>10.506672783226284</v>
      </c>
      <c r="H22" s="118">
        <f>Perfils!$G$7</f>
        <v>60.6</v>
      </c>
      <c r="I22" s="119">
        <v>636.7043706635128</v>
      </c>
      <c r="J22" s="233">
        <f t="shared" si="0"/>
        <v>15.625925327147728</v>
      </c>
      <c r="K22" s="120">
        <f>Perfils!$G$13</f>
        <v>61.12</v>
      </c>
      <c r="L22" s="119">
        <v>955.05655599526915</v>
      </c>
      <c r="M22" s="233">
        <f t="shared" si="1"/>
        <v>0</v>
      </c>
      <c r="N22" s="120">
        <f>Perfils!$G$19</f>
        <v>64.3</v>
      </c>
      <c r="O22" s="119">
        <v>0</v>
      </c>
      <c r="P22" s="119">
        <v>0</v>
      </c>
      <c r="Q22" s="242">
        <f t="shared" si="3"/>
        <v>44652</v>
      </c>
      <c r="R22" s="242">
        <f t="shared" si="5"/>
        <v>44713</v>
      </c>
      <c r="S22" s="241">
        <v>2</v>
      </c>
      <c r="T22" s="243">
        <v>100</v>
      </c>
      <c r="U22" s="244">
        <f t="shared" si="4"/>
        <v>1591.760926658782</v>
      </c>
    </row>
    <row r="23" spans="1:21" s="65" customFormat="1" x14ac:dyDescent="0.25">
      <c r="A23" s="255" t="s">
        <v>326</v>
      </c>
      <c r="B23" s="220" t="s">
        <v>207</v>
      </c>
      <c r="C23" s="255" t="s">
        <v>248</v>
      </c>
      <c r="D23" s="262" t="s">
        <v>252</v>
      </c>
      <c r="E23" s="188" t="s">
        <v>251</v>
      </c>
      <c r="F23" s="230" t="s">
        <v>307</v>
      </c>
      <c r="G23" s="233">
        <f t="shared" si="2"/>
        <v>402.51124721464464</v>
      </c>
      <c r="H23" s="118">
        <f>Perfils!$G$7</f>
        <v>60.6</v>
      </c>
      <c r="I23" s="119">
        <v>24392.181581207467</v>
      </c>
      <c r="J23" s="233">
        <f t="shared" si="0"/>
        <v>598.63011079534022</v>
      </c>
      <c r="K23" s="120">
        <f>Perfils!$G$13</f>
        <v>61.12</v>
      </c>
      <c r="L23" s="119">
        <v>36588.272371811196</v>
      </c>
      <c r="M23" s="233">
        <f t="shared" si="1"/>
        <v>0</v>
      </c>
      <c r="N23" s="120">
        <f>Perfils!$G$19</f>
        <v>64.3</v>
      </c>
      <c r="O23" s="119">
        <v>0</v>
      </c>
      <c r="P23" s="119">
        <v>0</v>
      </c>
      <c r="Q23" s="242">
        <f t="shared" si="3"/>
        <v>44621</v>
      </c>
      <c r="R23" s="242">
        <f t="shared" si="5"/>
        <v>44713</v>
      </c>
      <c r="S23" s="241">
        <v>3</v>
      </c>
      <c r="T23" s="243">
        <v>5746.51</v>
      </c>
      <c r="U23" s="244">
        <f t="shared" si="4"/>
        <v>60980.453953018659</v>
      </c>
    </row>
    <row r="24" spans="1:21" s="65" customFormat="1" ht="30" x14ac:dyDescent="0.25">
      <c r="A24" s="255" t="s">
        <v>326</v>
      </c>
      <c r="B24" s="220" t="s">
        <v>211</v>
      </c>
      <c r="C24" s="255" t="s">
        <v>265</v>
      </c>
      <c r="D24" s="262" t="s">
        <v>264</v>
      </c>
      <c r="E24" s="188" t="s">
        <v>263</v>
      </c>
      <c r="F24" s="230" t="s">
        <v>307</v>
      </c>
      <c r="G24" s="233">
        <f t="shared" ref="G24:G50" si="6">+I24/H24</f>
        <v>805.81732422534026</v>
      </c>
      <c r="H24" s="118">
        <f>Perfils!$G$7</f>
        <v>60.6</v>
      </c>
      <c r="I24" s="119">
        <v>48832.529848055623</v>
      </c>
      <c r="J24" s="233">
        <f t="shared" ref="J24:J50" si="7">+L24/K24</f>
        <v>1198.4423228416792</v>
      </c>
      <c r="K24" s="120">
        <f>Perfils!$G$13</f>
        <v>61.12</v>
      </c>
      <c r="L24" s="119">
        <v>73248.794772083435</v>
      </c>
      <c r="M24" s="233">
        <f t="shared" ref="M24:M48" si="8">+O24/N24</f>
        <v>0</v>
      </c>
      <c r="N24" s="120">
        <f>Perfils!$G$19</f>
        <v>64.3</v>
      </c>
      <c r="O24" s="119">
        <v>0</v>
      </c>
      <c r="P24" s="119">
        <v>0</v>
      </c>
      <c r="Q24" s="242">
        <f t="shared" ref="Q24:Q50" si="9">VLOOKUP(S24,$T$2:$U$6,2)</f>
        <v>44593</v>
      </c>
      <c r="R24" s="242">
        <f t="shared" si="5"/>
        <v>44713</v>
      </c>
      <c r="S24" s="241">
        <v>4</v>
      </c>
      <c r="T24" s="243">
        <v>15339.15</v>
      </c>
      <c r="U24" s="244">
        <f t="shared" ref="U24:U50" si="10">+I24+L24+O24+P24</f>
        <v>122081.32462013906</v>
      </c>
    </row>
    <row r="25" spans="1:21" s="65" customFormat="1" x14ac:dyDescent="0.25">
      <c r="A25" s="255" t="s">
        <v>326</v>
      </c>
      <c r="B25" s="220" t="s">
        <v>223</v>
      </c>
      <c r="C25" s="255" t="s">
        <v>300</v>
      </c>
      <c r="D25" s="262" t="s">
        <v>299</v>
      </c>
      <c r="E25" s="188" t="s">
        <v>298</v>
      </c>
      <c r="F25" s="230" t="s">
        <v>307</v>
      </c>
      <c r="G25" s="233">
        <f t="shared" si="6"/>
        <v>656.66704895164287</v>
      </c>
      <c r="H25" s="118">
        <f>Perfils!$G$7</f>
        <v>60.6</v>
      </c>
      <c r="I25" s="119">
        <v>39794.02316646956</v>
      </c>
      <c r="J25" s="233">
        <f t="shared" si="7"/>
        <v>976.62033294673336</v>
      </c>
      <c r="K25" s="120">
        <f>Perfils!$G$13</f>
        <v>61.12</v>
      </c>
      <c r="L25" s="119">
        <v>59691.03474970434</v>
      </c>
      <c r="M25" s="233">
        <f t="shared" si="8"/>
        <v>0</v>
      </c>
      <c r="N25" s="120">
        <f>Perfils!$G$19</f>
        <v>64.3</v>
      </c>
      <c r="O25" s="119">
        <v>0</v>
      </c>
      <c r="P25" s="119">
        <v>0</v>
      </c>
      <c r="Q25" s="242">
        <f t="shared" si="9"/>
        <v>44621</v>
      </c>
      <c r="R25" s="242">
        <f t="shared" si="5"/>
        <v>44713</v>
      </c>
      <c r="S25" s="241">
        <v>3</v>
      </c>
      <c r="T25" s="243">
        <v>9375</v>
      </c>
      <c r="U25" s="244">
        <f t="shared" si="10"/>
        <v>99485.057916173901</v>
      </c>
    </row>
    <row r="26" spans="1:21" s="65" customFormat="1" x14ac:dyDescent="0.25">
      <c r="A26" s="255" t="s">
        <v>327</v>
      </c>
      <c r="B26" s="220" t="s">
        <v>209</v>
      </c>
      <c r="C26" s="255" t="s">
        <v>336</v>
      </c>
      <c r="D26" s="262" t="s">
        <v>254</v>
      </c>
      <c r="E26" s="188" t="s">
        <v>253</v>
      </c>
      <c r="F26" s="230" t="s">
        <v>308</v>
      </c>
      <c r="G26" s="233">
        <f t="shared" si="6"/>
        <v>0</v>
      </c>
      <c r="H26" s="118">
        <f>Perfils!$G$7</f>
        <v>60.6</v>
      </c>
      <c r="I26" s="119">
        <v>0</v>
      </c>
      <c r="J26" s="233">
        <f t="shared" si="7"/>
        <v>0</v>
      </c>
      <c r="K26" s="120">
        <f>Perfils!$G$13</f>
        <v>61.12</v>
      </c>
      <c r="L26" s="119">
        <v>0</v>
      </c>
      <c r="M26" s="233">
        <f t="shared" si="8"/>
        <v>0</v>
      </c>
      <c r="N26" s="120">
        <f>Perfils!$G$19</f>
        <v>64.3</v>
      </c>
      <c r="O26" s="119">
        <v>0</v>
      </c>
      <c r="P26" s="119">
        <v>0</v>
      </c>
      <c r="Q26" s="242">
        <f t="shared" si="9"/>
        <v>44713</v>
      </c>
      <c r="R26" s="242">
        <f t="shared" si="5"/>
        <v>44713</v>
      </c>
      <c r="S26" s="241">
        <v>0</v>
      </c>
      <c r="T26" s="243">
        <v>0</v>
      </c>
      <c r="U26" s="244">
        <f t="shared" si="10"/>
        <v>0</v>
      </c>
    </row>
    <row r="27" spans="1:21" s="65" customFormat="1" x14ac:dyDescent="0.25">
      <c r="A27" s="255" t="s">
        <v>327</v>
      </c>
      <c r="B27" s="220" t="s">
        <v>209</v>
      </c>
      <c r="C27" s="255" t="s">
        <v>259</v>
      </c>
      <c r="D27" s="262" t="s">
        <v>254</v>
      </c>
      <c r="E27" s="188" t="s">
        <v>253</v>
      </c>
      <c r="F27" s="230" t="s">
        <v>307</v>
      </c>
      <c r="G27" s="233">
        <f t="shared" si="6"/>
        <v>527.56232334765286</v>
      </c>
      <c r="H27" s="118">
        <f>Perfils!$G$7</f>
        <v>60.6</v>
      </c>
      <c r="I27" s="119">
        <v>31970.276794867765</v>
      </c>
      <c r="J27" s="233">
        <f t="shared" si="7"/>
        <v>784.61085065938562</v>
      </c>
      <c r="K27" s="120">
        <f>Perfils!$G$13</f>
        <v>61.12</v>
      </c>
      <c r="L27" s="119">
        <v>47955.415192301647</v>
      </c>
      <c r="M27" s="233">
        <f t="shared" si="8"/>
        <v>0</v>
      </c>
      <c r="N27" s="120">
        <f>Perfils!$G$19</f>
        <v>64.3</v>
      </c>
      <c r="O27" s="119">
        <v>0</v>
      </c>
      <c r="P27" s="119">
        <v>0</v>
      </c>
      <c r="Q27" s="242">
        <f t="shared" si="9"/>
        <v>44593</v>
      </c>
      <c r="R27" s="242">
        <f t="shared" si="5"/>
        <v>44713</v>
      </c>
      <c r="S27" s="241">
        <v>5</v>
      </c>
      <c r="T27" s="243">
        <v>15063.64</v>
      </c>
      <c r="U27" s="244">
        <f t="shared" si="10"/>
        <v>79925.691987169412</v>
      </c>
    </row>
    <row r="28" spans="1:21" s="65" customFormat="1" x14ac:dyDescent="0.25">
      <c r="A28" s="255" t="s">
        <v>327</v>
      </c>
      <c r="B28" s="220" t="s">
        <v>210</v>
      </c>
      <c r="C28" s="255" t="s">
        <v>262</v>
      </c>
      <c r="D28" s="262" t="s">
        <v>261</v>
      </c>
      <c r="E28" s="188" t="s">
        <v>260</v>
      </c>
      <c r="F28" s="211" t="s">
        <v>306</v>
      </c>
      <c r="G28" s="233">
        <f t="shared" si="6"/>
        <v>78.800045874197153</v>
      </c>
      <c r="H28" s="118">
        <f>Perfils!$G$7</f>
        <v>60.6</v>
      </c>
      <c r="I28" s="119">
        <v>4775.2827799763472</v>
      </c>
      <c r="J28" s="233">
        <f t="shared" si="7"/>
        <v>117.194439953608</v>
      </c>
      <c r="K28" s="120">
        <f>Perfils!$G$13</f>
        <v>61.12</v>
      </c>
      <c r="L28" s="119">
        <v>7162.9241699645208</v>
      </c>
      <c r="M28" s="233">
        <f t="shared" si="8"/>
        <v>0</v>
      </c>
      <c r="N28" s="120">
        <f>Perfils!$G$19</f>
        <v>64.3</v>
      </c>
      <c r="O28" s="119">
        <v>0</v>
      </c>
      <c r="P28" s="119">
        <v>0</v>
      </c>
      <c r="Q28" s="242">
        <f t="shared" si="9"/>
        <v>44652</v>
      </c>
      <c r="R28" s="242">
        <f t="shared" si="5"/>
        <v>44713</v>
      </c>
      <c r="S28" s="241">
        <v>2</v>
      </c>
      <c r="T28" s="243">
        <v>750</v>
      </c>
      <c r="U28" s="244">
        <f t="shared" si="10"/>
        <v>11938.206949940868</v>
      </c>
    </row>
    <row r="29" spans="1:21" s="65" customFormat="1" x14ac:dyDescent="0.25">
      <c r="A29" s="255" t="s">
        <v>327</v>
      </c>
      <c r="B29" s="220" t="s">
        <v>210</v>
      </c>
      <c r="C29" s="255" t="s">
        <v>262</v>
      </c>
      <c r="D29" s="262" t="s">
        <v>254</v>
      </c>
      <c r="E29" s="188" t="s">
        <v>253</v>
      </c>
      <c r="F29" s="230" t="s">
        <v>307</v>
      </c>
      <c r="G29" s="233">
        <f t="shared" si="6"/>
        <v>235.90978244823756</v>
      </c>
      <c r="H29" s="118">
        <f>Perfils!$G$7</f>
        <v>60.6</v>
      </c>
      <c r="I29" s="119">
        <v>14296.132816363197</v>
      </c>
      <c r="J29" s="233">
        <f t="shared" si="7"/>
        <v>350.85404490420149</v>
      </c>
      <c r="K29" s="120">
        <f>Perfils!$G$13</f>
        <v>61.12</v>
      </c>
      <c r="L29" s="119">
        <v>21444.199224544795</v>
      </c>
      <c r="M29" s="233">
        <f t="shared" si="8"/>
        <v>0</v>
      </c>
      <c r="N29" s="120">
        <f>Perfils!$G$19</f>
        <v>64.3</v>
      </c>
      <c r="O29" s="119">
        <v>0</v>
      </c>
      <c r="P29" s="119">
        <v>0</v>
      </c>
      <c r="Q29" s="242">
        <f t="shared" si="9"/>
        <v>44593</v>
      </c>
      <c r="R29" s="242">
        <f t="shared" si="5"/>
        <v>44713</v>
      </c>
      <c r="S29" s="241">
        <v>5</v>
      </c>
      <c r="T29" s="243">
        <v>5613.33</v>
      </c>
      <c r="U29" s="244">
        <f t="shared" si="10"/>
        <v>35740.33204090799</v>
      </c>
    </row>
    <row r="30" spans="1:21" s="65" customFormat="1" x14ac:dyDescent="0.25">
      <c r="A30" s="255" t="s">
        <v>327</v>
      </c>
      <c r="B30" s="220" t="s">
        <v>215</v>
      </c>
      <c r="C30" s="255" t="s">
        <v>283</v>
      </c>
      <c r="D30" s="262" t="s">
        <v>254</v>
      </c>
      <c r="E30" s="188" t="s">
        <v>253</v>
      </c>
      <c r="F30" s="230" t="s">
        <v>307</v>
      </c>
      <c r="G30" s="233">
        <f t="shared" si="6"/>
        <v>66.15403940109293</v>
      </c>
      <c r="H30" s="118">
        <f>Perfils!$G$7</f>
        <v>60.6</v>
      </c>
      <c r="I30" s="119">
        <v>4008.9347877062314</v>
      </c>
      <c r="J30" s="233">
        <f t="shared" si="7"/>
        <v>98.386815797764186</v>
      </c>
      <c r="K30" s="120">
        <f>Perfils!$G$13</f>
        <v>61.12</v>
      </c>
      <c r="L30" s="119">
        <v>6013.4021815593469</v>
      </c>
      <c r="M30" s="233">
        <f t="shared" si="8"/>
        <v>0</v>
      </c>
      <c r="N30" s="120">
        <f>Perfils!$G$19</f>
        <v>64.3</v>
      </c>
      <c r="O30" s="119">
        <v>0</v>
      </c>
      <c r="P30" s="119">
        <v>0</v>
      </c>
      <c r="Q30" s="242">
        <f t="shared" si="9"/>
        <v>44593</v>
      </c>
      <c r="R30" s="242">
        <f t="shared" si="5"/>
        <v>44713</v>
      </c>
      <c r="S30" s="241">
        <v>5</v>
      </c>
      <c r="T30" s="243">
        <v>2013.71</v>
      </c>
      <c r="U30" s="244">
        <f t="shared" si="10"/>
        <v>10022.336969265578</v>
      </c>
    </row>
    <row r="31" spans="1:21" s="65" customFormat="1" x14ac:dyDescent="0.25">
      <c r="A31" s="255" t="s">
        <v>327</v>
      </c>
      <c r="B31" s="220" t="s">
        <v>215</v>
      </c>
      <c r="C31" s="255" t="s">
        <v>283</v>
      </c>
      <c r="D31" s="255" t="s">
        <v>258</v>
      </c>
      <c r="E31" s="30" t="s">
        <v>257</v>
      </c>
      <c r="F31" s="230" t="s">
        <v>307</v>
      </c>
      <c r="G31" s="233">
        <f t="shared" si="6"/>
        <v>52.533363916131421</v>
      </c>
      <c r="H31" s="118">
        <f>Perfils!$G$7</f>
        <v>60.6</v>
      </c>
      <c r="I31" s="119">
        <v>3183.5218533175644</v>
      </c>
      <c r="J31" s="233">
        <f t="shared" si="7"/>
        <v>78.12962663573866</v>
      </c>
      <c r="K31" s="120">
        <f>Perfils!$G$13</f>
        <v>61.12</v>
      </c>
      <c r="L31" s="119">
        <v>4775.2827799763463</v>
      </c>
      <c r="M31" s="233">
        <f t="shared" si="8"/>
        <v>0</v>
      </c>
      <c r="N31" s="120">
        <f>Perfils!$G$19</f>
        <v>64.3</v>
      </c>
      <c r="O31" s="119">
        <v>0</v>
      </c>
      <c r="P31" s="119">
        <v>0</v>
      </c>
      <c r="Q31" s="242">
        <f t="shared" si="9"/>
        <v>44713</v>
      </c>
      <c r="R31" s="242">
        <f t="shared" si="5"/>
        <v>44713</v>
      </c>
      <c r="S31" s="241">
        <v>0</v>
      </c>
      <c r="T31" s="243">
        <v>0</v>
      </c>
      <c r="U31" s="244">
        <f t="shared" si="10"/>
        <v>7958.8046332939102</v>
      </c>
    </row>
    <row r="32" spans="1:21" s="65" customFormat="1" x14ac:dyDescent="0.25">
      <c r="A32" s="255" t="s">
        <v>327</v>
      </c>
      <c r="B32" s="220" t="s">
        <v>216</v>
      </c>
      <c r="C32" s="255" t="s">
        <v>284</v>
      </c>
      <c r="D32" s="262" t="s">
        <v>254</v>
      </c>
      <c r="E32" s="188" t="s">
        <v>253</v>
      </c>
      <c r="F32" s="230" t="s">
        <v>307</v>
      </c>
      <c r="G32" s="233">
        <f t="shared" si="6"/>
        <v>187.63293434341074</v>
      </c>
      <c r="H32" s="118">
        <f>Perfils!$G$7</f>
        <v>60.6</v>
      </c>
      <c r="I32" s="119">
        <v>11370.555821210692</v>
      </c>
      <c r="J32" s="233">
        <f t="shared" si="7"/>
        <v>279.05487126662359</v>
      </c>
      <c r="K32" s="120">
        <f>Perfils!$G$13</f>
        <v>61.12</v>
      </c>
      <c r="L32" s="119">
        <v>17055.833731816034</v>
      </c>
      <c r="M32" s="233">
        <f t="shared" si="8"/>
        <v>0</v>
      </c>
      <c r="N32" s="120">
        <f>Perfils!$G$19</f>
        <v>64.3</v>
      </c>
      <c r="O32" s="119">
        <v>0</v>
      </c>
      <c r="P32" s="119">
        <v>0</v>
      </c>
      <c r="Q32" s="242">
        <f t="shared" si="9"/>
        <v>44593</v>
      </c>
      <c r="R32" s="242">
        <f t="shared" si="5"/>
        <v>44713</v>
      </c>
      <c r="S32" s="241">
        <v>5</v>
      </c>
      <c r="T32" s="243">
        <v>5357.54</v>
      </c>
      <c r="U32" s="244">
        <f t="shared" si="10"/>
        <v>28426.389553026725</v>
      </c>
    </row>
    <row r="33" spans="1:21" s="65" customFormat="1" x14ac:dyDescent="0.25">
      <c r="A33" s="255" t="s">
        <v>327</v>
      </c>
      <c r="B33" s="220" t="s">
        <v>216</v>
      </c>
      <c r="C33" s="255" t="s">
        <v>284</v>
      </c>
      <c r="D33" s="262" t="s">
        <v>258</v>
      </c>
      <c r="E33" s="188" t="s">
        <v>257</v>
      </c>
      <c r="F33" s="230" t="s">
        <v>307</v>
      </c>
      <c r="G33" s="233">
        <f t="shared" si="6"/>
        <v>21.888901631721428</v>
      </c>
      <c r="H33" s="118">
        <f>Perfils!$G$7</f>
        <v>60.6</v>
      </c>
      <c r="I33" s="119">
        <v>1326.4674388823184</v>
      </c>
      <c r="J33" s="233">
        <f t="shared" si="7"/>
        <v>32.554011098224436</v>
      </c>
      <c r="K33" s="120">
        <f>Perfils!$G$13</f>
        <v>61.12</v>
      </c>
      <c r="L33" s="119">
        <v>1989.7011583234773</v>
      </c>
      <c r="M33" s="233">
        <f t="shared" si="8"/>
        <v>0</v>
      </c>
      <c r="N33" s="120">
        <f>Perfils!$G$19</f>
        <v>64.3</v>
      </c>
      <c r="O33" s="119">
        <v>0</v>
      </c>
      <c r="P33" s="119">
        <v>0</v>
      </c>
      <c r="Q33" s="242">
        <f t="shared" si="9"/>
        <v>44713</v>
      </c>
      <c r="R33" s="242">
        <f t="shared" si="5"/>
        <v>44713</v>
      </c>
      <c r="S33" s="241">
        <v>0</v>
      </c>
      <c r="T33" s="243">
        <v>0</v>
      </c>
      <c r="U33" s="244">
        <f t="shared" si="10"/>
        <v>3316.1685972057958</v>
      </c>
    </row>
    <row r="34" spans="1:21" s="65" customFormat="1" x14ac:dyDescent="0.25">
      <c r="A34" s="255" t="s">
        <v>327</v>
      </c>
      <c r="B34" s="220" t="s">
        <v>217</v>
      </c>
      <c r="C34" s="255" t="s">
        <v>288</v>
      </c>
      <c r="D34" s="262" t="s">
        <v>287</v>
      </c>
      <c r="E34" s="188" t="s">
        <v>285</v>
      </c>
      <c r="F34" s="211" t="s">
        <v>306</v>
      </c>
      <c r="G34" s="233">
        <f t="shared" si="6"/>
        <v>21.888901631721428</v>
      </c>
      <c r="H34" s="118">
        <f>Perfils!$G$7</f>
        <v>60.6</v>
      </c>
      <c r="I34" s="119">
        <v>1326.4674388823184</v>
      </c>
      <c r="J34" s="233">
        <f t="shared" si="7"/>
        <v>32.554011098224436</v>
      </c>
      <c r="K34" s="120">
        <f>Perfils!$G$13</f>
        <v>61.12</v>
      </c>
      <c r="L34" s="119">
        <v>1989.7011583234773</v>
      </c>
      <c r="M34" s="233">
        <f t="shared" si="8"/>
        <v>0</v>
      </c>
      <c r="N34" s="120">
        <f>Perfils!$G$19</f>
        <v>64.3</v>
      </c>
      <c r="O34" s="119">
        <v>0</v>
      </c>
      <c r="P34" s="119">
        <v>0</v>
      </c>
      <c r="Q34" s="242">
        <f t="shared" si="9"/>
        <v>44652</v>
      </c>
      <c r="R34" s="242">
        <f t="shared" si="5"/>
        <v>44713</v>
      </c>
      <c r="S34" s="241">
        <v>2</v>
      </c>
      <c r="T34" s="243">
        <v>208.33</v>
      </c>
      <c r="U34" s="244">
        <f t="shared" si="10"/>
        <v>3316.1685972057958</v>
      </c>
    </row>
    <row r="35" spans="1:21" s="65" customFormat="1" x14ac:dyDescent="0.25">
      <c r="A35" s="255" t="s">
        <v>327</v>
      </c>
      <c r="B35" s="220" t="s">
        <v>217</v>
      </c>
      <c r="C35" s="255" t="s">
        <v>288</v>
      </c>
      <c r="D35" s="262" t="s">
        <v>254</v>
      </c>
      <c r="E35" s="188" t="s">
        <v>253</v>
      </c>
      <c r="F35" s="230" t="s">
        <v>307</v>
      </c>
      <c r="G35" s="233">
        <f t="shared" si="6"/>
        <v>43.777803263442856</v>
      </c>
      <c r="H35" s="118">
        <f>Perfils!$G$7</f>
        <v>60.6</v>
      </c>
      <c r="I35" s="119">
        <v>2652.9348777646369</v>
      </c>
      <c r="J35" s="233">
        <f t="shared" si="7"/>
        <v>65.108022196448871</v>
      </c>
      <c r="K35" s="120">
        <f>Perfils!$G$13</f>
        <v>61.12</v>
      </c>
      <c r="L35" s="119">
        <v>3979.4023166469547</v>
      </c>
      <c r="M35" s="233">
        <f t="shared" si="8"/>
        <v>0</v>
      </c>
      <c r="N35" s="120">
        <f>Perfils!$G$19</f>
        <v>64.3</v>
      </c>
      <c r="O35" s="119">
        <v>0</v>
      </c>
      <c r="P35" s="119">
        <v>0</v>
      </c>
      <c r="Q35" s="242">
        <f t="shared" si="9"/>
        <v>44593</v>
      </c>
      <c r="R35" s="242">
        <f t="shared" si="5"/>
        <v>44713</v>
      </c>
      <c r="S35" s="241">
        <v>5</v>
      </c>
      <c r="T35" s="243">
        <v>1041.67</v>
      </c>
      <c r="U35" s="244">
        <f t="shared" si="10"/>
        <v>6632.3371944115916</v>
      </c>
    </row>
    <row r="36" spans="1:21" s="65" customFormat="1" x14ac:dyDescent="0.25">
      <c r="A36" s="255" t="s">
        <v>327</v>
      </c>
      <c r="B36" s="220" t="s">
        <v>217</v>
      </c>
      <c r="C36" s="255" t="s">
        <v>288</v>
      </c>
      <c r="D36" s="262" t="s">
        <v>258</v>
      </c>
      <c r="E36" s="188" t="s">
        <v>257</v>
      </c>
      <c r="F36" s="230" t="s">
        <v>307</v>
      </c>
      <c r="G36" s="233">
        <f t="shared" si="6"/>
        <v>44.462797890112654</v>
      </c>
      <c r="H36" s="118">
        <f>Perfils!$G$7</f>
        <v>60.6</v>
      </c>
      <c r="I36" s="119">
        <v>2694.4455521408267</v>
      </c>
      <c r="J36" s="233">
        <f t="shared" si="7"/>
        <v>66.126772385655102</v>
      </c>
      <c r="K36" s="120">
        <f>Perfils!$G$13</f>
        <v>61.12</v>
      </c>
      <c r="L36" s="119">
        <v>4041.6683282112394</v>
      </c>
      <c r="M36" s="233">
        <f t="shared" si="8"/>
        <v>0</v>
      </c>
      <c r="N36" s="120">
        <f>Perfils!$G$19</f>
        <v>64.3</v>
      </c>
      <c r="O36" s="119">
        <v>0</v>
      </c>
      <c r="P36" s="119">
        <v>0</v>
      </c>
      <c r="Q36" s="242">
        <f t="shared" si="9"/>
        <v>44713</v>
      </c>
      <c r="R36" s="242">
        <f t="shared" si="5"/>
        <v>44713</v>
      </c>
      <c r="S36" s="241">
        <v>0</v>
      </c>
      <c r="T36" s="243">
        <v>0</v>
      </c>
      <c r="U36" s="244">
        <f t="shared" si="10"/>
        <v>6736.1138803520662</v>
      </c>
    </row>
    <row r="37" spans="1:21" s="65" customFormat="1" x14ac:dyDescent="0.25">
      <c r="A37" s="255" t="s">
        <v>327</v>
      </c>
      <c r="B37" s="220" t="s">
        <v>218</v>
      </c>
      <c r="C37" s="255" t="s">
        <v>289</v>
      </c>
      <c r="D37" s="262" t="s">
        <v>254</v>
      </c>
      <c r="E37" s="188" t="s">
        <v>253</v>
      </c>
      <c r="F37" s="230" t="s">
        <v>307</v>
      </c>
      <c r="G37" s="233">
        <f t="shared" si="6"/>
        <v>585.37765433873176</v>
      </c>
      <c r="H37" s="118">
        <f>Perfils!$G$7</f>
        <v>60.6</v>
      </c>
      <c r="I37" s="119">
        <v>35473.885852927146</v>
      </c>
      <c r="J37" s="233">
        <f t="shared" si="7"/>
        <v>870.59602060521456</v>
      </c>
      <c r="K37" s="120">
        <f>Perfils!$G$13</f>
        <v>61.12</v>
      </c>
      <c r="L37" s="119">
        <v>53210.828779390715</v>
      </c>
      <c r="M37" s="233">
        <f t="shared" si="8"/>
        <v>0</v>
      </c>
      <c r="N37" s="120">
        <f>Perfils!$G$19</f>
        <v>64.3</v>
      </c>
      <c r="O37" s="119">
        <v>0</v>
      </c>
      <c r="P37" s="119">
        <v>0</v>
      </c>
      <c r="Q37" s="242">
        <f t="shared" si="9"/>
        <v>44593</v>
      </c>
      <c r="R37" s="242">
        <f t="shared" si="5"/>
        <v>44713</v>
      </c>
      <c r="S37" s="241">
        <v>5</v>
      </c>
      <c r="T37" s="243">
        <v>13928.71</v>
      </c>
      <c r="U37" s="244">
        <f t="shared" si="10"/>
        <v>88684.71463231786</v>
      </c>
    </row>
    <row r="38" spans="1:21" s="65" customFormat="1" x14ac:dyDescent="0.25">
      <c r="A38" s="255" t="s">
        <v>327</v>
      </c>
      <c r="B38" s="220" t="s">
        <v>218</v>
      </c>
      <c r="C38" s="255" t="s">
        <v>289</v>
      </c>
      <c r="D38" s="262" t="s">
        <v>291</v>
      </c>
      <c r="E38" s="188" t="s">
        <v>290</v>
      </c>
      <c r="F38" s="230" t="s">
        <v>307</v>
      </c>
      <c r="G38" s="233">
        <f t="shared" si="6"/>
        <v>136.13723569803267</v>
      </c>
      <c r="H38" s="118">
        <f>Perfils!$G$7</f>
        <v>60.6</v>
      </c>
      <c r="I38" s="119">
        <v>8249.9164833007799</v>
      </c>
      <c r="J38" s="233">
        <f t="shared" si="7"/>
        <v>202.46850008100739</v>
      </c>
      <c r="K38" s="120">
        <f>Perfils!$G$13</f>
        <v>61.12</v>
      </c>
      <c r="L38" s="119">
        <v>12374.874724951171</v>
      </c>
      <c r="M38" s="233">
        <f t="shared" si="8"/>
        <v>0</v>
      </c>
      <c r="N38" s="120">
        <f>Perfils!$G$19</f>
        <v>64.3</v>
      </c>
      <c r="O38" s="119">
        <v>0</v>
      </c>
      <c r="P38" s="119">
        <v>0</v>
      </c>
      <c r="Q38" s="242">
        <f t="shared" si="9"/>
        <v>44621</v>
      </c>
      <c r="R38" s="242">
        <f t="shared" si="5"/>
        <v>44713</v>
      </c>
      <c r="S38" s="241">
        <v>3</v>
      </c>
      <c r="T38" s="243">
        <v>1943.58</v>
      </c>
      <c r="U38" s="244">
        <f t="shared" si="10"/>
        <v>20624.791208251951</v>
      </c>
    </row>
    <row r="39" spans="1:21" s="65" customFormat="1" x14ac:dyDescent="0.25">
      <c r="A39" s="255" t="s">
        <v>327</v>
      </c>
      <c r="B39" s="220" t="s">
        <v>219</v>
      </c>
      <c r="C39" s="255" t="s">
        <v>292</v>
      </c>
      <c r="D39" s="262" t="s">
        <v>254</v>
      </c>
      <c r="E39" s="188" t="s">
        <v>253</v>
      </c>
      <c r="F39" s="230" t="s">
        <v>307</v>
      </c>
      <c r="G39" s="233">
        <f t="shared" si="6"/>
        <v>131.33340979032857</v>
      </c>
      <c r="H39" s="118">
        <f>Perfils!$G$7</f>
        <v>60.6</v>
      </c>
      <c r="I39" s="119">
        <v>7958.8046332939111</v>
      </c>
      <c r="J39" s="233">
        <f t="shared" si="7"/>
        <v>195.32406658934664</v>
      </c>
      <c r="K39" s="120">
        <f>Perfils!$G$13</f>
        <v>61.12</v>
      </c>
      <c r="L39" s="119">
        <v>11938.206949940866</v>
      </c>
      <c r="M39" s="233">
        <f t="shared" si="8"/>
        <v>0</v>
      </c>
      <c r="N39" s="120">
        <f>Perfils!$G$19</f>
        <v>64.3</v>
      </c>
      <c r="O39" s="119">
        <v>0</v>
      </c>
      <c r="P39" s="119">
        <v>0</v>
      </c>
      <c r="Q39" s="242">
        <f t="shared" si="9"/>
        <v>44593</v>
      </c>
      <c r="R39" s="242">
        <f t="shared" si="5"/>
        <v>44713</v>
      </c>
      <c r="S39" s="241">
        <v>5</v>
      </c>
      <c r="T39" s="243">
        <v>3125</v>
      </c>
      <c r="U39" s="244">
        <f t="shared" si="10"/>
        <v>19897.011583234776</v>
      </c>
    </row>
    <row r="40" spans="1:21" s="65" customFormat="1" x14ac:dyDescent="0.25">
      <c r="A40" s="255" t="s">
        <v>327</v>
      </c>
      <c r="B40" s="220" t="s">
        <v>219</v>
      </c>
      <c r="C40" s="255" t="s">
        <v>292</v>
      </c>
      <c r="D40" s="262" t="s">
        <v>291</v>
      </c>
      <c r="E40" s="188" t="s">
        <v>290</v>
      </c>
      <c r="F40" s="230" t="s">
        <v>307</v>
      </c>
      <c r="G40" s="233">
        <f t="shared" si="6"/>
        <v>324.79106841354684</v>
      </c>
      <c r="H40" s="118">
        <f>Perfils!$G$7</f>
        <v>60.6</v>
      </c>
      <c r="I40" s="119">
        <v>19682.33874586094</v>
      </c>
      <c r="J40" s="233">
        <f t="shared" si="7"/>
        <v>483.04169042525211</v>
      </c>
      <c r="K40" s="120">
        <f>Perfils!$G$13</f>
        <v>61.12</v>
      </c>
      <c r="L40" s="119">
        <v>29523.508118791407</v>
      </c>
      <c r="M40" s="233">
        <f t="shared" si="8"/>
        <v>0</v>
      </c>
      <c r="N40" s="120">
        <f>Perfils!$G$19</f>
        <v>64.3</v>
      </c>
      <c r="O40" s="119">
        <v>0</v>
      </c>
      <c r="P40" s="119">
        <v>0</v>
      </c>
      <c r="Q40" s="242">
        <f t="shared" si="9"/>
        <v>44593</v>
      </c>
      <c r="R40" s="242">
        <f t="shared" si="5"/>
        <v>44713</v>
      </c>
      <c r="S40" s="241">
        <v>5</v>
      </c>
      <c r="T40" s="243">
        <v>7728.21</v>
      </c>
      <c r="U40" s="244">
        <f t="shared" si="10"/>
        <v>49205.846864652347</v>
      </c>
    </row>
    <row r="41" spans="1:21" s="65" customFormat="1" x14ac:dyDescent="0.25">
      <c r="A41" s="255" t="s">
        <v>327</v>
      </c>
      <c r="B41" s="220" t="s">
        <v>220</v>
      </c>
      <c r="C41" s="255" t="s">
        <v>293</v>
      </c>
      <c r="D41" s="262" t="s">
        <v>254</v>
      </c>
      <c r="E41" s="188" t="s">
        <v>253</v>
      </c>
      <c r="F41" s="230" t="s">
        <v>307</v>
      </c>
      <c r="G41" s="233">
        <f t="shared" si="6"/>
        <v>43.777803263442856</v>
      </c>
      <c r="H41" s="118">
        <f>Perfils!$G$7</f>
        <v>60.6</v>
      </c>
      <c r="I41" s="119">
        <v>2652.9348777646369</v>
      </c>
      <c r="J41" s="233">
        <f t="shared" si="7"/>
        <v>65.108022196448871</v>
      </c>
      <c r="K41" s="120">
        <f>Perfils!$G$13</f>
        <v>61.12</v>
      </c>
      <c r="L41" s="119">
        <v>3979.4023166469547</v>
      </c>
      <c r="M41" s="233">
        <f t="shared" si="8"/>
        <v>0</v>
      </c>
      <c r="N41" s="120">
        <f>Perfils!$G$19</f>
        <v>64.3</v>
      </c>
      <c r="O41" s="119">
        <v>0</v>
      </c>
      <c r="P41" s="119">
        <v>0</v>
      </c>
      <c r="Q41" s="242">
        <f t="shared" si="9"/>
        <v>44593</v>
      </c>
      <c r="R41" s="242">
        <f t="shared" si="5"/>
        <v>44713</v>
      </c>
      <c r="S41" s="241">
        <v>5</v>
      </c>
      <c r="T41" s="243">
        <v>1250</v>
      </c>
      <c r="U41" s="244">
        <f t="shared" si="10"/>
        <v>6632.3371944115916</v>
      </c>
    </row>
    <row r="42" spans="1:21" s="65" customFormat="1" x14ac:dyDescent="0.25">
      <c r="A42" s="255" t="s">
        <v>327</v>
      </c>
      <c r="B42" s="220" t="s">
        <v>220</v>
      </c>
      <c r="C42" s="255" t="s">
        <v>293</v>
      </c>
      <c r="D42" s="262" t="s">
        <v>291</v>
      </c>
      <c r="E42" s="188" t="s">
        <v>290</v>
      </c>
      <c r="F42" s="230" t="s">
        <v>307</v>
      </c>
      <c r="G42" s="233">
        <f t="shared" si="6"/>
        <v>19.266830105257519</v>
      </c>
      <c r="H42" s="118">
        <f>Perfils!$G$7</f>
        <v>60.6</v>
      </c>
      <c r="I42" s="119">
        <v>1167.5699043786058</v>
      </c>
      <c r="J42" s="233">
        <f t="shared" si="7"/>
        <v>28.654366108768137</v>
      </c>
      <c r="K42" s="120">
        <f>Perfils!$G$13</f>
        <v>61.12</v>
      </c>
      <c r="L42" s="119">
        <v>1751.3548565679084</v>
      </c>
      <c r="M42" s="233">
        <f t="shared" si="8"/>
        <v>0</v>
      </c>
      <c r="N42" s="120">
        <f>Perfils!$G$19</f>
        <v>64.3</v>
      </c>
      <c r="O42" s="119">
        <v>0</v>
      </c>
      <c r="P42" s="119">
        <v>0</v>
      </c>
      <c r="Q42" s="242">
        <f t="shared" si="9"/>
        <v>44621</v>
      </c>
      <c r="R42" s="242">
        <f t="shared" si="5"/>
        <v>44713</v>
      </c>
      <c r="S42" s="241">
        <v>3</v>
      </c>
      <c r="T42" s="243">
        <v>275.07</v>
      </c>
      <c r="U42" s="244">
        <f t="shared" si="10"/>
        <v>2918.9247609465142</v>
      </c>
    </row>
    <row r="43" spans="1:21" s="65" customFormat="1" x14ac:dyDescent="0.25">
      <c r="A43" s="255" t="s">
        <v>328</v>
      </c>
      <c r="B43" s="220" t="s">
        <v>212</v>
      </c>
      <c r="C43" s="255" t="s">
        <v>268</v>
      </c>
      <c r="D43" s="262" t="s">
        <v>267</v>
      </c>
      <c r="E43" s="188" t="s">
        <v>266</v>
      </c>
      <c r="F43" s="211" t="s">
        <v>306</v>
      </c>
      <c r="G43" s="233">
        <f t="shared" si="6"/>
        <v>35.022242610754283</v>
      </c>
      <c r="H43" s="118">
        <f>Perfils!$G$7</f>
        <v>60.6</v>
      </c>
      <c r="I43" s="119">
        <v>2122.3479022117094</v>
      </c>
      <c r="J43" s="233">
        <f t="shared" si="7"/>
        <v>52.086417757159104</v>
      </c>
      <c r="K43" s="120">
        <f>Perfils!$G$13</f>
        <v>61.12</v>
      </c>
      <c r="L43" s="119">
        <v>3183.5218533175644</v>
      </c>
      <c r="M43" s="233">
        <f t="shared" si="8"/>
        <v>0</v>
      </c>
      <c r="N43" s="120">
        <f>Perfils!$G$19</f>
        <v>64.3</v>
      </c>
      <c r="O43" s="119">
        <v>0</v>
      </c>
      <c r="P43" s="119">
        <v>0</v>
      </c>
      <c r="Q43" s="242">
        <f t="shared" si="9"/>
        <v>44652</v>
      </c>
      <c r="R43" s="242">
        <f t="shared" si="5"/>
        <v>44713</v>
      </c>
      <c r="S43" s="241">
        <v>2</v>
      </c>
      <c r="T43" s="243">
        <v>333.33</v>
      </c>
      <c r="U43" s="244">
        <f t="shared" si="10"/>
        <v>5305.8697555292738</v>
      </c>
    </row>
    <row r="44" spans="1:21" s="65" customFormat="1" x14ac:dyDescent="0.25">
      <c r="A44" s="255" t="s">
        <v>328</v>
      </c>
      <c r="B44" s="220" t="s">
        <v>212</v>
      </c>
      <c r="C44" s="255" t="s">
        <v>268</v>
      </c>
      <c r="D44" s="262" t="s">
        <v>270</v>
      </c>
      <c r="E44" s="188" t="s">
        <v>269</v>
      </c>
      <c r="F44" s="211" t="s">
        <v>306</v>
      </c>
      <c r="G44" s="233">
        <f t="shared" si="6"/>
        <v>87.555606526885711</v>
      </c>
      <c r="H44" s="118">
        <f>Perfils!$G$7</f>
        <v>60.6</v>
      </c>
      <c r="I44" s="119">
        <v>5305.8697555292738</v>
      </c>
      <c r="J44" s="233">
        <f t="shared" si="7"/>
        <v>130.21604439289774</v>
      </c>
      <c r="K44" s="120">
        <f>Perfils!$G$13</f>
        <v>61.12</v>
      </c>
      <c r="L44" s="119">
        <v>7958.8046332939093</v>
      </c>
      <c r="M44" s="233">
        <f t="shared" si="8"/>
        <v>0</v>
      </c>
      <c r="N44" s="120">
        <f>Perfils!$G$19</f>
        <v>64.3</v>
      </c>
      <c r="O44" s="119">
        <v>0</v>
      </c>
      <c r="P44" s="119">
        <v>0</v>
      </c>
      <c r="Q44" s="242">
        <f t="shared" si="9"/>
        <v>44652</v>
      </c>
      <c r="R44" s="242">
        <f t="shared" si="5"/>
        <v>44713</v>
      </c>
      <c r="S44" s="241">
        <v>2</v>
      </c>
      <c r="T44" s="243">
        <v>833.33</v>
      </c>
      <c r="U44" s="244">
        <f t="shared" si="10"/>
        <v>13264.674388823183</v>
      </c>
    </row>
    <row r="45" spans="1:21" s="65" customFormat="1" x14ac:dyDescent="0.25">
      <c r="A45" s="255" t="s">
        <v>328</v>
      </c>
      <c r="B45" s="220" t="s">
        <v>212</v>
      </c>
      <c r="C45" s="255" t="s">
        <v>268</v>
      </c>
      <c r="D45" s="262" t="s">
        <v>272</v>
      </c>
      <c r="E45" s="188" t="s">
        <v>271</v>
      </c>
      <c r="F45" s="211" t="s">
        <v>306</v>
      </c>
      <c r="G45" s="233">
        <f t="shared" si="6"/>
        <v>43.777803263442856</v>
      </c>
      <c r="H45" s="118">
        <f>Perfils!$G$7</f>
        <v>60.6</v>
      </c>
      <c r="I45" s="119">
        <v>2652.9348777646369</v>
      </c>
      <c r="J45" s="233">
        <f t="shared" si="7"/>
        <v>65.108022196448871</v>
      </c>
      <c r="K45" s="120">
        <f>Perfils!$G$13</f>
        <v>61.12</v>
      </c>
      <c r="L45" s="119">
        <v>3979.4023166469547</v>
      </c>
      <c r="M45" s="233">
        <f t="shared" si="8"/>
        <v>0</v>
      </c>
      <c r="N45" s="120">
        <f>Perfils!$G$19</f>
        <v>64.3</v>
      </c>
      <c r="O45" s="119">
        <v>0</v>
      </c>
      <c r="P45" s="119">
        <v>0</v>
      </c>
      <c r="Q45" s="242">
        <f t="shared" si="9"/>
        <v>44652</v>
      </c>
      <c r="R45" s="242">
        <f t="shared" si="5"/>
        <v>44713</v>
      </c>
      <c r="S45" s="241">
        <v>2</v>
      </c>
      <c r="T45" s="243">
        <v>416.67</v>
      </c>
      <c r="U45" s="244">
        <f t="shared" si="10"/>
        <v>6632.3371944115916</v>
      </c>
    </row>
    <row r="46" spans="1:21" s="65" customFormat="1" ht="30" x14ac:dyDescent="0.25">
      <c r="A46" s="255" t="s">
        <v>328</v>
      </c>
      <c r="B46" s="220" t="s">
        <v>212</v>
      </c>
      <c r="C46" s="255" t="s">
        <v>268</v>
      </c>
      <c r="D46" s="262" t="s">
        <v>274</v>
      </c>
      <c r="E46" s="188" t="s">
        <v>273</v>
      </c>
      <c r="F46" s="230" t="s">
        <v>307</v>
      </c>
      <c r="G46" s="233">
        <f t="shared" si="6"/>
        <v>988.40898727717342</v>
      </c>
      <c r="H46" s="118">
        <f>Perfils!$G$7</f>
        <v>60.6</v>
      </c>
      <c r="I46" s="119">
        <v>59897.584628996708</v>
      </c>
      <c r="J46" s="233">
        <f t="shared" si="7"/>
        <v>1469.9996227666077</v>
      </c>
      <c r="K46" s="120">
        <f>Perfils!$G$13</f>
        <v>61.12</v>
      </c>
      <c r="L46" s="119">
        <v>89846.376943495052</v>
      </c>
      <c r="M46" s="233">
        <f t="shared" si="8"/>
        <v>0</v>
      </c>
      <c r="N46" s="120">
        <f>Perfils!$G$19</f>
        <v>64.3</v>
      </c>
      <c r="O46" s="119">
        <v>0</v>
      </c>
      <c r="P46" s="119">
        <v>0</v>
      </c>
      <c r="Q46" s="242">
        <f t="shared" si="9"/>
        <v>44621</v>
      </c>
      <c r="R46" s="242">
        <f t="shared" si="5"/>
        <v>44713</v>
      </c>
      <c r="S46" s="241">
        <v>3</v>
      </c>
      <c r="T46" s="243">
        <v>14111.16</v>
      </c>
      <c r="U46" s="244">
        <f t="shared" si="10"/>
        <v>149743.96157249177</v>
      </c>
    </row>
    <row r="47" spans="1:21" s="65" customFormat="1" x14ac:dyDescent="0.25">
      <c r="A47" s="255" t="s">
        <v>328</v>
      </c>
      <c r="B47" s="220" t="s">
        <v>212</v>
      </c>
      <c r="C47" s="255" t="s">
        <v>268</v>
      </c>
      <c r="D47" s="262" t="s">
        <v>276</v>
      </c>
      <c r="E47" s="188" t="s">
        <v>275</v>
      </c>
      <c r="F47" s="211" t="s">
        <v>306</v>
      </c>
      <c r="G47" s="233">
        <f t="shared" si="6"/>
        <v>52.533363916131421</v>
      </c>
      <c r="H47" s="118">
        <f>Perfils!$G$7</f>
        <v>60.6</v>
      </c>
      <c r="I47" s="119">
        <v>3183.5218533175644</v>
      </c>
      <c r="J47" s="233">
        <f t="shared" si="7"/>
        <v>78.12962663573866</v>
      </c>
      <c r="K47" s="120">
        <f>Perfils!$G$13</f>
        <v>61.12</v>
      </c>
      <c r="L47" s="119">
        <v>4775.2827799763463</v>
      </c>
      <c r="M47" s="233">
        <f t="shared" si="8"/>
        <v>0</v>
      </c>
      <c r="N47" s="120">
        <f>Perfils!$G$19</f>
        <v>64.3</v>
      </c>
      <c r="O47" s="119">
        <v>0</v>
      </c>
      <c r="P47" s="119">
        <v>0</v>
      </c>
      <c r="Q47" s="242">
        <f t="shared" si="9"/>
        <v>44652</v>
      </c>
      <c r="R47" s="242">
        <f t="shared" si="5"/>
        <v>44713</v>
      </c>
      <c r="S47" s="241">
        <v>2</v>
      </c>
      <c r="T47" s="243">
        <v>500</v>
      </c>
      <c r="U47" s="244">
        <f t="shared" si="10"/>
        <v>7958.8046332939102</v>
      </c>
    </row>
    <row r="48" spans="1:21" s="65" customFormat="1" x14ac:dyDescent="0.25">
      <c r="A48" s="255" t="s">
        <v>328</v>
      </c>
      <c r="B48" s="220" t="s">
        <v>213</v>
      </c>
      <c r="C48" s="255" t="s">
        <v>280</v>
      </c>
      <c r="D48" s="262" t="s">
        <v>279</v>
      </c>
      <c r="E48" s="188" t="s">
        <v>278</v>
      </c>
      <c r="F48" s="211" t="s">
        <v>308</v>
      </c>
      <c r="G48" s="233">
        <f t="shared" si="6"/>
        <v>0</v>
      </c>
      <c r="H48" s="118">
        <f>Perfils!$G$7</f>
        <v>60.6</v>
      </c>
      <c r="I48" s="119">
        <v>0</v>
      </c>
      <c r="J48" s="233">
        <f t="shared" si="7"/>
        <v>0</v>
      </c>
      <c r="K48" s="120">
        <f>Perfils!$G$13</f>
        <v>61.12</v>
      </c>
      <c r="L48" s="119">
        <v>0</v>
      </c>
      <c r="M48" s="233">
        <f t="shared" si="8"/>
        <v>0</v>
      </c>
      <c r="N48" s="120">
        <f>Perfils!$G$19</f>
        <v>64.3</v>
      </c>
      <c r="O48" s="119">
        <v>0</v>
      </c>
      <c r="P48" s="119">
        <v>0</v>
      </c>
      <c r="Q48" s="242">
        <f t="shared" si="9"/>
        <v>44713</v>
      </c>
      <c r="R48" s="242">
        <f t="shared" si="5"/>
        <v>44713</v>
      </c>
      <c r="S48" s="241">
        <v>0</v>
      </c>
      <c r="T48" s="243">
        <v>0</v>
      </c>
      <c r="U48" s="244">
        <f t="shared" si="10"/>
        <v>0</v>
      </c>
    </row>
    <row r="49" spans="1:21" s="65" customFormat="1" x14ac:dyDescent="0.25">
      <c r="A49" s="255" t="s">
        <v>328</v>
      </c>
      <c r="B49" s="220" t="s">
        <v>214</v>
      </c>
      <c r="C49" s="255" t="s">
        <v>282</v>
      </c>
      <c r="D49" s="262" t="s">
        <v>281</v>
      </c>
      <c r="E49" s="188" t="s">
        <v>277</v>
      </c>
      <c r="F49" s="211" t="s">
        <v>308</v>
      </c>
      <c r="G49" s="233">
        <f t="shared" si="6"/>
        <v>0</v>
      </c>
      <c r="H49" s="118">
        <f>Perfils!$G$7</f>
        <v>60.6</v>
      </c>
      <c r="I49" s="119">
        <v>0</v>
      </c>
      <c r="J49" s="233">
        <f t="shared" si="7"/>
        <v>0</v>
      </c>
      <c r="K49" s="120">
        <f>Perfils!$G$13</f>
        <v>61.12</v>
      </c>
      <c r="L49" s="119">
        <v>0</v>
      </c>
      <c r="M49" s="233">
        <v>0</v>
      </c>
      <c r="N49" s="120">
        <f>Perfils!$G$19</f>
        <v>64.3</v>
      </c>
      <c r="O49" s="119">
        <v>52500</v>
      </c>
      <c r="P49" s="119">
        <v>0</v>
      </c>
      <c r="Q49" s="242">
        <f t="shared" si="9"/>
        <v>44652</v>
      </c>
      <c r="R49" s="242">
        <f t="shared" si="5"/>
        <v>44713</v>
      </c>
      <c r="S49" s="241">
        <v>2</v>
      </c>
      <c r="T49" s="243">
        <v>3750</v>
      </c>
      <c r="U49" s="244">
        <f t="shared" si="10"/>
        <v>52500</v>
      </c>
    </row>
    <row r="50" spans="1:21" s="65" customFormat="1" ht="30" x14ac:dyDescent="0.25">
      <c r="A50" s="255" t="s">
        <v>328</v>
      </c>
      <c r="B50" s="220" t="s">
        <v>221</v>
      </c>
      <c r="C50" s="255" t="s">
        <v>294</v>
      </c>
      <c r="D50" s="262" t="s">
        <v>274</v>
      </c>
      <c r="E50" s="188" t="s">
        <v>273</v>
      </c>
      <c r="F50" s="230" t="s">
        <v>307</v>
      </c>
      <c r="G50" s="233">
        <f t="shared" si="6"/>
        <v>678.55595058336417</v>
      </c>
      <c r="H50" s="118">
        <f>Perfils!$G$7</f>
        <v>60.6</v>
      </c>
      <c r="I50" s="119">
        <v>41120.490605351872</v>
      </c>
      <c r="J50" s="233">
        <f t="shared" si="7"/>
        <v>1009.1743440449576</v>
      </c>
      <c r="K50" s="120">
        <f>Perfils!$G$13</f>
        <v>61.12</v>
      </c>
      <c r="L50" s="119">
        <v>61680.735908027804</v>
      </c>
      <c r="M50" s="233">
        <f>+O50/N50</f>
        <v>0</v>
      </c>
      <c r="N50" s="120">
        <f>Perfils!$G$19</f>
        <v>64.3</v>
      </c>
      <c r="O50" s="119">
        <v>0</v>
      </c>
      <c r="P50" s="119">
        <v>0</v>
      </c>
      <c r="Q50" s="242">
        <f t="shared" si="9"/>
        <v>44621</v>
      </c>
      <c r="R50" s="242">
        <f t="shared" si="5"/>
        <v>44713</v>
      </c>
      <c r="S50" s="241">
        <v>3</v>
      </c>
      <c r="T50" s="243">
        <v>9687.5</v>
      </c>
      <c r="U50" s="244">
        <f t="shared" si="10"/>
        <v>102801.22651337968</v>
      </c>
    </row>
    <row r="51" spans="1:21" s="65" customFormat="1" x14ac:dyDescent="0.25">
      <c r="A51" s="256" t="s">
        <v>329</v>
      </c>
      <c r="B51" s="220" t="s">
        <v>208</v>
      </c>
      <c r="C51" s="255" t="s">
        <v>321</v>
      </c>
      <c r="D51" s="262" t="s">
        <v>254</v>
      </c>
      <c r="E51" s="188" t="s">
        <v>253</v>
      </c>
      <c r="F51" s="230" t="s">
        <v>307</v>
      </c>
      <c r="G51" s="233">
        <f t="shared" ref="G51" si="11">+I51/H51</f>
        <v>87.555606526885711</v>
      </c>
      <c r="H51" s="118">
        <f>Perfils!$G$7</f>
        <v>60.6</v>
      </c>
      <c r="I51" s="119">
        <v>5305.8697555292738</v>
      </c>
      <c r="J51" s="233">
        <f t="shared" ref="J51" si="12">+L51/K51</f>
        <v>130.21604439289774</v>
      </c>
      <c r="K51" s="120">
        <f>Perfils!$G$13</f>
        <v>61.12</v>
      </c>
      <c r="L51" s="119">
        <v>7958.8046332939093</v>
      </c>
      <c r="M51" s="233">
        <f t="shared" ref="M51" si="13">+O51/N51</f>
        <v>0</v>
      </c>
      <c r="N51" s="120">
        <f>Perfils!$G$19</f>
        <v>64.3</v>
      </c>
      <c r="O51" s="119">
        <v>0</v>
      </c>
      <c r="P51" s="119">
        <v>0</v>
      </c>
      <c r="Q51" s="242">
        <f t="shared" ref="Q51" si="14">VLOOKUP(S51,$T$2:$U$6,2)</f>
        <v>44621</v>
      </c>
      <c r="R51" s="242">
        <f t="shared" si="5"/>
        <v>44713</v>
      </c>
      <c r="S51" s="241">
        <v>3</v>
      </c>
      <c r="T51" s="243">
        <v>1250</v>
      </c>
      <c r="U51" s="244">
        <f t="shared" ref="U51" si="15">+I51+L51+O51+P51</f>
        <v>13264.674388823183</v>
      </c>
    </row>
    <row r="52" spans="1:21" s="65" customFormat="1" x14ac:dyDescent="0.25">
      <c r="A52" s="256" t="s">
        <v>329</v>
      </c>
      <c r="B52" s="220" t="s">
        <v>208</v>
      </c>
      <c r="C52" s="255" t="s">
        <v>321</v>
      </c>
      <c r="D52" s="262" t="s">
        <v>256</v>
      </c>
      <c r="E52" s="188" t="s">
        <v>255</v>
      </c>
      <c r="F52" s="230" t="s">
        <v>307</v>
      </c>
      <c r="G52" s="233">
        <f t="shared" si="2"/>
        <v>437.77803263442854</v>
      </c>
      <c r="H52" s="118">
        <f>Perfils!$G$7</f>
        <v>60.6</v>
      </c>
      <c r="I52" s="119">
        <v>26529.34877764637</v>
      </c>
      <c r="J52" s="233">
        <f t="shared" si="0"/>
        <v>651.08022196448883</v>
      </c>
      <c r="K52" s="120">
        <f>Perfils!$G$13</f>
        <v>61.12</v>
      </c>
      <c r="L52" s="119">
        <v>39794.023166469553</v>
      </c>
      <c r="M52" s="233">
        <f t="shared" si="1"/>
        <v>0</v>
      </c>
      <c r="N52" s="120">
        <f>Perfils!$G$19</f>
        <v>64.3</v>
      </c>
      <c r="O52" s="119">
        <v>0</v>
      </c>
      <c r="P52" s="119">
        <v>0</v>
      </c>
      <c r="Q52" s="242">
        <f t="shared" si="3"/>
        <v>44621</v>
      </c>
      <c r="R52" s="242">
        <f t="shared" si="5"/>
        <v>44713</v>
      </c>
      <c r="S52" s="241">
        <v>3</v>
      </c>
      <c r="T52" s="243">
        <v>6250</v>
      </c>
      <c r="U52" s="244">
        <f t="shared" si="4"/>
        <v>66323.371944115919</v>
      </c>
    </row>
    <row r="53" spans="1:21" s="65" customFormat="1" x14ac:dyDescent="0.25">
      <c r="A53" s="256" t="s">
        <v>329</v>
      </c>
      <c r="B53" s="220" t="s">
        <v>208</v>
      </c>
      <c r="C53" s="255" t="s">
        <v>321</v>
      </c>
      <c r="D53" s="262" t="s">
        <v>258</v>
      </c>
      <c r="E53" s="188" t="s">
        <v>257</v>
      </c>
      <c r="F53" s="230" t="s">
        <v>307</v>
      </c>
      <c r="G53" s="233">
        <f t="shared" si="2"/>
        <v>109.44450815860714</v>
      </c>
      <c r="H53" s="118">
        <f>Perfils!$G$7</f>
        <v>60.6</v>
      </c>
      <c r="I53" s="119">
        <v>6632.3371944115925</v>
      </c>
      <c r="J53" s="233">
        <f t="shared" si="0"/>
        <v>162.77005549112221</v>
      </c>
      <c r="K53" s="120">
        <f>Perfils!$G$13</f>
        <v>61.12</v>
      </c>
      <c r="L53" s="119">
        <v>9948.5057916173882</v>
      </c>
      <c r="M53" s="233">
        <f t="shared" si="1"/>
        <v>0</v>
      </c>
      <c r="N53" s="120">
        <f>Perfils!$G$19</f>
        <v>64.3</v>
      </c>
      <c r="O53" s="119">
        <v>0</v>
      </c>
      <c r="P53" s="119">
        <v>0</v>
      </c>
      <c r="Q53" s="242">
        <f t="shared" si="3"/>
        <v>44621</v>
      </c>
      <c r="R53" s="242">
        <f t="shared" si="5"/>
        <v>44713</v>
      </c>
      <c r="S53" s="241">
        <v>3</v>
      </c>
      <c r="T53" s="243">
        <v>1562.5</v>
      </c>
      <c r="U53" s="244">
        <f t="shared" si="4"/>
        <v>16580.84298602898</v>
      </c>
    </row>
    <row r="54" spans="1:21" s="65" customFormat="1" ht="30" x14ac:dyDescent="0.25">
      <c r="A54" s="256" t="s">
        <v>329</v>
      </c>
      <c r="B54" s="220" t="s">
        <v>222</v>
      </c>
      <c r="C54" s="255" t="s">
        <v>297</v>
      </c>
      <c r="D54" s="262" t="s">
        <v>296</v>
      </c>
      <c r="E54" s="188" t="s">
        <v>295</v>
      </c>
      <c r="F54" s="230" t="s">
        <v>307</v>
      </c>
      <c r="G54" s="233">
        <f t="shared" si="2"/>
        <v>547.22254079303571</v>
      </c>
      <c r="H54" s="118">
        <f>Perfils!$G$7</f>
        <v>60.6</v>
      </c>
      <c r="I54" s="119">
        <v>33161.685972057967</v>
      </c>
      <c r="J54" s="233">
        <f t="shared" si="0"/>
        <v>813.85027745561104</v>
      </c>
      <c r="K54" s="120">
        <f>Perfils!$G$13</f>
        <v>61.12</v>
      </c>
      <c r="L54" s="119">
        <v>49742.528958086943</v>
      </c>
      <c r="M54" s="233">
        <f t="shared" si="1"/>
        <v>0</v>
      </c>
      <c r="N54" s="120">
        <f>Perfils!$G$19</f>
        <v>64.3</v>
      </c>
      <c r="O54" s="119">
        <v>0</v>
      </c>
      <c r="P54" s="119">
        <v>0</v>
      </c>
      <c r="Q54" s="242">
        <f t="shared" si="3"/>
        <v>44621</v>
      </c>
      <c r="R54" s="242">
        <f t="shared" si="5"/>
        <v>44713</v>
      </c>
      <c r="S54" s="241">
        <v>3</v>
      </c>
      <c r="T54" s="243">
        <v>7812.5</v>
      </c>
      <c r="U54" s="244">
        <f t="shared" si="4"/>
        <v>82904.21493014491</v>
      </c>
    </row>
    <row r="55" spans="1:21" s="65" customFormat="1" x14ac:dyDescent="0.25">
      <c r="A55" s="256" t="s">
        <v>329</v>
      </c>
      <c r="B55" s="220" t="s">
        <v>224</v>
      </c>
      <c r="C55" s="255" t="s">
        <v>301</v>
      </c>
      <c r="D55" s="262" t="s">
        <v>240</v>
      </c>
      <c r="E55" s="188" t="s">
        <v>239</v>
      </c>
      <c r="F55" s="230" t="s">
        <v>307</v>
      </c>
      <c r="G55" s="233">
        <f t="shared" si="2"/>
        <v>240.77791794893571</v>
      </c>
      <c r="H55" s="118">
        <f>Perfils!$G$7</f>
        <v>60.6</v>
      </c>
      <c r="I55" s="119">
        <v>14591.141827705504</v>
      </c>
      <c r="J55" s="233">
        <f t="shared" si="0"/>
        <v>358.09412208046882</v>
      </c>
      <c r="K55" s="120">
        <f>Perfils!$G$13</f>
        <v>61.12</v>
      </c>
      <c r="L55" s="119">
        <v>21886.712741558254</v>
      </c>
      <c r="M55" s="233">
        <f t="shared" si="1"/>
        <v>0</v>
      </c>
      <c r="N55" s="120">
        <f>Perfils!$G$19</f>
        <v>64.3</v>
      </c>
      <c r="O55" s="119">
        <v>0</v>
      </c>
      <c r="P55" s="119">
        <v>0</v>
      </c>
      <c r="Q55" s="242">
        <f t="shared" si="3"/>
        <v>44621</v>
      </c>
      <c r="R55" s="242">
        <f t="shared" si="5"/>
        <v>44713</v>
      </c>
      <c r="S55" s="241">
        <v>3</v>
      </c>
      <c r="T55" s="243">
        <v>3437.5</v>
      </c>
      <c r="U55" s="244">
        <f t="shared" si="4"/>
        <v>36477.854569263756</v>
      </c>
    </row>
    <row r="56" spans="1:21" s="65" customFormat="1" x14ac:dyDescent="0.25">
      <c r="A56" s="256" t="s">
        <v>329</v>
      </c>
      <c r="B56" s="220" t="s">
        <v>224</v>
      </c>
      <c r="C56" s="255" t="s">
        <v>301</v>
      </c>
      <c r="D56" s="262" t="s">
        <v>245</v>
      </c>
      <c r="E56" s="188" t="s">
        <v>244</v>
      </c>
      <c r="F56" s="230" t="s">
        <v>307</v>
      </c>
      <c r="G56" s="233">
        <f t="shared" si="2"/>
        <v>109.44450815860714</v>
      </c>
      <c r="H56" s="118">
        <f>Perfils!$G$7</f>
        <v>60.6</v>
      </c>
      <c r="I56" s="119">
        <v>6632.3371944115925</v>
      </c>
      <c r="J56" s="233">
        <f t="shared" si="0"/>
        <v>162.77005549112221</v>
      </c>
      <c r="K56" s="120">
        <f>Perfils!$G$13</f>
        <v>61.12</v>
      </c>
      <c r="L56" s="119">
        <v>9948.5057916173882</v>
      </c>
      <c r="M56" s="233">
        <f t="shared" si="1"/>
        <v>0</v>
      </c>
      <c r="N56" s="120">
        <f>Perfils!$G$19</f>
        <v>64.3</v>
      </c>
      <c r="O56" s="119">
        <v>0</v>
      </c>
      <c r="P56" s="119">
        <v>0</v>
      </c>
      <c r="Q56" s="242">
        <f t="shared" si="3"/>
        <v>44621</v>
      </c>
      <c r="R56" s="242">
        <f t="shared" si="5"/>
        <v>44713</v>
      </c>
      <c r="S56" s="241">
        <v>3</v>
      </c>
      <c r="T56" s="243">
        <v>1562.5</v>
      </c>
      <c r="U56" s="244">
        <f t="shared" si="4"/>
        <v>16580.84298602898</v>
      </c>
    </row>
    <row r="57" spans="1:21" s="65" customFormat="1" x14ac:dyDescent="0.25">
      <c r="A57" s="256" t="s">
        <v>329</v>
      </c>
      <c r="B57" s="220" t="s">
        <v>224</v>
      </c>
      <c r="C57" s="255" t="s">
        <v>301</v>
      </c>
      <c r="D57" s="262" t="s">
        <v>250</v>
      </c>
      <c r="E57" s="188" t="s">
        <v>249</v>
      </c>
      <c r="F57" s="230" t="s">
        <v>307</v>
      </c>
      <c r="G57" s="233">
        <f t="shared" si="2"/>
        <v>109.44450815860714</v>
      </c>
      <c r="H57" s="118">
        <f>Perfils!$G$7</f>
        <v>60.6</v>
      </c>
      <c r="I57" s="119">
        <v>6632.3371944115925</v>
      </c>
      <c r="J57" s="233">
        <f t="shared" si="0"/>
        <v>162.77005549112221</v>
      </c>
      <c r="K57" s="120">
        <f>Perfils!$G$13</f>
        <v>61.12</v>
      </c>
      <c r="L57" s="119">
        <v>9948.5057916173882</v>
      </c>
      <c r="M57" s="233">
        <f t="shared" si="1"/>
        <v>0</v>
      </c>
      <c r="N57" s="120">
        <f>Perfils!$G$19</f>
        <v>64.3</v>
      </c>
      <c r="O57" s="119">
        <v>0</v>
      </c>
      <c r="P57" s="119">
        <v>0</v>
      </c>
      <c r="Q57" s="242">
        <f t="shared" si="3"/>
        <v>44621</v>
      </c>
      <c r="R57" s="242">
        <f t="shared" si="5"/>
        <v>44713</v>
      </c>
      <c r="S57" s="241">
        <v>3</v>
      </c>
      <c r="T57" s="243">
        <v>1562.5</v>
      </c>
      <c r="U57" s="244">
        <f t="shared" si="4"/>
        <v>16580.84298602898</v>
      </c>
    </row>
    <row r="58" spans="1:21" s="65" customFormat="1" x14ac:dyDescent="0.25">
      <c r="A58" s="256" t="s">
        <v>329</v>
      </c>
      <c r="B58" s="220" t="s">
        <v>224</v>
      </c>
      <c r="C58" s="255" t="s">
        <v>301</v>
      </c>
      <c r="D58" s="262" t="s">
        <v>235</v>
      </c>
      <c r="E58" s="188" t="s">
        <v>234</v>
      </c>
      <c r="F58" s="230" t="s">
        <v>307</v>
      </c>
      <c r="G58" s="233">
        <f t="shared" si="2"/>
        <v>109.44450815860714</v>
      </c>
      <c r="H58" s="118">
        <f>Perfils!$G$7</f>
        <v>60.6</v>
      </c>
      <c r="I58" s="119">
        <v>6632.3371944115925</v>
      </c>
      <c r="J58" s="233">
        <f t="shared" si="0"/>
        <v>162.77005549112221</v>
      </c>
      <c r="K58" s="120">
        <f>Perfils!$G$13</f>
        <v>61.12</v>
      </c>
      <c r="L58" s="119">
        <v>9948.5057916173882</v>
      </c>
      <c r="M58" s="233">
        <f t="shared" si="1"/>
        <v>0</v>
      </c>
      <c r="N58" s="120">
        <f>Perfils!$G$19</f>
        <v>64.3</v>
      </c>
      <c r="O58" s="119">
        <v>0</v>
      </c>
      <c r="P58" s="119">
        <v>0</v>
      </c>
      <c r="Q58" s="242">
        <f t="shared" si="3"/>
        <v>44621</v>
      </c>
      <c r="R58" s="242">
        <f t="shared" si="5"/>
        <v>44713</v>
      </c>
      <c r="S58" s="241">
        <v>3</v>
      </c>
      <c r="T58" s="243">
        <v>1562.5</v>
      </c>
      <c r="U58" s="244">
        <f t="shared" si="4"/>
        <v>16580.84298602898</v>
      </c>
    </row>
    <row r="59" spans="1:21" s="65" customFormat="1" x14ac:dyDescent="0.25">
      <c r="A59" s="256" t="s">
        <v>329</v>
      </c>
      <c r="B59" s="220" t="s">
        <v>225</v>
      </c>
      <c r="C59" s="255" t="s">
        <v>302</v>
      </c>
      <c r="D59" s="262" t="s">
        <v>258</v>
      </c>
      <c r="E59" s="188" t="s">
        <v>257</v>
      </c>
      <c r="F59" s="230" t="s">
        <v>307</v>
      </c>
      <c r="G59" s="233">
        <f t="shared" si="2"/>
        <v>240.77791794893571</v>
      </c>
      <c r="H59" s="118">
        <f>Perfils!$G$7</f>
        <v>60.6</v>
      </c>
      <c r="I59" s="119">
        <v>14591.141827705504</v>
      </c>
      <c r="J59" s="233">
        <f t="shared" si="0"/>
        <v>358.09412208046882</v>
      </c>
      <c r="K59" s="120">
        <f>Perfils!$G$13</f>
        <v>61.12</v>
      </c>
      <c r="L59" s="119">
        <v>21886.712741558254</v>
      </c>
      <c r="M59" s="233">
        <f t="shared" si="1"/>
        <v>0</v>
      </c>
      <c r="N59" s="120">
        <f>Perfils!$G$19</f>
        <v>64.3</v>
      </c>
      <c r="O59" s="119">
        <v>0</v>
      </c>
      <c r="P59" s="119">
        <v>0</v>
      </c>
      <c r="Q59" s="242">
        <f t="shared" si="3"/>
        <v>44621</v>
      </c>
      <c r="R59" s="242">
        <f t="shared" si="5"/>
        <v>44713</v>
      </c>
      <c r="S59" s="241">
        <v>3</v>
      </c>
      <c r="T59" s="243">
        <v>3437.5</v>
      </c>
      <c r="U59" s="244">
        <f t="shared" si="4"/>
        <v>36477.854569263756</v>
      </c>
    </row>
    <row r="60" spans="1:21" s="65" customFormat="1" x14ac:dyDescent="0.25">
      <c r="A60" s="256" t="s">
        <v>308</v>
      </c>
      <c r="B60" s="220" t="s">
        <v>226</v>
      </c>
      <c r="C60" s="188" t="s">
        <v>286</v>
      </c>
      <c r="D60" s="188" t="s">
        <v>303</v>
      </c>
      <c r="E60" s="188" t="s">
        <v>286</v>
      </c>
      <c r="F60" s="230" t="s">
        <v>308</v>
      </c>
      <c r="G60" s="233">
        <f t="shared" si="2"/>
        <v>0</v>
      </c>
      <c r="H60" s="118">
        <f>Perfils!$G$7</f>
        <v>60.6</v>
      </c>
      <c r="I60" s="119">
        <v>0</v>
      </c>
      <c r="J60" s="233">
        <f t="shared" si="0"/>
        <v>0</v>
      </c>
      <c r="K60" s="120">
        <f>Perfils!$G$13</f>
        <v>61.12</v>
      </c>
      <c r="L60" s="119">
        <v>0</v>
      </c>
      <c r="M60" s="233">
        <f t="shared" si="1"/>
        <v>4504.8500777604977</v>
      </c>
      <c r="N60" s="120">
        <f>Perfils!$G$19</f>
        <v>64.3</v>
      </c>
      <c r="O60" s="119">
        <v>289661.86</v>
      </c>
      <c r="P60" s="119">
        <v>0</v>
      </c>
      <c r="Q60" s="242">
        <f t="shared" si="3"/>
        <v>44713</v>
      </c>
      <c r="R60" s="242">
        <f t="shared" si="5"/>
        <v>44713</v>
      </c>
      <c r="S60" s="241">
        <v>0</v>
      </c>
      <c r="T60" s="243">
        <f t="shared" ref="T60" si="16">ROUND((S60*U114*0.25)/12,2)</f>
        <v>0</v>
      </c>
      <c r="U60" s="244">
        <f t="shared" si="4"/>
        <v>289661.86</v>
      </c>
    </row>
    <row r="61" spans="1:21" s="65" customFormat="1" ht="15.75" x14ac:dyDescent="0.25">
      <c r="B61" s="67" t="s">
        <v>116</v>
      </c>
      <c r="C61" s="191"/>
      <c r="D61" s="192"/>
      <c r="E61" s="193"/>
      <c r="F61" s="231"/>
      <c r="G61" s="189">
        <f>SUM(G14:G60)</f>
        <v>10057.399933993405</v>
      </c>
      <c r="H61" s="189"/>
      <c r="I61" s="190">
        <f>SUM(I14:I60)</f>
        <v>609478.4360000001</v>
      </c>
      <c r="J61" s="189">
        <f>SUM(J14:J60)</f>
        <v>14957.749574607333</v>
      </c>
      <c r="K61" s="189"/>
      <c r="L61" s="190">
        <f>SUM(L14:L60)</f>
        <v>914217.65400000033</v>
      </c>
      <c r="M61" s="189">
        <f>SUM(M14:M60)</f>
        <v>4504.8500777604977</v>
      </c>
      <c r="N61" s="189"/>
      <c r="O61" s="190">
        <f>SUM(O14:O60)</f>
        <v>342161.86</v>
      </c>
      <c r="P61" s="190">
        <f>SUM(P14:P60)</f>
        <v>0</v>
      </c>
      <c r="Q61" s="189"/>
      <c r="R61" s="189"/>
      <c r="S61" s="189"/>
      <c r="T61" s="190">
        <f>SUM(T14:T60)</f>
        <v>175648.84</v>
      </c>
      <c r="U61" s="190">
        <f>SUM(U14:U60)</f>
        <v>1865857.9499999997</v>
      </c>
    </row>
    <row r="62" spans="1:21" s="65" customFormat="1" x14ac:dyDescent="0.25">
      <c r="B62" s="2"/>
      <c r="C62" s="104"/>
      <c r="D62" s="182"/>
      <c r="E62" s="117"/>
      <c r="F62" s="232"/>
      <c r="G62" s="118"/>
      <c r="H62" s="118"/>
      <c r="I62" s="119"/>
      <c r="J62" s="118"/>
      <c r="K62" s="120"/>
      <c r="L62" s="119"/>
      <c r="M62" s="118"/>
      <c r="N62" s="120"/>
      <c r="O62" s="119"/>
      <c r="P62" s="119"/>
      <c r="Q62" s="130"/>
      <c r="R62" s="130"/>
      <c r="S62" s="215"/>
      <c r="T62" s="131"/>
    </row>
    <row r="63" spans="1:21" s="65" customFormat="1" x14ac:dyDescent="0.25">
      <c r="B63" s="2"/>
      <c r="C63" s="104"/>
      <c r="D63" s="182"/>
      <c r="E63" s="234" t="s">
        <v>309</v>
      </c>
      <c r="F63" s="235"/>
      <c r="G63" s="236">
        <f>(G61/$E$12/8)/20</f>
        <v>8.9798213696369693</v>
      </c>
      <c r="H63" s="236"/>
      <c r="I63" s="236"/>
      <c r="J63" s="236">
        <f>(J61/$E$12/8)/20</f>
        <v>13.355133548756546</v>
      </c>
      <c r="K63" s="237"/>
      <c r="L63" s="238"/>
      <c r="M63" s="236">
        <f>(M61/$E$12/8)/20</f>
        <v>4.0221875694290157</v>
      </c>
      <c r="N63" s="120" t="s">
        <v>319</v>
      </c>
      <c r="O63" s="236"/>
      <c r="P63" s="118"/>
      <c r="Q63" s="130"/>
      <c r="R63" s="130"/>
      <c r="S63" s="215"/>
      <c r="T63" s="259"/>
    </row>
    <row r="64" spans="1:21" s="65" customFormat="1" x14ac:dyDescent="0.25">
      <c r="B64" s="2"/>
      <c r="C64" s="104"/>
      <c r="D64" s="182"/>
      <c r="E64" s="117"/>
      <c r="F64" s="232"/>
      <c r="G64" s="118"/>
      <c r="H64" s="118"/>
      <c r="I64" s="119"/>
      <c r="J64" s="118"/>
      <c r="K64" s="120"/>
      <c r="L64" s="119"/>
      <c r="M64" s="118"/>
      <c r="N64" s="120"/>
      <c r="O64" s="119"/>
      <c r="P64" s="119"/>
      <c r="Q64" s="130"/>
      <c r="R64" s="130"/>
      <c r="S64" s="215"/>
      <c r="T64" s="245"/>
    </row>
    <row r="65" spans="1:26" x14ac:dyDescent="0.25">
      <c r="A65" s="60"/>
      <c r="B65" s="219"/>
      <c r="C65" s="111"/>
      <c r="D65" s="60"/>
      <c r="E65" s="111"/>
      <c r="F65" s="225"/>
      <c r="G65" s="60"/>
      <c r="R65" s="60"/>
      <c r="S65" s="219"/>
      <c r="T65" s="76"/>
      <c r="U65" s="60"/>
      <c r="V65" s="64"/>
      <c r="W65" s="64"/>
      <c r="X65" s="102"/>
      <c r="Y65" s="60"/>
      <c r="Z65" s="60"/>
    </row>
    <row r="66" spans="1:26" ht="15.75" x14ac:dyDescent="0.25">
      <c r="A66" s="221" t="s">
        <v>310</v>
      </c>
      <c r="B66" s="214"/>
      <c r="C66" s="60"/>
      <c r="D66" s="253" t="s">
        <v>320</v>
      </c>
      <c r="E66" s="254">
        <v>12</v>
      </c>
      <c r="Q66" s="107"/>
      <c r="R66" s="240"/>
      <c r="S66" s="107"/>
      <c r="T66" s="102"/>
      <c r="U66" s="65"/>
      <c r="V66" s="65"/>
      <c r="W66" s="61"/>
      <c r="X66" s="60"/>
      <c r="Y66" s="60"/>
      <c r="Z66" s="60"/>
    </row>
    <row r="67" spans="1:26" s="65" customFormat="1" ht="54" customHeight="1" x14ac:dyDescent="0.25">
      <c r="A67" s="67" t="s">
        <v>324</v>
      </c>
      <c r="B67" s="67" t="s">
        <v>0</v>
      </c>
      <c r="C67" s="67" t="s">
        <v>144</v>
      </c>
      <c r="D67" s="67" t="s">
        <v>136</v>
      </c>
      <c r="E67" s="67" t="s">
        <v>138</v>
      </c>
      <c r="F67" s="67" t="s">
        <v>305</v>
      </c>
      <c r="G67" s="68" t="s">
        <v>133</v>
      </c>
      <c r="H67" s="68" t="s">
        <v>108</v>
      </c>
      <c r="I67" s="68" t="s">
        <v>2</v>
      </c>
      <c r="J67" s="68" t="s">
        <v>146</v>
      </c>
      <c r="K67" s="68" t="s">
        <v>108</v>
      </c>
      <c r="L67" s="68" t="s">
        <v>15</v>
      </c>
      <c r="M67" s="68" t="s">
        <v>197</v>
      </c>
      <c r="N67" s="68" t="s">
        <v>108</v>
      </c>
      <c r="O67" s="68" t="s">
        <v>198</v>
      </c>
      <c r="P67" s="68" t="s">
        <v>191</v>
      </c>
      <c r="Q67" s="67" t="s">
        <v>147</v>
      </c>
      <c r="R67" s="67" t="s">
        <v>137</v>
      </c>
      <c r="S67" s="67"/>
      <c r="T67" s="68" t="s">
        <v>304</v>
      </c>
      <c r="U67" s="68" t="s">
        <v>154</v>
      </c>
      <c r="V67" s="105"/>
    </row>
    <row r="68" spans="1:26" s="65" customFormat="1" x14ac:dyDescent="0.25">
      <c r="A68" s="255" t="s">
        <v>326</v>
      </c>
      <c r="B68" s="220" t="s">
        <v>202</v>
      </c>
      <c r="C68" s="30" t="s">
        <v>229</v>
      </c>
      <c r="D68" s="30" t="s">
        <v>227</v>
      </c>
      <c r="E68" s="30" t="s">
        <v>228</v>
      </c>
      <c r="F68" s="211" t="s">
        <v>306</v>
      </c>
      <c r="G68" s="233">
        <f>+I68/H68</f>
        <v>105.61056105610561</v>
      </c>
      <c r="H68" s="118">
        <f>Perfils!$G$7</f>
        <v>60.6</v>
      </c>
      <c r="I68" s="119">
        <v>6400</v>
      </c>
      <c r="J68" s="233">
        <f t="shared" ref="J68:J77" si="17">+L68/K68</f>
        <v>157.06806282722513</v>
      </c>
      <c r="K68" s="120">
        <f>Perfils!$G$13</f>
        <v>61.12</v>
      </c>
      <c r="L68" s="119">
        <v>9600</v>
      </c>
      <c r="M68" s="233">
        <f t="shared" ref="M68:M77" si="18">+O68/N68</f>
        <v>0</v>
      </c>
      <c r="N68" s="120">
        <f>Perfils!$G$19</f>
        <v>64.3</v>
      </c>
      <c r="O68" s="119">
        <v>0</v>
      </c>
      <c r="P68" s="119">
        <v>0</v>
      </c>
      <c r="Q68" s="242">
        <f>VLOOKUP(S68,$T$2:$U$6,2)</f>
        <v>44652</v>
      </c>
      <c r="R68" s="242">
        <f>+$B$3</f>
        <v>44713</v>
      </c>
      <c r="S68" s="241">
        <v>2</v>
      </c>
      <c r="T68" s="243">
        <f>ROUND((S68*U120*0.3)/12,2)</f>
        <v>0</v>
      </c>
      <c r="U68" s="244">
        <f>+I68+L68+O68+P68</f>
        <v>16000</v>
      </c>
      <c r="V68" s="105"/>
    </row>
    <row r="69" spans="1:26" s="65" customFormat="1" x14ac:dyDescent="0.25">
      <c r="A69" s="255" t="s">
        <v>326</v>
      </c>
      <c r="B69" s="220" t="s">
        <v>203</v>
      </c>
      <c r="C69" s="30" t="s">
        <v>231</v>
      </c>
      <c r="D69" s="30" t="s">
        <v>230</v>
      </c>
      <c r="E69" s="30" t="s">
        <v>323</v>
      </c>
      <c r="F69" s="211" t="s">
        <v>306</v>
      </c>
      <c r="G69" s="233">
        <f t="shared" ref="G69:G77" si="19">+I69/H69</f>
        <v>15.841584158415841</v>
      </c>
      <c r="H69" s="118">
        <f>Perfils!$G$7</f>
        <v>60.6</v>
      </c>
      <c r="I69" s="119">
        <v>960</v>
      </c>
      <c r="J69" s="233">
        <f t="shared" si="17"/>
        <v>23.560209424083769</v>
      </c>
      <c r="K69" s="120">
        <f>Perfils!$G$13</f>
        <v>61.12</v>
      </c>
      <c r="L69" s="119">
        <v>1440</v>
      </c>
      <c r="M69" s="233">
        <f t="shared" si="18"/>
        <v>0</v>
      </c>
      <c r="N69" s="120">
        <f>Perfils!$G$19</f>
        <v>64.3</v>
      </c>
      <c r="O69" s="119">
        <v>0</v>
      </c>
      <c r="P69" s="119">
        <v>0</v>
      </c>
      <c r="Q69" s="242">
        <f t="shared" ref="Q69:Q77" si="20">VLOOKUP(S69,$T$2:$U$6,2)</f>
        <v>44652</v>
      </c>
      <c r="R69" s="242">
        <f>+$B$3</f>
        <v>44713</v>
      </c>
      <c r="S69" s="241">
        <v>2</v>
      </c>
      <c r="T69" s="243">
        <f>ROUND((S69*U121*0.25)/12,2)</f>
        <v>0</v>
      </c>
      <c r="U69" s="244">
        <f t="shared" ref="U69:U77" si="21">+I69+L69+O69+P69</f>
        <v>2400</v>
      </c>
    </row>
    <row r="70" spans="1:26" s="65" customFormat="1" x14ac:dyDescent="0.25">
      <c r="A70" s="255" t="s">
        <v>326</v>
      </c>
      <c r="B70" s="220" t="s">
        <v>203</v>
      </c>
      <c r="C70" s="30" t="s">
        <v>231</v>
      </c>
      <c r="D70" s="188" t="s">
        <v>233</v>
      </c>
      <c r="E70" s="188" t="s">
        <v>232</v>
      </c>
      <c r="F70" s="230" t="s">
        <v>307</v>
      </c>
      <c r="G70" s="233">
        <f t="shared" si="19"/>
        <v>330.31584158415842</v>
      </c>
      <c r="H70" s="118">
        <f>Perfils!$G$7</f>
        <v>60.6</v>
      </c>
      <c r="I70" s="119">
        <v>20017.14</v>
      </c>
      <c r="J70" s="233">
        <f t="shared" si="17"/>
        <v>491.25834424083769</v>
      </c>
      <c r="K70" s="120">
        <f>Perfils!$G$13</f>
        <v>61.12</v>
      </c>
      <c r="L70" s="119">
        <v>30025.71</v>
      </c>
      <c r="M70" s="233">
        <f t="shared" si="18"/>
        <v>0</v>
      </c>
      <c r="N70" s="120">
        <f>Perfils!$G$19</f>
        <v>64.3</v>
      </c>
      <c r="O70" s="119">
        <v>0</v>
      </c>
      <c r="P70" s="119">
        <v>0</v>
      </c>
      <c r="Q70" s="242">
        <f t="shared" si="20"/>
        <v>44652</v>
      </c>
      <c r="R70" s="242">
        <f t="shared" ref="R70:R114" si="22">+$B$3</f>
        <v>44713</v>
      </c>
      <c r="S70" s="241">
        <v>2</v>
      </c>
      <c r="T70" s="243">
        <f>ROUND((S70*U122*0.25)/12,2)</f>
        <v>0</v>
      </c>
      <c r="U70" s="244">
        <f t="shared" si="21"/>
        <v>50042.85</v>
      </c>
    </row>
    <row r="71" spans="1:26" s="65" customFormat="1" x14ac:dyDescent="0.25">
      <c r="A71" s="255" t="s">
        <v>326</v>
      </c>
      <c r="B71" s="220" t="s">
        <v>204</v>
      </c>
      <c r="C71" s="30" t="s">
        <v>236</v>
      </c>
      <c r="D71" s="30" t="s">
        <v>230</v>
      </c>
      <c r="E71" s="30" t="s">
        <v>323</v>
      </c>
      <c r="F71" s="211" t="s">
        <v>306</v>
      </c>
      <c r="G71" s="233">
        <f t="shared" si="19"/>
        <v>15.841584158415841</v>
      </c>
      <c r="H71" s="118">
        <f>Perfils!$G$7</f>
        <v>60.6</v>
      </c>
      <c r="I71" s="119">
        <v>960</v>
      </c>
      <c r="J71" s="233">
        <f t="shared" si="17"/>
        <v>23.560209424083769</v>
      </c>
      <c r="K71" s="120">
        <f>Perfils!$G$13</f>
        <v>61.12</v>
      </c>
      <c r="L71" s="119">
        <v>1440</v>
      </c>
      <c r="M71" s="233">
        <f t="shared" si="18"/>
        <v>0</v>
      </c>
      <c r="N71" s="120">
        <f>Perfils!$G$19</f>
        <v>64.3</v>
      </c>
      <c r="O71" s="119">
        <v>0</v>
      </c>
      <c r="P71" s="119">
        <v>0</v>
      </c>
      <c r="Q71" s="242">
        <f t="shared" si="20"/>
        <v>44652</v>
      </c>
      <c r="R71" s="242">
        <f t="shared" si="22"/>
        <v>44713</v>
      </c>
      <c r="S71" s="241">
        <v>2</v>
      </c>
      <c r="T71" s="243">
        <f>ROUND((S71*U124*0.25)/12,2)</f>
        <v>0</v>
      </c>
      <c r="U71" s="244">
        <f t="shared" si="21"/>
        <v>2400</v>
      </c>
    </row>
    <row r="72" spans="1:26" s="65" customFormat="1" x14ac:dyDescent="0.25">
      <c r="A72" s="255" t="s">
        <v>326</v>
      </c>
      <c r="B72" s="220" t="s">
        <v>204</v>
      </c>
      <c r="C72" s="30" t="s">
        <v>236</v>
      </c>
      <c r="D72" s="30" t="s">
        <v>238</v>
      </c>
      <c r="E72" s="188" t="s">
        <v>237</v>
      </c>
      <c r="F72" s="230" t="s">
        <v>307</v>
      </c>
      <c r="G72" s="233">
        <f t="shared" si="19"/>
        <v>1188.1188118811881</v>
      </c>
      <c r="H72" s="118">
        <f>Perfils!$G$7</f>
        <v>60.6</v>
      </c>
      <c r="I72" s="119">
        <v>72000</v>
      </c>
      <c r="J72" s="233">
        <f t="shared" si="17"/>
        <v>1767.0157068062829</v>
      </c>
      <c r="K72" s="120">
        <f>Perfils!$G$13</f>
        <v>61.12</v>
      </c>
      <c r="L72" s="119">
        <v>108000</v>
      </c>
      <c r="M72" s="233">
        <f t="shared" si="18"/>
        <v>0</v>
      </c>
      <c r="N72" s="120">
        <f>Perfils!$G$19</f>
        <v>64.3</v>
      </c>
      <c r="O72" s="119">
        <v>0</v>
      </c>
      <c r="P72" s="119">
        <v>0</v>
      </c>
      <c r="Q72" s="242">
        <f t="shared" si="20"/>
        <v>44652</v>
      </c>
      <c r="R72" s="242">
        <f t="shared" si="22"/>
        <v>44713</v>
      </c>
      <c r="S72" s="241">
        <v>2</v>
      </c>
      <c r="T72" s="243">
        <f>ROUND((S72*U125*0.25)/12,2)</f>
        <v>0</v>
      </c>
      <c r="U72" s="244">
        <f t="shared" si="21"/>
        <v>180000</v>
      </c>
    </row>
    <row r="73" spans="1:26" s="65" customFormat="1" x14ac:dyDescent="0.25">
      <c r="A73" s="255" t="s">
        <v>326</v>
      </c>
      <c r="B73" s="220" t="s">
        <v>205</v>
      </c>
      <c r="C73" s="30" t="s">
        <v>242</v>
      </c>
      <c r="D73" s="188" t="s">
        <v>241</v>
      </c>
      <c r="E73" s="188" t="s">
        <v>322</v>
      </c>
      <c r="F73" s="230" t="s">
        <v>307</v>
      </c>
      <c r="G73" s="233">
        <f t="shared" si="19"/>
        <v>369.10712871287126</v>
      </c>
      <c r="H73" s="118">
        <f>Perfils!$G$7</f>
        <v>60.6</v>
      </c>
      <c r="I73" s="119">
        <v>22367.892</v>
      </c>
      <c r="J73" s="233">
        <f t="shared" si="17"/>
        <v>548.95022905759163</v>
      </c>
      <c r="K73" s="120">
        <f>Perfils!$G$13</f>
        <v>61.12</v>
      </c>
      <c r="L73" s="119">
        <v>33551.837999999996</v>
      </c>
      <c r="M73" s="233">
        <f t="shared" si="18"/>
        <v>0</v>
      </c>
      <c r="N73" s="120">
        <f>Perfils!$G$19</f>
        <v>64.3</v>
      </c>
      <c r="O73" s="119">
        <v>0</v>
      </c>
      <c r="P73" s="119">
        <v>0</v>
      </c>
      <c r="Q73" s="242">
        <f t="shared" si="20"/>
        <v>44652</v>
      </c>
      <c r="R73" s="242">
        <f t="shared" si="22"/>
        <v>44713</v>
      </c>
      <c r="S73" s="241">
        <v>2</v>
      </c>
      <c r="T73" s="243">
        <f>ROUND((S73*U127*0.25)/12,2)</f>
        <v>0</v>
      </c>
      <c r="U73" s="244">
        <f t="shared" si="21"/>
        <v>55919.729999999996</v>
      </c>
    </row>
    <row r="74" spans="1:26" s="65" customFormat="1" x14ac:dyDescent="0.25">
      <c r="A74" s="255" t="s">
        <v>326</v>
      </c>
      <c r="B74" s="220" t="s">
        <v>206</v>
      </c>
      <c r="C74" s="30" t="s">
        <v>243</v>
      </c>
      <c r="D74" s="30" t="s">
        <v>230</v>
      </c>
      <c r="E74" s="30" t="s">
        <v>323</v>
      </c>
      <c r="F74" s="211" t="s">
        <v>306</v>
      </c>
      <c r="G74" s="233">
        <f t="shared" si="19"/>
        <v>15.841584158415841</v>
      </c>
      <c r="H74" s="118">
        <f>Perfils!$G$7</f>
        <v>60.6</v>
      </c>
      <c r="I74" s="119">
        <v>960</v>
      </c>
      <c r="J74" s="233">
        <f t="shared" si="17"/>
        <v>23.560209424083769</v>
      </c>
      <c r="K74" s="120">
        <f>Perfils!$G$13</f>
        <v>61.12</v>
      </c>
      <c r="L74" s="119">
        <v>1440</v>
      </c>
      <c r="M74" s="233">
        <f t="shared" si="18"/>
        <v>0</v>
      </c>
      <c r="N74" s="120">
        <f>Perfils!$G$19</f>
        <v>64.3</v>
      </c>
      <c r="O74" s="119">
        <v>0</v>
      </c>
      <c r="P74" s="119">
        <v>0</v>
      </c>
      <c r="Q74" s="242">
        <f t="shared" si="20"/>
        <v>44652</v>
      </c>
      <c r="R74" s="242">
        <f t="shared" si="22"/>
        <v>44713</v>
      </c>
      <c r="S74" s="241">
        <v>2</v>
      </c>
      <c r="T74" s="243">
        <f>ROUND((S74*U128*0.25)/12,2)</f>
        <v>0</v>
      </c>
      <c r="U74" s="244">
        <f t="shared" si="21"/>
        <v>2400</v>
      </c>
    </row>
    <row r="75" spans="1:26" s="65" customFormat="1" x14ac:dyDescent="0.25">
      <c r="A75" s="255" t="s">
        <v>326</v>
      </c>
      <c r="B75" s="220" t="s">
        <v>206</v>
      </c>
      <c r="C75" s="30" t="s">
        <v>243</v>
      </c>
      <c r="D75" s="188" t="s">
        <v>247</v>
      </c>
      <c r="E75" s="188" t="s">
        <v>246</v>
      </c>
      <c r="F75" s="230" t="s">
        <v>307</v>
      </c>
      <c r="G75" s="233">
        <f t="shared" si="19"/>
        <v>647.45333333333326</v>
      </c>
      <c r="H75" s="118">
        <f>Perfils!$G$7</f>
        <v>60.6</v>
      </c>
      <c r="I75" s="119">
        <v>39235.671999999999</v>
      </c>
      <c r="J75" s="233">
        <f t="shared" si="17"/>
        <v>962.91734293193713</v>
      </c>
      <c r="K75" s="120">
        <f>Perfils!$G$13</f>
        <v>61.12</v>
      </c>
      <c r="L75" s="119">
        <v>58853.507999999994</v>
      </c>
      <c r="M75" s="233">
        <f t="shared" si="18"/>
        <v>0</v>
      </c>
      <c r="N75" s="120">
        <f>Perfils!$G$19</f>
        <v>64.3</v>
      </c>
      <c r="O75" s="119">
        <v>0</v>
      </c>
      <c r="P75" s="119">
        <v>0</v>
      </c>
      <c r="Q75" s="242">
        <f t="shared" si="20"/>
        <v>44652</v>
      </c>
      <c r="R75" s="242">
        <f t="shared" si="22"/>
        <v>44713</v>
      </c>
      <c r="S75" s="241">
        <v>2</v>
      </c>
      <c r="T75" s="243">
        <f>ROUND((S75*U130*0.25)/12,2)</f>
        <v>0</v>
      </c>
      <c r="U75" s="244">
        <f t="shared" si="21"/>
        <v>98089.18</v>
      </c>
    </row>
    <row r="76" spans="1:26" s="65" customFormat="1" x14ac:dyDescent="0.25">
      <c r="A76" s="255" t="s">
        <v>326</v>
      </c>
      <c r="B76" s="220" t="s">
        <v>207</v>
      </c>
      <c r="C76" s="30" t="s">
        <v>248</v>
      </c>
      <c r="D76" s="30" t="s">
        <v>230</v>
      </c>
      <c r="E76" s="30" t="s">
        <v>323</v>
      </c>
      <c r="F76" s="211" t="s">
        <v>306</v>
      </c>
      <c r="G76" s="233">
        <f t="shared" si="19"/>
        <v>15.841584158415841</v>
      </c>
      <c r="H76" s="118">
        <f>Perfils!$G$7</f>
        <v>60.6</v>
      </c>
      <c r="I76" s="119">
        <v>960</v>
      </c>
      <c r="J76" s="233">
        <f t="shared" si="17"/>
        <v>23.560209424083769</v>
      </c>
      <c r="K76" s="120">
        <f>Perfils!$G$13</f>
        <v>61.12</v>
      </c>
      <c r="L76" s="119">
        <v>1440</v>
      </c>
      <c r="M76" s="233">
        <f t="shared" si="18"/>
        <v>0</v>
      </c>
      <c r="N76" s="120">
        <f>Perfils!$G$19</f>
        <v>64.3</v>
      </c>
      <c r="O76" s="119">
        <v>0</v>
      </c>
      <c r="P76" s="119">
        <v>0</v>
      </c>
      <c r="Q76" s="242">
        <f t="shared" si="20"/>
        <v>44652</v>
      </c>
      <c r="R76" s="242">
        <f t="shared" si="22"/>
        <v>44713</v>
      </c>
      <c r="S76" s="241">
        <v>2</v>
      </c>
      <c r="T76" s="243">
        <f>ROUND((S76*U131*0.25)/12,2)</f>
        <v>0</v>
      </c>
      <c r="U76" s="244">
        <f t="shared" si="21"/>
        <v>2400</v>
      </c>
    </row>
    <row r="77" spans="1:26" s="65" customFormat="1" x14ac:dyDescent="0.25">
      <c r="A77" s="255" t="s">
        <v>326</v>
      </c>
      <c r="B77" s="220" t="s">
        <v>207</v>
      </c>
      <c r="C77" s="30" t="s">
        <v>248</v>
      </c>
      <c r="D77" s="188" t="s">
        <v>252</v>
      </c>
      <c r="E77" s="188" t="s">
        <v>251</v>
      </c>
      <c r="F77" s="230" t="s">
        <v>307</v>
      </c>
      <c r="G77" s="233">
        <f t="shared" si="19"/>
        <v>606.8920132013202</v>
      </c>
      <c r="H77" s="118">
        <f>Perfils!$G$7</f>
        <v>60.6</v>
      </c>
      <c r="I77" s="119">
        <v>36777.656000000003</v>
      </c>
      <c r="J77" s="233">
        <f t="shared" si="17"/>
        <v>902.59299738219897</v>
      </c>
      <c r="K77" s="120">
        <f>Perfils!$G$13</f>
        <v>61.12</v>
      </c>
      <c r="L77" s="119">
        <v>55166.483999999997</v>
      </c>
      <c r="M77" s="233">
        <f t="shared" si="18"/>
        <v>0</v>
      </c>
      <c r="N77" s="120">
        <f>Perfils!$G$19</f>
        <v>64.3</v>
      </c>
      <c r="O77" s="119">
        <v>0</v>
      </c>
      <c r="P77" s="119">
        <v>0</v>
      </c>
      <c r="Q77" s="242">
        <f t="shared" si="20"/>
        <v>44652</v>
      </c>
      <c r="R77" s="242">
        <f t="shared" si="22"/>
        <v>44713</v>
      </c>
      <c r="S77" s="241">
        <v>2</v>
      </c>
      <c r="T77" s="243">
        <f>ROUND((S77*U133*0.25)/12,2)</f>
        <v>0</v>
      </c>
      <c r="U77" s="244">
        <f t="shared" si="21"/>
        <v>91944.14</v>
      </c>
    </row>
    <row r="78" spans="1:26" s="65" customFormat="1" ht="30" x14ac:dyDescent="0.25">
      <c r="A78" s="255" t="s">
        <v>326</v>
      </c>
      <c r="B78" s="220" t="s">
        <v>211</v>
      </c>
      <c r="C78" s="30" t="s">
        <v>265</v>
      </c>
      <c r="D78" s="188" t="s">
        <v>264</v>
      </c>
      <c r="E78" s="188" t="s">
        <v>263</v>
      </c>
      <c r="F78" s="230" t="s">
        <v>307</v>
      </c>
      <c r="G78" s="233">
        <f t="shared" ref="G78:G104" si="23">+I78/H78</f>
        <v>1214.9824422442243</v>
      </c>
      <c r="H78" s="118">
        <f>Perfils!$G$7</f>
        <v>60.6</v>
      </c>
      <c r="I78" s="119">
        <v>73627.936000000002</v>
      </c>
      <c r="J78" s="233">
        <f t="shared" ref="J78:J104" si="24">+L78/K78</f>
        <v>1806.9683246073298</v>
      </c>
      <c r="K78" s="120">
        <f>Perfils!$G$13</f>
        <v>61.12</v>
      </c>
      <c r="L78" s="119">
        <v>110441.90399999999</v>
      </c>
      <c r="M78" s="233">
        <f t="shared" ref="M78:M102" si="25">+O78/N78</f>
        <v>0</v>
      </c>
      <c r="N78" s="120">
        <f>Perfils!$G$19</f>
        <v>64.3</v>
      </c>
      <c r="O78" s="119">
        <v>0</v>
      </c>
      <c r="P78" s="119">
        <v>0</v>
      </c>
      <c r="Q78" s="242">
        <f t="shared" ref="Q78:Q104" si="26">VLOOKUP(S78,$T$2:$U$6,2)</f>
        <v>44621</v>
      </c>
      <c r="R78" s="242">
        <f t="shared" si="22"/>
        <v>44713</v>
      </c>
      <c r="S78" s="241">
        <v>3</v>
      </c>
      <c r="T78" s="243">
        <f>ROUND((S78*U141*0.25)/12,2)</f>
        <v>0</v>
      </c>
      <c r="U78" s="244">
        <f t="shared" ref="U78:U104" si="27">+I78+L78+O78+P78</f>
        <v>184069.84</v>
      </c>
    </row>
    <row r="79" spans="1:26" s="65" customFormat="1" x14ac:dyDescent="0.25">
      <c r="A79" s="255" t="s">
        <v>326</v>
      </c>
      <c r="B79" s="220" t="s">
        <v>223</v>
      </c>
      <c r="C79" s="30" t="s">
        <v>300</v>
      </c>
      <c r="D79" s="188" t="s">
        <v>299</v>
      </c>
      <c r="E79" s="188" t="s">
        <v>298</v>
      </c>
      <c r="F79" s="230" t="s">
        <v>307</v>
      </c>
      <c r="G79" s="233">
        <f t="shared" si="23"/>
        <v>990.09900990099004</v>
      </c>
      <c r="H79" s="118">
        <f>Perfils!$G$7</f>
        <v>60.6</v>
      </c>
      <c r="I79" s="119">
        <v>60000</v>
      </c>
      <c r="J79" s="233">
        <f t="shared" si="24"/>
        <v>1472.5130890052358</v>
      </c>
      <c r="K79" s="120">
        <f>Perfils!$G$13</f>
        <v>61.12</v>
      </c>
      <c r="L79" s="119">
        <v>90000</v>
      </c>
      <c r="M79" s="233">
        <f t="shared" si="25"/>
        <v>0</v>
      </c>
      <c r="N79" s="120">
        <f>Perfils!$G$19</f>
        <v>64.3</v>
      </c>
      <c r="O79" s="119">
        <v>0</v>
      </c>
      <c r="P79" s="119">
        <v>0</v>
      </c>
      <c r="Q79" s="242">
        <f t="shared" si="26"/>
        <v>44621</v>
      </c>
      <c r="R79" s="242">
        <f t="shared" si="22"/>
        <v>44713</v>
      </c>
      <c r="S79" s="241">
        <v>3</v>
      </c>
      <c r="T79" s="243">
        <f>ROUND((S79*U163*0.25)/12,2)</f>
        <v>0</v>
      </c>
      <c r="U79" s="244">
        <f t="shared" si="27"/>
        <v>150000</v>
      </c>
    </row>
    <row r="80" spans="1:26" s="65" customFormat="1" x14ac:dyDescent="0.25">
      <c r="A80" s="255" t="s">
        <v>327</v>
      </c>
      <c r="B80" s="220" t="s">
        <v>209</v>
      </c>
      <c r="C80" s="30" t="s">
        <v>336</v>
      </c>
      <c r="D80" s="188" t="s">
        <v>254</v>
      </c>
      <c r="E80" s="188" t="s">
        <v>253</v>
      </c>
      <c r="F80" s="230" t="s">
        <v>308</v>
      </c>
      <c r="G80" s="233">
        <f t="shared" si="23"/>
        <v>0</v>
      </c>
      <c r="H80" s="118">
        <f>Perfils!$G$7</f>
        <v>60.6</v>
      </c>
      <c r="I80" s="119">
        <v>0</v>
      </c>
      <c r="J80" s="233">
        <f t="shared" si="24"/>
        <v>0</v>
      </c>
      <c r="K80" s="120">
        <f>Perfils!$G$13</f>
        <v>61.12</v>
      </c>
      <c r="L80" s="119">
        <v>0</v>
      </c>
      <c r="M80" s="233">
        <f t="shared" si="25"/>
        <v>0</v>
      </c>
      <c r="N80" s="120">
        <f>Perfils!$G$19</f>
        <v>64.3</v>
      </c>
      <c r="O80" s="119">
        <v>0</v>
      </c>
      <c r="P80" s="119">
        <v>3229</v>
      </c>
      <c r="Q80" s="242">
        <f t="shared" si="26"/>
        <v>44652</v>
      </c>
      <c r="R80" s="242">
        <f t="shared" si="22"/>
        <v>44713</v>
      </c>
      <c r="S80" s="241">
        <v>2</v>
      </c>
      <c r="T80" s="243">
        <f>ROUND((S80*U137*0.3)/12,2)</f>
        <v>0</v>
      </c>
      <c r="U80" s="244">
        <f t="shared" si="27"/>
        <v>3229</v>
      </c>
    </row>
    <row r="81" spans="1:21" s="65" customFormat="1" x14ac:dyDescent="0.25">
      <c r="A81" s="255" t="s">
        <v>327</v>
      </c>
      <c r="B81" s="220" t="s">
        <v>209</v>
      </c>
      <c r="C81" s="30" t="s">
        <v>259</v>
      </c>
      <c r="D81" s="188" t="s">
        <v>254</v>
      </c>
      <c r="E81" s="188" t="s">
        <v>253</v>
      </c>
      <c r="F81" s="230" t="s">
        <v>307</v>
      </c>
      <c r="G81" s="233">
        <f t="shared" si="23"/>
        <v>795.43953795379537</v>
      </c>
      <c r="H81" s="118">
        <f>Perfils!$G$7</f>
        <v>60.6</v>
      </c>
      <c r="I81" s="119">
        <v>48203.635999999999</v>
      </c>
      <c r="J81" s="233">
        <f t="shared" si="24"/>
        <v>1183.008082460733</v>
      </c>
      <c r="K81" s="120">
        <f>Perfils!$G$13</f>
        <v>61.12</v>
      </c>
      <c r="L81" s="119">
        <v>72305.453999999998</v>
      </c>
      <c r="M81" s="233">
        <f t="shared" si="25"/>
        <v>0</v>
      </c>
      <c r="N81" s="120">
        <f>Perfils!$G$19</f>
        <v>64.3</v>
      </c>
      <c r="O81" s="119">
        <v>0</v>
      </c>
      <c r="P81" s="119">
        <v>0</v>
      </c>
      <c r="Q81" s="242">
        <f t="shared" si="26"/>
        <v>44593</v>
      </c>
      <c r="R81" s="242">
        <f t="shared" si="22"/>
        <v>44713</v>
      </c>
      <c r="S81" s="241">
        <v>5</v>
      </c>
      <c r="T81" s="243">
        <f>ROUND((S81*U138*0.3)/12,2)</f>
        <v>0</v>
      </c>
      <c r="U81" s="244">
        <f t="shared" si="27"/>
        <v>120509.09</v>
      </c>
    </row>
    <row r="82" spans="1:21" s="65" customFormat="1" x14ac:dyDescent="0.25">
      <c r="A82" s="255" t="s">
        <v>327</v>
      </c>
      <c r="B82" s="220" t="s">
        <v>210</v>
      </c>
      <c r="C82" s="30" t="s">
        <v>262</v>
      </c>
      <c r="D82" s="188" t="s">
        <v>261</v>
      </c>
      <c r="E82" s="188" t="s">
        <v>260</v>
      </c>
      <c r="F82" s="211" t="s">
        <v>306</v>
      </c>
      <c r="G82" s="233">
        <f t="shared" si="23"/>
        <v>118.8118811881188</v>
      </c>
      <c r="H82" s="118">
        <f>Perfils!$G$7</f>
        <v>60.6</v>
      </c>
      <c r="I82" s="119">
        <v>7200</v>
      </c>
      <c r="J82" s="233">
        <f t="shared" si="24"/>
        <v>176.70157068062829</v>
      </c>
      <c r="K82" s="120">
        <f>Perfils!$G$13</f>
        <v>61.12</v>
      </c>
      <c r="L82" s="119">
        <v>10800</v>
      </c>
      <c r="M82" s="233">
        <f t="shared" si="25"/>
        <v>0</v>
      </c>
      <c r="N82" s="120">
        <f>Perfils!$G$19</f>
        <v>64.3</v>
      </c>
      <c r="O82" s="119">
        <v>0</v>
      </c>
      <c r="P82" s="119">
        <v>0</v>
      </c>
      <c r="Q82" s="242">
        <f t="shared" si="26"/>
        <v>44652</v>
      </c>
      <c r="R82" s="242">
        <f t="shared" si="22"/>
        <v>44713</v>
      </c>
      <c r="S82" s="241">
        <v>2</v>
      </c>
      <c r="T82" s="243">
        <f>ROUND((S82*U139*0.25)/12,2)</f>
        <v>0</v>
      </c>
      <c r="U82" s="244">
        <f t="shared" si="27"/>
        <v>18000</v>
      </c>
    </row>
    <row r="83" spans="1:21" s="65" customFormat="1" x14ac:dyDescent="0.25">
      <c r="A83" s="255" t="s">
        <v>327</v>
      </c>
      <c r="B83" s="220" t="s">
        <v>210</v>
      </c>
      <c r="C83" s="30" t="s">
        <v>262</v>
      </c>
      <c r="D83" s="188" t="s">
        <v>254</v>
      </c>
      <c r="E83" s="188" t="s">
        <v>253</v>
      </c>
      <c r="F83" s="230" t="s">
        <v>307</v>
      </c>
      <c r="G83" s="233">
        <f t="shared" si="23"/>
        <v>355.69630363036305</v>
      </c>
      <c r="H83" s="118">
        <f>Perfils!$G$7</f>
        <v>60.6</v>
      </c>
      <c r="I83" s="119">
        <v>21555.196</v>
      </c>
      <c r="J83" s="233">
        <f t="shared" si="24"/>
        <v>529.00513743455497</v>
      </c>
      <c r="K83" s="120">
        <f>Perfils!$G$13</f>
        <v>61.12</v>
      </c>
      <c r="L83" s="119">
        <v>32332.793999999998</v>
      </c>
      <c r="M83" s="233">
        <f t="shared" si="25"/>
        <v>0</v>
      </c>
      <c r="N83" s="120">
        <f>Perfils!$G$19</f>
        <v>64.3</v>
      </c>
      <c r="O83" s="119">
        <v>0</v>
      </c>
      <c r="P83" s="119">
        <v>0</v>
      </c>
      <c r="Q83" s="242">
        <f t="shared" si="26"/>
        <v>44593</v>
      </c>
      <c r="R83" s="242">
        <f t="shared" si="22"/>
        <v>44713</v>
      </c>
      <c r="S83" s="241">
        <v>5</v>
      </c>
      <c r="T83" s="243">
        <f>ROUND((S83*U140*0.3)/12,2)</f>
        <v>0</v>
      </c>
      <c r="U83" s="244">
        <f t="shared" si="27"/>
        <v>53887.99</v>
      </c>
    </row>
    <row r="84" spans="1:21" s="65" customFormat="1" x14ac:dyDescent="0.25">
      <c r="A84" s="255" t="s">
        <v>327</v>
      </c>
      <c r="B84" s="220" t="s">
        <v>215</v>
      </c>
      <c r="C84" s="30" t="s">
        <v>283</v>
      </c>
      <c r="D84" s="188" t="s">
        <v>254</v>
      </c>
      <c r="E84" s="188" t="s">
        <v>253</v>
      </c>
      <c r="F84" s="230" t="s">
        <v>307</v>
      </c>
      <c r="G84" s="233">
        <f t="shared" si="23"/>
        <v>99.744686468646861</v>
      </c>
      <c r="H84" s="118">
        <f>Perfils!$G$7</f>
        <v>60.6</v>
      </c>
      <c r="I84" s="119">
        <v>6044.5280000000002</v>
      </c>
      <c r="J84" s="233">
        <f t="shared" si="24"/>
        <v>148.34410994764397</v>
      </c>
      <c r="K84" s="120">
        <f>Perfils!$G$13</f>
        <v>61.12</v>
      </c>
      <c r="L84" s="119">
        <v>9066.7919999999995</v>
      </c>
      <c r="M84" s="233">
        <f t="shared" si="25"/>
        <v>0</v>
      </c>
      <c r="N84" s="120">
        <f>Perfils!$G$19</f>
        <v>64.3</v>
      </c>
      <c r="O84" s="119">
        <v>0</v>
      </c>
      <c r="P84" s="119">
        <v>0</v>
      </c>
      <c r="Q84" s="242">
        <f t="shared" si="26"/>
        <v>44593</v>
      </c>
      <c r="R84" s="242">
        <f t="shared" si="22"/>
        <v>44713</v>
      </c>
      <c r="S84" s="241">
        <v>5</v>
      </c>
      <c r="T84" s="243">
        <f>ROUND((S84*U149*0.3)/12,2)</f>
        <v>0</v>
      </c>
      <c r="U84" s="244">
        <f t="shared" si="27"/>
        <v>15111.32</v>
      </c>
    </row>
    <row r="85" spans="1:21" s="65" customFormat="1" x14ac:dyDescent="0.25">
      <c r="A85" s="255" t="s">
        <v>327</v>
      </c>
      <c r="B85" s="220" t="s">
        <v>215</v>
      </c>
      <c r="C85" s="30" t="s">
        <v>283</v>
      </c>
      <c r="D85" s="30" t="s">
        <v>258</v>
      </c>
      <c r="E85" s="30" t="s">
        <v>257</v>
      </c>
      <c r="F85" s="230" t="s">
        <v>307</v>
      </c>
      <c r="G85" s="233">
        <f t="shared" si="23"/>
        <v>79.207920792079207</v>
      </c>
      <c r="H85" s="118">
        <f>Perfils!$G$7</f>
        <v>60.6</v>
      </c>
      <c r="I85" s="119">
        <v>4800</v>
      </c>
      <c r="J85" s="233">
        <f t="shared" si="24"/>
        <v>117.80104712041886</v>
      </c>
      <c r="K85" s="120">
        <f>Perfils!$G$13</f>
        <v>61.12</v>
      </c>
      <c r="L85" s="119">
        <v>7200</v>
      </c>
      <c r="M85" s="233">
        <f t="shared" si="25"/>
        <v>0</v>
      </c>
      <c r="N85" s="120">
        <f>Perfils!$G$19</f>
        <v>64.3</v>
      </c>
      <c r="O85" s="119">
        <v>0</v>
      </c>
      <c r="P85" s="119">
        <v>0</v>
      </c>
      <c r="Q85" s="242">
        <f t="shared" si="26"/>
        <v>44593</v>
      </c>
      <c r="R85" s="242">
        <f t="shared" si="22"/>
        <v>44713</v>
      </c>
      <c r="S85" s="241">
        <v>5</v>
      </c>
      <c r="T85" s="243">
        <f>ROUND((S85*U150*0.3)/12,2)</f>
        <v>0</v>
      </c>
      <c r="U85" s="244">
        <f t="shared" si="27"/>
        <v>12000</v>
      </c>
    </row>
    <row r="86" spans="1:21" s="65" customFormat="1" x14ac:dyDescent="0.25">
      <c r="A86" s="255" t="s">
        <v>327</v>
      </c>
      <c r="B86" s="220" t="s">
        <v>216</v>
      </c>
      <c r="C86" s="30" t="s">
        <v>284</v>
      </c>
      <c r="D86" s="188" t="s">
        <v>254</v>
      </c>
      <c r="E86" s="188" t="s">
        <v>253</v>
      </c>
      <c r="F86" s="230" t="s">
        <v>307</v>
      </c>
      <c r="G86" s="233">
        <f t="shared" si="23"/>
        <v>282.90620462046206</v>
      </c>
      <c r="H86" s="118">
        <f>Perfils!$G$7</f>
        <v>60.6</v>
      </c>
      <c r="I86" s="119">
        <v>17144.116000000002</v>
      </c>
      <c r="J86" s="233">
        <f t="shared" si="24"/>
        <v>420.74892015706808</v>
      </c>
      <c r="K86" s="120">
        <f>Perfils!$G$13</f>
        <v>61.12</v>
      </c>
      <c r="L86" s="119">
        <v>25716.173999999999</v>
      </c>
      <c r="M86" s="233">
        <f t="shared" si="25"/>
        <v>0</v>
      </c>
      <c r="N86" s="120">
        <f>Perfils!$G$19</f>
        <v>64.3</v>
      </c>
      <c r="O86" s="119">
        <v>0</v>
      </c>
      <c r="P86" s="119">
        <v>0</v>
      </c>
      <c r="Q86" s="242">
        <f t="shared" si="26"/>
        <v>44593</v>
      </c>
      <c r="R86" s="242">
        <f t="shared" si="22"/>
        <v>44713</v>
      </c>
      <c r="S86" s="241">
        <v>5</v>
      </c>
      <c r="T86" s="243">
        <f>ROUND((S86*U150*0.3)/12,2)</f>
        <v>0</v>
      </c>
      <c r="U86" s="244">
        <f t="shared" si="27"/>
        <v>42860.29</v>
      </c>
    </row>
    <row r="87" spans="1:21" s="65" customFormat="1" x14ac:dyDescent="0.25">
      <c r="A87" s="255" t="s">
        <v>327</v>
      </c>
      <c r="B87" s="220" t="s">
        <v>216</v>
      </c>
      <c r="C87" s="30" t="s">
        <v>284</v>
      </c>
      <c r="D87" s="188" t="s">
        <v>258</v>
      </c>
      <c r="E87" s="188" t="s">
        <v>257</v>
      </c>
      <c r="F87" s="230" t="s">
        <v>307</v>
      </c>
      <c r="G87" s="233">
        <f t="shared" si="23"/>
        <v>33.003300330032999</v>
      </c>
      <c r="H87" s="118">
        <f>Perfils!$G$7</f>
        <v>60.6</v>
      </c>
      <c r="I87" s="119">
        <v>2000</v>
      </c>
      <c r="J87" s="233">
        <f t="shared" si="24"/>
        <v>49.083769633507856</v>
      </c>
      <c r="K87" s="120">
        <f>Perfils!$G$13</f>
        <v>61.12</v>
      </c>
      <c r="L87" s="119">
        <v>3000</v>
      </c>
      <c r="M87" s="233">
        <f t="shared" si="25"/>
        <v>0</v>
      </c>
      <c r="N87" s="120">
        <f>Perfils!$G$19</f>
        <v>64.3</v>
      </c>
      <c r="O87" s="119">
        <v>0</v>
      </c>
      <c r="P87" s="119">
        <v>0</v>
      </c>
      <c r="Q87" s="242">
        <f t="shared" si="26"/>
        <v>44621</v>
      </c>
      <c r="R87" s="242">
        <f t="shared" si="22"/>
        <v>44713</v>
      </c>
      <c r="S87" s="241">
        <v>3</v>
      </c>
      <c r="T87" s="243">
        <f>ROUND((S87*U151*0.25)/12,2)</f>
        <v>0</v>
      </c>
      <c r="U87" s="244">
        <f t="shared" si="27"/>
        <v>5000</v>
      </c>
    </row>
    <row r="88" spans="1:21" s="65" customFormat="1" x14ac:dyDescent="0.25">
      <c r="A88" s="255" t="s">
        <v>327</v>
      </c>
      <c r="B88" s="220" t="s">
        <v>217</v>
      </c>
      <c r="C88" s="30" t="s">
        <v>288</v>
      </c>
      <c r="D88" s="188" t="s">
        <v>287</v>
      </c>
      <c r="E88" s="188" t="s">
        <v>285</v>
      </c>
      <c r="F88" s="211" t="s">
        <v>306</v>
      </c>
      <c r="G88" s="233">
        <f t="shared" si="23"/>
        <v>33.003300330032999</v>
      </c>
      <c r="H88" s="118">
        <f>Perfils!$G$7</f>
        <v>60.6</v>
      </c>
      <c r="I88" s="119">
        <v>2000</v>
      </c>
      <c r="J88" s="233">
        <f t="shared" si="24"/>
        <v>49.083769633507856</v>
      </c>
      <c r="K88" s="120">
        <f>Perfils!$G$13</f>
        <v>61.12</v>
      </c>
      <c r="L88" s="119">
        <v>3000</v>
      </c>
      <c r="M88" s="233">
        <f t="shared" si="25"/>
        <v>0</v>
      </c>
      <c r="N88" s="120">
        <f>Perfils!$G$19</f>
        <v>64.3</v>
      </c>
      <c r="O88" s="119">
        <v>0</v>
      </c>
      <c r="P88" s="119">
        <v>0</v>
      </c>
      <c r="Q88" s="242">
        <f t="shared" si="26"/>
        <v>44652</v>
      </c>
      <c r="R88" s="242">
        <f t="shared" si="22"/>
        <v>44713</v>
      </c>
      <c r="S88" s="241">
        <v>2</v>
      </c>
      <c r="T88" s="243">
        <f>ROUND((S88*U152*0.25)/12,2)</f>
        <v>0</v>
      </c>
      <c r="U88" s="244">
        <f t="shared" si="27"/>
        <v>5000</v>
      </c>
    </row>
    <row r="89" spans="1:21" s="65" customFormat="1" x14ac:dyDescent="0.25">
      <c r="A89" s="255" t="s">
        <v>327</v>
      </c>
      <c r="B89" s="220" t="s">
        <v>217</v>
      </c>
      <c r="C89" s="30" t="s">
        <v>288</v>
      </c>
      <c r="D89" s="188" t="s">
        <v>254</v>
      </c>
      <c r="E89" s="188" t="s">
        <v>253</v>
      </c>
      <c r="F89" s="230" t="s">
        <v>307</v>
      </c>
      <c r="G89" s="233">
        <f t="shared" si="23"/>
        <v>66.006600660065999</v>
      </c>
      <c r="H89" s="118">
        <f>Perfils!$G$7</f>
        <v>60.6</v>
      </c>
      <c r="I89" s="119">
        <v>4000</v>
      </c>
      <c r="J89" s="233">
        <f t="shared" si="24"/>
        <v>98.167539267015712</v>
      </c>
      <c r="K89" s="120">
        <f>Perfils!$G$13</f>
        <v>61.12</v>
      </c>
      <c r="L89" s="119">
        <v>6000</v>
      </c>
      <c r="M89" s="233">
        <f t="shared" si="25"/>
        <v>0</v>
      </c>
      <c r="N89" s="120">
        <f>Perfils!$G$19</f>
        <v>64.3</v>
      </c>
      <c r="O89" s="119">
        <v>0</v>
      </c>
      <c r="P89" s="119">
        <v>0</v>
      </c>
      <c r="Q89" s="242">
        <f t="shared" si="26"/>
        <v>44593</v>
      </c>
      <c r="R89" s="242">
        <f t="shared" si="22"/>
        <v>44713</v>
      </c>
      <c r="S89" s="241">
        <v>5</v>
      </c>
      <c r="T89" s="243">
        <f>ROUND((S89*U153*0.3)/12,2)</f>
        <v>0</v>
      </c>
      <c r="U89" s="244">
        <f t="shared" si="27"/>
        <v>10000</v>
      </c>
    </row>
    <row r="90" spans="1:21" s="65" customFormat="1" x14ac:dyDescent="0.25">
      <c r="A90" s="255" t="s">
        <v>327</v>
      </c>
      <c r="B90" s="220" t="s">
        <v>217</v>
      </c>
      <c r="C90" s="30" t="s">
        <v>288</v>
      </c>
      <c r="D90" s="188" t="s">
        <v>258</v>
      </c>
      <c r="E90" s="188" t="s">
        <v>257</v>
      </c>
      <c r="F90" s="230" t="s">
        <v>307</v>
      </c>
      <c r="G90" s="233">
        <f t="shared" si="23"/>
        <v>67.039410975028531</v>
      </c>
      <c r="H90" s="118">
        <f>Perfils!$G$7</f>
        <v>60.6</v>
      </c>
      <c r="I90" s="119">
        <v>4062.5883050867292</v>
      </c>
      <c r="J90" s="233">
        <f t="shared" si="24"/>
        <v>99.70357424133006</v>
      </c>
      <c r="K90" s="120">
        <f>Perfils!$G$13</f>
        <v>61.12</v>
      </c>
      <c r="L90" s="119">
        <v>6093.8824576300931</v>
      </c>
      <c r="M90" s="233">
        <f t="shared" si="25"/>
        <v>0</v>
      </c>
      <c r="N90" s="120">
        <f>Perfils!$G$19</f>
        <v>64.3</v>
      </c>
      <c r="O90" s="119">
        <v>0</v>
      </c>
      <c r="P90" s="119">
        <v>0</v>
      </c>
      <c r="Q90" s="242">
        <f t="shared" si="26"/>
        <v>44593</v>
      </c>
      <c r="R90" s="242">
        <f t="shared" si="22"/>
        <v>44713</v>
      </c>
      <c r="S90" s="241">
        <v>5</v>
      </c>
      <c r="T90" s="243">
        <f>ROUND((S90*U154*0.3)/12,2)</f>
        <v>0</v>
      </c>
      <c r="U90" s="244">
        <f t="shared" si="27"/>
        <v>10156.470762716823</v>
      </c>
    </row>
    <row r="91" spans="1:21" s="65" customFormat="1" x14ac:dyDescent="0.25">
      <c r="A91" s="255" t="s">
        <v>327</v>
      </c>
      <c r="B91" s="220" t="s">
        <v>218</v>
      </c>
      <c r="C91" s="30" t="s">
        <v>289</v>
      </c>
      <c r="D91" s="188" t="s">
        <v>254</v>
      </c>
      <c r="E91" s="188" t="s">
        <v>253</v>
      </c>
      <c r="F91" s="230" t="s">
        <v>307</v>
      </c>
      <c r="G91" s="233">
        <f t="shared" si="23"/>
        <v>882.61141914191433</v>
      </c>
      <c r="H91" s="118">
        <f>Perfils!$G$7</f>
        <v>60.6</v>
      </c>
      <c r="I91" s="119">
        <v>53486.252000000008</v>
      </c>
      <c r="J91" s="233">
        <f t="shared" si="24"/>
        <v>1312.6534358638744</v>
      </c>
      <c r="K91" s="120">
        <f>Perfils!$G$13</f>
        <v>61.12</v>
      </c>
      <c r="L91" s="119">
        <v>80229.377999999997</v>
      </c>
      <c r="M91" s="233">
        <f t="shared" si="25"/>
        <v>0</v>
      </c>
      <c r="N91" s="120">
        <f>Perfils!$G$19</f>
        <v>64.3</v>
      </c>
      <c r="O91" s="119">
        <v>0</v>
      </c>
      <c r="P91" s="119">
        <v>0</v>
      </c>
      <c r="Q91" s="242">
        <f t="shared" si="26"/>
        <v>44593</v>
      </c>
      <c r="R91" s="242">
        <f t="shared" si="22"/>
        <v>44713</v>
      </c>
      <c r="S91" s="241">
        <v>5</v>
      </c>
      <c r="T91" s="243">
        <f>ROUND((S91*U154*0.3)/12,2)</f>
        <v>0</v>
      </c>
      <c r="U91" s="244">
        <f t="shared" si="27"/>
        <v>133715.63</v>
      </c>
    </row>
    <row r="92" spans="1:21" s="65" customFormat="1" x14ac:dyDescent="0.25">
      <c r="A92" s="255" t="s">
        <v>327</v>
      </c>
      <c r="B92" s="220" t="s">
        <v>218</v>
      </c>
      <c r="C92" s="30" t="s">
        <v>289</v>
      </c>
      <c r="D92" s="188" t="s">
        <v>291</v>
      </c>
      <c r="E92" s="188" t="s">
        <v>290</v>
      </c>
      <c r="F92" s="230" t="s">
        <v>307</v>
      </c>
      <c r="G92" s="233">
        <f t="shared" si="23"/>
        <v>205.26283828382839</v>
      </c>
      <c r="H92" s="118">
        <f>Perfils!$G$7</f>
        <v>60.6</v>
      </c>
      <c r="I92" s="119">
        <v>12438.928</v>
      </c>
      <c r="J92" s="233">
        <f t="shared" si="24"/>
        <v>305.27473821989531</v>
      </c>
      <c r="K92" s="120">
        <f>Perfils!$G$13</f>
        <v>61.12</v>
      </c>
      <c r="L92" s="119">
        <v>18658.392</v>
      </c>
      <c r="M92" s="233">
        <f t="shared" si="25"/>
        <v>0</v>
      </c>
      <c r="N92" s="120">
        <f>Perfils!$G$19</f>
        <v>64.3</v>
      </c>
      <c r="O92" s="119">
        <v>0</v>
      </c>
      <c r="P92" s="119">
        <v>0</v>
      </c>
      <c r="Q92" s="242">
        <f t="shared" si="26"/>
        <v>44621</v>
      </c>
      <c r="R92" s="242">
        <f t="shared" si="22"/>
        <v>44713</v>
      </c>
      <c r="S92" s="241">
        <v>3</v>
      </c>
      <c r="T92" s="243">
        <f>ROUND((S92*U155*0.25)/12,2)</f>
        <v>0</v>
      </c>
      <c r="U92" s="244">
        <f t="shared" si="27"/>
        <v>31097.32</v>
      </c>
    </row>
    <row r="93" spans="1:21" s="65" customFormat="1" x14ac:dyDescent="0.25">
      <c r="A93" s="255" t="s">
        <v>327</v>
      </c>
      <c r="B93" s="220" t="s">
        <v>219</v>
      </c>
      <c r="C93" s="30" t="s">
        <v>292</v>
      </c>
      <c r="D93" s="188" t="s">
        <v>254</v>
      </c>
      <c r="E93" s="188" t="s">
        <v>253</v>
      </c>
      <c r="F93" s="230" t="s">
        <v>307</v>
      </c>
      <c r="G93" s="233">
        <f t="shared" si="23"/>
        <v>198.01980198019803</v>
      </c>
      <c r="H93" s="118">
        <f>Perfils!$G$7</f>
        <v>60.6</v>
      </c>
      <c r="I93" s="119">
        <v>12000</v>
      </c>
      <c r="J93" s="233">
        <f t="shared" si="24"/>
        <v>294.50261780104711</v>
      </c>
      <c r="K93" s="120">
        <f>Perfils!$G$13</f>
        <v>61.12</v>
      </c>
      <c r="L93" s="119">
        <v>18000</v>
      </c>
      <c r="M93" s="233">
        <f t="shared" si="25"/>
        <v>0</v>
      </c>
      <c r="N93" s="120">
        <f>Perfils!$G$19</f>
        <v>64.3</v>
      </c>
      <c r="O93" s="119">
        <v>0</v>
      </c>
      <c r="P93" s="119">
        <v>0</v>
      </c>
      <c r="Q93" s="242">
        <f t="shared" si="26"/>
        <v>44593</v>
      </c>
      <c r="R93" s="242">
        <f t="shared" si="22"/>
        <v>44713</v>
      </c>
      <c r="S93" s="241">
        <v>5</v>
      </c>
      <c r="T93" s="243">
        <f>ROUND((S93*U156*0.3)/12,2)</f>
        <v>0</v>
      </c>
      <c r="U93" s="244">
        <f t="shared" si="27"/>
        <v>30000</v>
      </c>
    </row>
    <row r="94" spans="1:21" s="65" customFormat="1" x14ac:dyDescent="0.25">
      <c r="A94" s="255" t="s">
        <v>327</v>
      </c>
      <c r="B94" s="220" t="s">
        <v>219</v>
      </c>
      <c r="C94" s="30" t="s">
        <v>292</v>
      </c>
      <c r="D94" s="188" t="s">
        <v>291</v>
      </c>
      <c r="E94" s="188" t="s">
        <v>290</v>
      </c>
      <c r="F94" s="230" t="s">
        <v>307</v>
      </c>
      <c r="G94" s="233">
        <f t="shared" si="23"/>
        <v>489.70831683168319</v>
      </c>
      <c r="H94" s="118">
        <f>Perfils!$G$7</f>
        <v>60.6</v>
      </c>
      <c r="I94" s="119">
        <v>29676.324000000001</v>
      </c>
      <c r="J94" s="233">
        <f t="shared" si="24"/>
        <v>728.31292539267019</v>
      </c>
      <c r="K94" s="120">
        <f>Perfils!$G$13</f>
        <v>61.12</v>
      </c>
      <c r="L94" s="119">
        <v>44514.485999999997</v>
      </c>
      <c r="M94" s="233">
        <f t="shared" si="25"/>
        <v>0</v>
      </c>
      <c r="N94" s="120">
        <f>Perfils!$G$19</f>
        <v>64.3</v>
      </c>
      <c r="O94" s="119">
        <v>0</v>
      </c>
      <c r="P94" s="119">
        <v>0</v>
      </c>
      <c r="Q94" s="242">
        <f t="shared" si="26"/>
        <v>44621</v>
      </c>
      <c r="R94" s="242">
        <f t="shared" si="22"/>
        <v>44713</v>
      </c>
      <c r="S94" s="241">
        <v>3</v>
      </c>
      <c r="T94" s="243">
        <f>ROUND((S94*U157*0.25)/12,2)</f>
        <v>0</v>
      </c>
      <c r="U94" s="244">
        <f t="shared" si="27"/>
        <v>74190.81</v>
      </c>
    </row>
    <row r="95" spans="1:21" s="65" customFormat="1" x14ac:dyDescent="0.25">
      <c r="A95" s="255" t="s">
        <v>327</v>
      </c>
      <c r="B95" s="220" t="s">
        <v>220</v>
      </c>
      <c r="C95" s="30" t="s">
        <v>293</v>
      </c>
      <c r="D95" s="188" t="s">
        <v>254</v>
      </c>
      <c r="E95" s="188" t="s">
        <v>253</v>
      </c>
      <c r="F95" s="230" t="s">
        <v>307</v>
      </c>
      <c r="G95" s="233">
        <f t="shared" si="23"/>
        <v>66.006600660065999</v>
      </c>
      <c r="H95" s="118">
        <f>Perfils!$G$7</f>
        <v>60.6</v>
      </c>
      <c r="I95" s="119">
        <v>4000</v>
      </c>
      <c r="J95" s="233">
        <f t="shared" si="24"/>
        <v>98.167539267015712</v>
      </c>
      <c r="K95" s="120">
        <f>Perfils!$G$13</f>
        <v>61.12</v>
      </c>
      <c r="L95" s="119">
        <v>6000</v>
      </c>
      <c r="M95" s="233">
        <f t="shared" si="25"/>
        <v>0</v>
      </c>
      <c r="N95" s="120">
        <f>Perfils!$G$19</f>
        <v>64.3</v>
      </c>
      <c r="O95" s="119">
        <v>0</v>
      </c>
      <c r="P95" s="119">
        <v>0</v>
      </c>
      <c r="Q95" s="242">
        <f t="shared" si="26"/>
        <v>44593</v>
      </c>
      <c r="R95" s="242">
        <f t="shared" si="22"/>
        <v>44713</v>
      </c>
      <c r="S95" s="241">
        <v>5</v>
      </c>
      <c r="T95" s="243">
        <f>ROUND((S95*U158*0.3)/12,2)</f>
        <v>0</v>
      </c>
      <c r="U95" s="244">
        <f t="shared" si="27"/>
        <v>10000</v>
      </c>
    </row>
    <row r="96" spans="1:21" s="65" customFormat="1" x14ac:dyDescent="0.25">
      <c r="A96" s="255" t="s">
        <v>327</v>
      </c>
      <c r="B96" s="220" t="s">
        <v>220</v>
      </c>
      <c r="C96" s="30" t="s">
        <v>293</v>
      </c>
      <c r="D96" s="188" t="s">
        <v>291</v>
      </c>
      <c r="E96" s="188" t="s">
        <v>290</v>
      </c>
      <c r="F96" s="230" t="s">
        <v>307</v>
      </c>
      <c r="G96" s="233">
        <f t="shared" si="23"/>
        <v>29.04983498349835</v>
      </c>
      <c r="H96" s="118">
        <f>Perfils!$G$7</f>
        <v>60.6</v>
      </c>
      <c r="I96" s="119">
        <v>1760.42</v>
      </c>
      <c r="J96" s="233">
        <f t="shared" si="24"/>
        <v>43.204024869109951</v>
      </c>
      <c r="K96" s="120">
        <f>Perfils!$G$13</f>
        <v>61.12</v>
      </c>
      <c r="L96" s="119">
        <v>2640.63</v>
      </c>
      <c r="M96" s="233">
        <f t="shared" si="25"/>
        <v>0</v>
      </c>
      <c r="N96" s="120">
        <f>Perfils!$G$19</f>
        <v>64.3</v>
      </c>
      <c r="O96" s="119">
        <v>0</v>
      </c>
      <c r="P96" s="119">
        <v>0</v>
      </c>
      <c r="Q96" s="242">
        <f t="shared" si="26"/>
        <v>44621</v>
      </c>
      <c r="R96" s="242">
        <f t="shared" si="22"/>
        <v>44713</v>
      </c>
      <c r="S96" s="241">
        <v>3</v>
      </c>
      <c r="T96" s="243">
        <f>ROUND((S96*U159*0.25)/12,2)</f>
        <v>0</v>
      </c>
      <c r="U96" s="244">
        <f t="shared" si="27"/>
        <v>4401.05</v>
      </c>
    </row>
    <row r="97" spans="1:21" s="65" customFormat="1" x14ac:dyDescent="0.25">
      <c r="A97" s="255" t="s">
        <v>328</v>
      </c>
      <c r="B97" s="220" t="s">
        <v>212</v>
      </c>
      <c r="C97" s="30" t="s">
        <v>268</v>
      </c>
      <c r="D97" s="188" t="s">
        <v>267</v>
      </c>
      <c r="E97" s="188" t="s">
        <v>266</v>
      </c>
      <c r="F97" s="211" t="s">
        <v>306</v>
      </c>
      <c r="G97" s="233">
        <f t="shared" si="23"/>
        <v>52.805280528052805</v>
      </c>
      <c r="H97" s="118">
        <f>Perfils!$G$7</f>
        <v>60.6</v>
      </c>
      <c r="I97" s="119">
        <v>3200</v>
      </c>
      <c r="J97" s="233">
        <f t="shared" si="24"/>
        <v>78.534031413612567</v>
      </c>
      <c r="K97" s="120">
        <f>Perfils!$G$13</f>
        <v>61.12</v>
      </c>
      <c r="L97" s="119">
        <v>4800</v>
      </c>
      <c r="M97" s="233">
        <f t="shared" si="25"/>
        <v>0</v>
      </c>
      <c r="N97" s="120">
        <f>Perfils!$G$19</f>
        <v>64.3</v>
      </c>
      <c r="O97" s="119">
        <v>0</v>
      </c>
      <c r="P97" s="119">
        <v>0</v>
      </c>
      <c r="Q97" s="242">
        <f t="shared" si="26"/>
        <v>44652</v>
      </c>
      <c r="R97" s="242">
        <f t="shared" si="22"/>
        <v>44713</v>
      </c>
      <c r="S97" s="241">
        <v>2</v>
      </c>
      <c r="T97" s="243">
        <f t="shared" ref="T97:T103" si="28">ROUND((S97*U142*0.25)/12,2)</f>
        <v>0</v>
      </c>
      <c r="U97" s="244">
        <f t="shared" si="27"/>
        <v>8000</v>
      </c>
    </row>
    <row r="98" spans="1:21" s="65" customFormat="1" x14ac:dyDescent="0.25">
      <c r="A98" s="255" t="s">
        <v>328</v>
      </c>
      <c r="B98" s="220" t="s">
        <v>212</v>
      </c>
      <c r="C98" s="30" t="s">
        <v>268</v>
      </c>
      <c r="D98" s="188" t="s">
        <v>270</v>
      </c>
      <c r="E98" s="188" t="s">
        <v>269</v>
      </c>
      <c r="F98" s="211" t="s">
        <v>306</v>
      </c>
      <c r="G98" s="233">
        <f t="shared" si="23"/>
        <v>132.013201320132</v>
      </c>
      <c r="H98" s="118">
        <f>Perfils!$G$7</f>
        <v>60.6</v>
      </c>
      <c r="I98" s="119">
        <v>8000</v>
      </c>
      <c r="J98" s="233">
        <f t="shared" si="24"/>
        <v>196.33507853403142</v>
      </c>
      <c r="K98" s="120">
        <f>Perfils!$G$13</f>
        <v>61.12</v>
      </c>
      <c r="L98" s="119">
        <v>12000</v>
      </c>
      <c r="M98" s="233">
        <f t="shared" si="25"/>
        <v>0</v>
      </c>
      <c r="N98" s="120">
        <f>Perfils!$G$19</f>
        <v>64.3</v>
      </c>
      <c r="O98" s="119">
        <v>0</v>
      </c>
      <c r="P98" s="119">
        <v>0</v>
      </c>
      <c r="Q98" s="242">
        <f t="shared" si="26"/>
        <v>44652</v>
      </c>
      <c r="R98" s="242">
        <f t="shared" si="22"/>
        <v>44713</v>
      </c>
      <c r="S98" s="241">
        <v>2</v>
      </c>
      <c r="T98" s="243">
        <f t="shared" si="28"/>
        <v>0</v>
      </c>
      <c r="U98" s="244">
        <f t="shared" si="27"/>
        <v>20000</v>
      </c>
    </row>
    <row r="99" spans="1:21" s="65" customFormat="1" x14ac:dyDescent="0.25">
      <c r="A99" s="255" t="s">
        <v>328</v>
      </c>
      <c r="B99" s="220" t="s">
        <v>212</v>
      </c>
      <c r="C99" s="30" t="s">
        <v>268</v>
      </c>
      <c r="D99" s="188" t="s">
        <v>272</v>
      </c>
      <c r="E99" s="188" t="s">
        <v>271</v>
      </c>
      <c r="F99" s="211" t="s">
        <v>306</v>
      </c>
      <c r="G99" s="233">
        <f t="shared" si="23"/>
        <v>66.006600660065999</v>
      </c>
      <c r="H99" s="118">
        <f>Perfils!$G$7</f>
        <v>60.6</v>
      </c>
      <c r="I99" s="119">
        <v>4000</v>
      </c>
      <c r="J99" s="233">
        <f t="shared" si="24"/>
        <v>98.167539267015712</v>
      </c>
      <c r="K99" s="120">
        <f>Perfils!$G$13</f>
        <v>61.12</v>
      </c>
      <c r="L99" s="119">
        <v>6000</v>
      </c>
      <c r="M99" s="233">
        <f t="shared" si="25"/>
        <v>0</v>
      </c>
      <c r="N99" s="120">
        <f>Perfils!$G$19</f>
        <v>64.3</v>
      </c>
      <c r="O99" s="119">
        <v>0</v>
      </c>
      <c r="P99" s="119">
        <v>0</v>
      </c>
      <c r="Q99" s="242">
        <f t="shared" si="26"/>
        <v>44652</v>
      </c>
      <c r="R99" s="242">
        <f t="shared" si="22"/>
        <v>44713</v>
      </c>
      <c r="S99" s="241">
        <v>2</v>
      </c>
      <c r="T99" s="243">
        <f t="shared" si="28"/>
        <v>0</v>
      </c>
      <c r="U99" s="244">
        <f t="shared" si="27"/>
        <v>10000</v>
      </c>
    </row>
    <row r="100" spans="1:21" s="65" customFormat="1" ht="30" x14ac:dyDescent="0.25">
      <c r="A100" s="255" t="s">
        <v>328</v>
      </c>
      <c r="B100" s="220" t="s">
        <v>212</v>
      </c>
      <c r="C100" s="30" t="s">
        <v>268</v>
      </c>
      <c r="D100" s="188" t="s">
        <v>274</v>
      </c>
      <c r="E100" s="188" t="s">
        <v>273</v>
      </c>
      <c r="F100" s="230" t="s">
        <v>307</v>
      </c>
      <c r="G100" s="233">
        <f t="shared" si="23"/>
        <v>1490.2875989327063</v>
      </c>
      <c r="H100" s="118">
        <f>Perfils!$G$7</f>
        <v>60.6</v>
      </c>
      <c r="I100" s="119">
        <v>90311.428495322005</v>
      </c>
      <c r="J100" s="233">
        <f t="shared" si="24"/>
        <v>2216.4126757687013</v>
      </c>
      <c r="K100" s="120">
        <f>Perfils!$G$13</f>
        <v>61.12</v>
      </c>
      <c r="L100" s="119">
        <v>135467.14274298301</v>
      </c>
      <c r="M100" s="233">
        <f t="shared" si="25"/>
        <v>0</v>
      </c>
      <c r="N100" s="120">
        <f>Perfils!$G$19</f>
        <v>64.3</v>
      </c>
      <c r="O100" s="119">
        <v>0</v>
      </c>
      <c r="P100" s="119">
        <v>0</v>
      </c>
      <c r="Q100" s="242">
        <f t="shared" si="26"/>
        <v>44593</v>
      </c>
      <c r="R100" s="242">
        <f t="shared" si="22"/>
        <v>44713</v>
      </c>
      <c r="S100" s="241">
        <v>4</v>
      </c>
      <c r="T100" s="243">
        <f t="shared" si="28"/>
        <v>0</v>
      </c>
      <c r="U100" s="244">
        <f t="shared" si="27"/>
        <v>225778.57123830501</v>
      </c>
    </row>
    <row r="101" spans="1:21" s="65" customFormat="1" x14ac:dyDescent="0.25">
      <c r="A101" s="255" t="s">
        <v>328</v>
      </c>
      <c r="B101" s="220" t="s">
        <v>212</v>
      </c>
      <c r="C101" s="30" t="s">
        <v>268</v>
      </c>
      <c r="D101" s="188" t="s">
        <v>276</v>
      </c>
      <c r="E101" s="188" t="s">
        <v>275</v>
      </c>
      <c r="F101" s="211" t="s">
        <v>306</v>
      </c>
      <c r="G101" s="233">
        <f t="shared" si="23"/>
        <v>79.207920792079207</v>
      </c>
      <c r="H101" s="118">
        <f>Perfils!$G$7</f>
        <v>60.6</v>
      </c>
      <c r="I101" s="119">
        <v>4800</v>
      </c>
      <c r="J101" s="233">
        <f t="shared" si="24"/>
        <v>117.80104712041886</v>
      </c>
      <c r="K101" s="120">
        <f>Perfils!$G$13</f>
        <v>61.12</v>
      </c>
      <c r="L101" s="119">
        <v>7200</v>
      </c>
      <c r="M101" s="233">
        <f t="shared" si="25"/>
        <v>0</v>
      </c>
      <c r="N101" s="120">
        <f>Perfils!$G$19</f>
        <v>64.3</v>
      </c>
      <c r="O101" s="119">
        <v>0</v>
      </c>
      <c r="P101" s="119">
        <v>0</v>
      </c>
      <c r="Q101" s="242">
        <f t="shared" si="26"/>
        <v>44652</v>
      </c>
      <c r="R101" s="242">
        <f t="shared" si="22"/>
        <v>44713</v>
      </c>
      <c r="S101" s="241">
        <v>2</v>
      </c>
      <c r="T101" s="243">
        <f t="shared" si="28"/>
        <v>0</v>
      </c>
      <c r="U101" s="244">
        <f t="shared" si="27"/>
        <v>12000</v>
      </c>
    </row>
    <row r="102" spans="1:21" s="65" customFormat="1" x14ac:dyDescent="0.25">
      <c r="A102" s="255" t="s">
        <v>328</v>
      </c>
      <c r="B102" s="220" t="s">
        <v>213</v>
      </c>
      <c r="C102" s="30" t="s">
        <v>280</v>
      </c>
      <c r="D102" s="188" t="s">
        <v>279</v>
      </c>
      <c r="E102" s="188" t="s">
        <v>278</v>
      </c>
      <c r="F102" s="211" t="s">
        <v>308</v>
      </c>
      <c r="G102" s="233">
        <f t="shared" si="23"/>
        <v>0</v>
      </c>
      <c r="H102" s="118">
        <f>Perfils!$G$7</f>
        <v>60.6</v>
      </c>
      <c r="I102" s="119">
        <v>0</v>
      </c>
      <c r="J102" s="233">
        <f t="shared" si="24"/>
        <v>0</v>
      </c>
      <c r="K102" s="120">
        <f>Perfils!$G$13</f>
        <v>61.12</v>
      </c>
      <c r="L102" s="119">
        <v>0</v>
      </c>
      <c r="M102" s="233">
        <f t="shared" si="25"/>
        <v>0</v>
      </c>
      <c r="N102" s="120">
        <f>Perfils!$G$19</f>
        <v>64.3</v>
      </c>
      <c r="O102" s="119">
        <v>0</v>
      </c>
      <c r="P102" s="119">
        <v>7000</v>
      </c>
      <c r="Q102" s="242">
        <f t="shared" si="26"/>
        <v>44652</v>
      </c>
      <c r="R102" s="242">
        <f t="shared" si="22"/>
        <v>44713</v>
      </c>
      <c r="S102" s="241">
        <v>2</v>
      </c>
      <c r="T102" s="243">
        <f t="shared" si="28"/>
        <v>0</v>
      </c>
      <c r="U102" s="244">
        <f t="shared" si="27"/>
        <v>7000</v>
      </c>
    </row>
    <row r="103" spans="1:21" s="65" customFormat="1" x14ac:dyDescent="0.25">
      <c r="A103" s="255" t="s">
        <v>328</v>
      </c>
      <c r="B103" s="220" t="s">
        <v>214</v>
      </c>
      <c r="C103" s="30" t="s">
        <v>282</v>
      </c>
      <c r="D103" s="188" t="s">
        <v>281</v>
      </c>
      <c r="E103" s="188" t="s">
        <v>277</v>
      </c>
      <c r="F103" s="211" t="s">
        <v>308</v>
      </c>
      <c r="G103" s="233">
        <f t="shared" si="23"/>
        <v>0</v>
      </c>
      <c r="H103" s="118">
        <f>Perfils!$G$7</f>
        <v>60.6</v>
      </c>
      <c r="I103" s="119">
        <v>0</v>
      </c>
      <c r="J103" s="233">
        <f t="shared" si="24"/>
        <v>0</v>
      </c>
      <c r="K103" s="120">
        <f>Perfils!$G$13</f>
        <v>61.12</v>
      </c>
      <c r="L103" s="119">
        <v>0</v>
      </c>
      <c r="M103" s="233">
        <v>0</v>
      </c>
      <c r="N103" s="120">
        <f>Perfils!$G$19</f>
        <v>64.3</v>
      </c>
      <c r="O103" s="119">
        <v>90000</v>
      </c>
      <c r="P103" s="119">
        <v>0</v>
      </c>
      <c r="Q103" s="242">
        <f t="shared" si="26"/>
        <v>44652</v>
      </c>
      <c r="R103" s="242">
        <f t="shared" si="22"/>
        <v>44713</v>
      </c>
      <c r="S103" s="241">
        <v>2</v>
      </c>
      <c r="T103" s="243">
        <f t="shared" si="28"/>
        <v>0</v>
      </c>
      <c r="U103" s="244">
        <f t="shared" si="27"/>
        <v>90000</v>
      </c>
    </row>
    <row r="104" spans="1:21" s="65" customFormat="1" ht="30" x14ac:dyDescent="0.25">
      <c r="A104" s="255" t="s">
        <v>328</v>
      </c>
      <c r="B104" s="220" t="s">
        <v>221</v>
      </c>
      <c r="C104" s="30" t="s">
        <v>294</v>
      </c>
      <c r="D104" s="188" t="s">
        <v>274</v>
      </c>
      <c r="E104" s="188" t="s">
        <v>273</v>
      </c>
      <c r="F104" s="230" t="s">
        <v>307</v>
      </c>
      <c r="G104" s="233">
        <f t="shared" si="23"/>
        <v>1023.1023102310231</v>
      </c>
      <c r="H104" s="118">
        <f>Perfils!$G$7</f>
        <v>60.6</v>
      </c>
      <c r="I104" s="119">
        <v>62000</v>
      </c>
      <c r="J104" s="233">
        <f t="shared" si="24"/>
        <v>1521.5968586387435</v>
      </c>
      <c r="K104" s="120">
        <f>Perfils!$G$13</f>
        <v>61.12</v>
      </c>
      <c r="L104" s="119">
        <v>93000</v>
      </c>
      <c r="M104" s="233">
        <f>+O104/N104</f>
        <v>0</v>
      </c>
      <c r="N104" s="120">
        <f>Perfils!$G$19</f>
        <v>64.3</v>
      </c>
      <c r="O104" s="119">
        <v>0</v>
      </c>
      <c r="P104" s="119">
        <v>0</v>
      </c>
      <c r="Q104" s="242">
        <f t="shared" si="26"/>
        <v>44593</v>
      </c>
      <c r="R104" s="242">
        <f t="shared" si="22"/>
        <v>44713</v>
      </c>
      <c r="S104" s="241">
        <v>4</v>
      </c>
      <c r="T104" s="243">
        <f>ROUND((S104*U160*0.25)/12,2)</f>
        <v>0</v>
      </c>
      <c r="U104" s="244">
        <f t="shared" si="27"/>
        <v>155000</v>
      </c>
    </row>
    <row r="105" spans="1:21" s="65" customFormat="1" x14ac:dyDescent="0.25">
      <c r="A105" s="256" t="s">
        <v>329</v>
      </c>
      <c r="B105" s="220" t="s">
        <v>208</v>
      </c>
      <c r="C105" s="30" t="s">
        <v>321</v>
      </c>
      <c r="D105" s="188" t="s">
        <v>254</v>
      </c>
      <c r="E105" s="188" t="s">
        <v>253</v>
      </c>
      <c r="F105" s="230" t="s">
        <v>307</v>
      </c>
      <c r="G105" s="233">
        <f t="shared" ref="G105:G114" si="29">+I105/H105</f>
        <v>132.013201320132</v>
      </c>
      <c r="H105" s="118">
        <f>Perfils!$G$7</f>
        <v>60.6</v>
      </c>
      <c r="I105" s="119">
        <v>8000</v>
      </c>
      <c r="J105" s="233">
        <f t="shared" ref="J105:J114" si="30">+L105/K105</f>
        <v>196.33507853403142</v>
      </c>
      <c r="K105" s="120">
        <f>Perfils!$G$13</f>
        <v>61.12</v>
      </c>
      <c r="L105" s="119">
        <v>12000</v>
      </c>
      <c r="M105" s="233">
        <f t="shared" ref="M105:M114" si="31">+O105/N105</f>
        <v>0</v>
      </c>
      <c r="N105" s="120">
        <f>Perfils!$G$19</f>
        <v>64.3</v>
      </c>
      <c r="O105" s="119">
        <v>0</v>
      </c>
      <c r="P105" s="119">
        <v>0</v>
      </c>
      <c r="Q105" s="242">
        <f t="shared" ref="Q105:Q114" si="32">VLOOKUP(S105,$T$2:$U$6,2)</f>
        <v>44652</v>
      </c>
      <c r="R105" s="242">
        <f t="shared" si="22"/>
        <v>44713</v>
      </c>
      <c r="S105" s="241">
        <v>2</v>
      </c>
      <c r="T105" s="243">
        <f>ROUND((S105*U134*0.25)/12,2)</f>
        <v>0</v>
      </c>
      <c r="U105" s="244">
        <f t="shared" ref="U105:U114" si="33">+I105+L105+O105+P105</f>
        <v>20000</v>
      </c>
    </row>
    <row r="106" spans="1:21" s="65" customFormat="1" x14ac:dyDescent="0.25">
      <c r="A106" s="256" t="s">
        <v>329</v>
      </c>
      <c r="B106" s="220" t="s">
        <v>208</v>
      </c>
      <c r="C106" s="30" t="s">
        <v>321</v>
      </c>
      <c r="D106" s="188" t="s">
        <v>256</v>
      </c>
      <c r="E106" s="188" t="s">
        <v>255</v>
      </c>
      <c r="F106" s="230" t="s">
        <v>307</v>
      </c>
      <c r="G106" s="233">
        <f t="shared" si="29"/>
        <v>660.0660066006601</v>
      </c>
      <c r="H106" s="118">
        <f>Perfils!$G$7</f>
        <v>60.6</v>
      </c>
      <c r="I106" s="119">
        <v>40000</v>
      </c>
      <c r="J106" s="233">
        <f t="shared" si="30"/>
        <v>981.67539267015707</v>
      </c>
      <c r="K106" s="120">
        <f>Perfils!$G$13</f>
        <v>61.12</v>
      </c>
      <c r="L106" s="119">
        <v>60000</v>
      </c>
      <c r="M106" s="233">
        <f t="shared" si="31"/>
        <v>0</v>
      </c>
      <c r="N106" s="120">
        <f>Perfils!$G$19</f>
        <v>64.3</v>
      </c>
      <c r="O106" s="119">
        <v>0</v>
      </c>
      <c r="P106" s="119">
        <v>0</v>
      </c>
      <c r="Q106" s="242">
        <f t="shared" si="32"/>
        <v>44652</v>
      </c>
      <c r="R106" s="242">
        <f t="shared" si="22"/>
        <v>44713</v>
      </c>
      <c r="S106" s="241">
        <v>2</v>
      </c>
      <c r="T106" s="243">
        <f>ROUND((S106*U135*0.25)/12,2)</f>
        <v>0</v>
      </c>
      <c r="U106" s="244">
        <f t="shared" si="33"/>
        <v>100000</v>
      </c>
    </row>
    <row r="107" spans="1:21" s="65" customFormat="1" x14ac:dyDescent="0.25">
      <c r="A107" s="256" t="s">
        <v>329</v>
      </c>
      <c r="B107" s="220" t="s">
        <v>208</v>
      </c>
      <c r="C107" s="30" t="s">
        <v>321</v>
      </c>
      <c r="D107" s="188" t="s">
        <v>258</v>
      </c>
      <c r="E107" s="188" t="s">
        <v>257</v>
      </c>
      <c r="F107" s="230" t="s">
        <v>307</v>
      </c>
      <c r="G107" s="233">
        <f t="shared" si="29"/>
        <v>165.01650165016503</v>
      </c>
      <c r="H107" s="118">
        <f>Perfils!$G$7</f>
        <v>60.6</v>
      </c>
      <c r="I107" s="119">
        <v>10000</v>
      </c>
      <c r="J107" s="233">
        <f t="shared" si="30"/>
        <v>245.41884816753927</v>
      </c>
      <c r="K107" s="120">
        <f>Perfils!$G$13</f>
        <v>61.12</v>
      </c>
      <c r="L107" s="119">
        <v>15000</v>
      </c>
      <c r="M107" s="233">
        <f t="shared" si="31"/>
        <v>0</v>
      </c>
      <c r="N107" s="120">
        <f>Perfils!$G$19</f>
        <v>64.3</v>
      </c>
      <c r="O107" s="119">
        <v>0</v>
      </c>
      <c r="P107" s="119">
        <v>0</v>
      </c>
      <c r="Q107" s="242">
        <f t="shared" si="32"/>
        <v>44621</v>
      </c>
      <c r="R107" s="242">
        <f t="shared" si="22"/>
        <v>44713</v>
      </c>
      <c r="S107" s="241">
        <v>3</v>
      </c>
      <c r="T107" s="243">
        <f>ROUND((S107*U136*0.25)/12,2)</f>
        <v>0</v>
      </c>
      <c r="U107" s="244">
        <f t="shared" si="33"/>
        <v>25000</v>
      </c>
    </row>
    <row r="108" spans="1:21" s="65" customFormat="1" ht="30" x14ac:dyDescent="0.25">
      <c r="A108" s="256" t="s">
        <v>329</v>
      </c>
      <c r="B108" s="220" t="s">
        <v>222</v>
      </c>
      <c r="C108" s="30" t="s">
        <v>297</v>
      </c>
      <c r="D108" s="188" t="s">
        <v>296</v>
      </c>
      <c r="E108" s="188" t="s">
        <v>295</v>
      </c>
      <c r="F108" s="230" t="s">
        <v>307</v>
      </c>
      <c r="G108" s="233">
        <f t="shared" si="29"/>
        <v>825.08250825082507</v>
      </c>
      <c r="H108" s="118">
        <f>Perfils!$G$7</f>
        <v>60.6</v>
      </c>
      <c r="I108" s="119">
        <v>50000</v>
      </c>
      <c r="J108" s="233">
        <f t="shared" si="30"/>
        <v>1227.0942408376964</v>
      </c>
      <c r="K108" s="120">
        <f>Perfils!$G$13</f>
        <v>61.12</v>
      </c>
      <c r="L108" s="119">
        <v>75000</v>
      </c>
      <c r="M108" s="233">
        <f t="shared" si="31"/>
        <v>0</v>
      </c>
      <c r="N108" s="120">
        <f>Perfils!$G$19</f>
        <v>64.3</v>
      </c>
      <c r="O108" s="119">
        <v>0</v>
      </c>
      <c r="P108" s="119">
        <v>0</v>
      </c>
      <c r="Q108" s="242">
        <f t="shared" si="32"/>
        <v>44652</v>
      </c>
      <c r="R108" s="242">
        <f t="shared" si="22"/>
        <v>44713</v>
      </c>
      <c r="S108" s="241">
        <v>2</v>
      </c>
      <c r="T108" s="243">
        <f>ROUND((S108*U161*0.25)/12,2)</f>
        <v>0</v>
      </c>
      <c r="U108" s="244">
        <f t="shared" si="33"/>
        <v>125000</v>
      </c>
    </row>
    <row r="109" spans="1:21" s="65" customFormat="1" x14ac:dyDescent="0.25">
      <c r="A109" s="256" t="s">
        <v>329</v>
      </c>
      <c r="B109" s="220" t="s">
        <v>224</v>
      </c>
      <c r="C109" s="30" t="s">
        <v>301</v>
      </c>
      <c r="D109" s="188" t="s">
        <v>240</v>
      </c>
      <c r="E109" s="188" t="s">
        <v>239</v>
      </c>
      <c r="F109" s="230" t="s">
        <v>307</v>
      </c>
      <c r="G109" s="233">
        <f t="shared" si="29"/>
        <v>363.03630363036302</v>
      </c>
      <c r="H109" s="118">
        <f>Perfils!$G$7</f>
        <v>60.6</v>
      </c>
      <c r="I109" s="119">
        <v>22000</v>
      </c>
      <c r="J109" s="233">
        <f t="shared" si="30"/>
        <v>539.9214659685864</v>
      </c>
      <c r="K109" s="120">
        <f>Perfils!$G$13</f>
        <v>61.12</v>
      </c>
      <c r="L109" s="119">
        <v>33000</v>
      </c>
      <c r="M109" s="233">
        <f t="shared" si="31"/>
        <v>0</v>
      </c>
      <c r="N109" s="120">
        <f>Perfils!$G$19</f>
        <v>64.3</v>
      </c>
      <c r="O109" s="119">
        <v>0</v>
      </c>
      <c r="P109" s="119">
        <v>0</v>
      </c>
      <c r="Q109" s="242">
        <f t="shared" si="32"/>
        <v>44652</v>
      </c>
      <c r="R109" s="242">
        <f t="shared" si="22"/>
        <v>44713</v>
      </c>
      <c r="S109" s="241">
        <v>2</v>
      </c>
      <c r="T109" s="243">
        <f>ROUND((S109*U164*0.25)/12,2)</f>
        <v>0</v>
      </c>
      <c r="U109" s="244">
        <f t="shared" si="33"/>
        <v>55000</v>
      </c>
    </row>
    <row r="110" spans="1:21" s="65" customFormat="1" x14ac:dyDescent="0.25">
      <c r="A110" s="256" t="s">
        <v>329</v>
      </c>
      <c r="B110" s="220" t="s">
        <v>224</v>
      </c>
      <c r="C110" s="30" t="s">
        <v>301</v>
      </c>
      <c r="D110" s="188" t="s">
        <v>245</v>
      </c>
      <c r="E110" s="188" t="s">
        <v>244</v>
      </c>
      <c r="F110" s="230" t="s">
        <v>307</v>
      </c>
      <c r="G110" s="233">
        <f t="shared" si="29"/>
        <v>165.01650165016503</v>
      </c>
      <c r="H110" s="118">
        <f>Perfils!$G$7</f>
        <v>60.6</v>
      </c>
      <c r="I110" s="119">
        <v>10000</v>
      </c>
      <c r="J110" s="233">
        <f t="shared" si="30"/>
        <v>245.41884816753927</v>
      </c>
      <c r="K110" s="120">
        <f>Perfils!$G$13</f>
        <v>61.12</v>
      </c>
      <c r="L110" s="119">
        <v>15000</v>
      </c>
      <c r="M110" s="233">
        <f t="shared" si="31"/>
        <v>0</v>
      </c>
      <c r="N110" s="120">
        <f>Perfils!$G$19</f>
        <v>64.3</v>
      </c>
      <c r="O110" s="119">
        <v>0</v>
      </c>
      <c r="P110" s="119">
        <v>0</v>
      </c>
      <c r="Q110" s="242">
        <f t="shared" si="32"/>
        <v>44652</v>
      </c>
      <c r="R110" s="242">
        <f t="shared" si="22"/>
        <v>44713</v>
      </c>
      <c r="S110" s="241">
        <v>2</v>
      </c>
      <c r="T110" s="243">
        <f>ROUND((S110*U165*0.25)/12,2)</f>
        <v>0</v>
      </c>
      <c r="U110" s="244">
        <f t="shared" si="33"/>
        <v>25000</v>
      </c>
    </row>
    <row r="111" spans="1:21" s="65" customFormat="1" x14ac:dyDescent="0.25">
      <c r="A111" s="256" t="s">
        <v>329</v>
      </c>
      <c r="B111" s="220" t="s">
        <v>224</v>
      </c>
      <c r="C111" s="30" t="s">
        <v>301</v>
      </c>
      <c r="D111" s="188" t="s">
        <v>250</v>
      </c>
      <c r="E111" s="188" t="s">
        <v>249</v>
      </c>
      <c r="F111" s="230" t="s">
        <v>307</v>
      </c>
      <c r="G111" s="233">
        <f t="shared" si="29"/>
        <v>165.01650165016503</v>
      </c>
      <c r="H111" s="118">
        <f>Perfils!$G$7</f>
        <v>60.6</v>
      </c>
      <c r="I111" s="119">
        <v>10000</v>
      </c>
      <c r="J111" s="233">
        <f t="shared" si="30"/>
        <v>245.41884816753927</v>
      </c>
      <c r="K111" s="120">
        <f>Perfils!$G$13</f>
        <v>61.12</v>
      </c>
      <c r="L111" s="119">
        <v>15000</v>
      </c>
      <c r="M111" s="233">
        <f t="shared" si="31"/>
        <v>0</v>
      </c>
      <c r="N111" s="120">
        <f>Perfils!$G$19</f>
        <v>64.3</v>
      </c>
      <c r="O111" s="119">
        <v>0</v>
      </c>
      <c r="P111" s="119">
        <v>0</v>
      </c>
      <c r="Q111" s="242">
        <f t="shared" si="32"/>
        <v>44652</v>
      </c>
      <c r="R111" s="242">
        <f t="shared" si="22"/>
        <v>44713</v>
      </c>
      <c r="S111" s="241">
        <v>2</v>
      </c>
      <c r="T111" s="243">
        <f>ROUND((S111*U166*0.25)/12,2)</f>
        <v>0</v>
      </c>
      <c r="U111" s="244">
        <f t="shared" si="33"/>
        <v>25000</v>
      </c>
    </row>
    <row r="112" spans="1:21" s="65" customFormat="1" x14ac:dyDescent="0.25">
      <c r="A112" s="256" t="s">
        <v>329</v>
      </c>
      <c r="B112" s="220" t="s">
        <v>224</v>
      </c>
      <c r="C112" s="30" t="s">
        <v>301</v>
      </c>
      <c r="D112" s="188" t="s">
        <v>235</v>
      </c>
      <c r="E112" s="188" t="s">
        <v>234</v>
      </c>
      <c r="F112" s="230" t="s">
        <v>307</v>
      </c>
      <c r="G112" s="233">
        <f t="shared" si="29"/>
        <v>165.01650165016503</v>
      </c>
      <c r="H112" s="118">
        <f>Perfils!$G$7</f>
        <v>60.6</v>
      </c>
      <c r="I112" s="119">
        <v>10000</v>
      </c>
      <c r="J112" s="233">
        <f t="shared" si="30"/>
        <v>245.41884816753927</v>
      </c>
      <c r="K112" s="120">
        <f>Perfils!$G$13</f>
        <v>61.12</v>
      </c>
      <c r="L112" s="119">
        <v>15000</v>
      </c>
      <c r="M112" s="233">
        <f t="shared" si="31"/>
        <v>0</v>
      </c>
      <c r="N112" s="120">
        <f>Perfils!$G$19</f>
        <v>64.3</v>
      </c>
      <c r="O112" s="119">
        <v>0</v>
      </c>
      <c r="P112" s="119">
        <v>0</v>
      </c>
      <c r="Q112" s="242">
        <f t="shared" si="32"/>
        <v>44652</v>
      </c>
      <c r="R112" s="242">
        <f t="shared" si="22"/>
        <v>44713</v>
      </c>
      <c r="S112" s="241">
        <v>2</v>
      </c>
      <c r="T112" s="243">
        <f>ROUND((S112*U167*0.25)/12,2)</f>
        <v>0</v>
      </c>
      <c r="U112" s="244">
        <f t="shared" si="33"/>
        <v>25000</v>
      </c>
    </row>
    <row r="113" spans="1:27" s="65" customFormat="1" x14ac:dyDescent="0.25">
      <c r="A113" s="256" t="s">
        <v>329</v>
      </c>
      <c r="B113" s="220" t="s">
        <v>225</v>
      </c>
      <c r="C113" s="30" t="s">
        <v>302</v>
      </c>
      <c r="D113" s="188" t="s">
        <v>258</v>
      </c>
      <c r="E113" s="188" t="s">
        <v>257</v>
      </c>
      <c r="F113" s="230" t="s">
        <v>307</v>
      </c>
      <c r="G113" s="233">
        <f t="shared" si="29"/>
        <v>363.03630363036302</v>
      </c>
      <c r="H113" s="118">
        <f>Perfils!$G$7</f>
        <v>60.6</v>
      </c>
      <c r="I113" s="119">
        <v>22000</v>
      </c>
      <c r="J113" s="233">
        <f t="shared" si="30"/>
        <v>539.9214659685864</v>
      </c>
      <c r="K113" s="120">
        <f>Perfils!$G$13</f>
        <v>61.12</v>
      </c>
      <c r="L113" s="119">
        <v>33000</v>
      </c>
      <c r="M113" s="233">
        <f t="shared" si="31"/>
        <v>0</v>
      </c>
      <c r="N113" s="120">
        <f>Perfils!$G$19</f>
        <v>64.3</v>
      </c>
      <c r="O113" s="119">
        <v>0</v>
      </c>
      <c r="P113" s="119">
        <v>0</v>
      </c>
      <c r="Q113" s="242">
        <f t="shared" si="32"/>
        <v>44652</v>
      </c>
      <c r="R113" s="242">
        <f t="shared" si="22"/>
        <v>44713</v>
      </c>
      <c r="S113" s="241">
        <v>2</v>
      </c>
      <c r="T113" s="243">
        <f>ROUND((S113*U168*0.25)/12,2)</f>
        <v>0</v>
      </c>
      <c r="U113" s="244">
        <f t="shared" si="33"/>
        <v>55000</v>
      </c>
    </row>
    <row r="114" spans="1:27" s="65" customFormat="1" x14ac:dyDescent="0.25">
      <c r="A114" s="256" t="s">
        <v>308</v>
      </c>
      <c r="B114" s="220" t="s">
        <v>226</v>
      </c>
      <c r="C114" s="188" t="s">
        <v>286</v>
      </c>
      <c r="D114" s="188" t="s">
        <v>303</v>
      </c>
      <c r="E114" s="188" t="s">
        <v>286</v>
      </c>
      <c r="F114" s="230" t="s">
        <v>308</v>
      </c>
      <c r="G114" s="233">
        <f t="shared" si="29"/>
        <v>0</v>
      </c>
      <c r="H114" s="118">
        <f>Perfils!$G$7</f>
        <v>60.6</v>
      </c>
      <c r="I114" s="119"/>
      <c r="J114" s="233">
        <f t="shared" si="30"/>
        <v>0</v>
      </c>
      <c r="K114" s="120">
        <f>Perfils!$G$13</f>
        <v>61.12</v>
      </c>
      <c r="L114" s="119">
        <v>0</v>
      </c>
      <c r="M114" s="233">
        <f t="shared" si="31"/>
        <v>6792.2511664074655</v>
      </c>
      <c r="N114" s="120">
        <f>Perfils!$G$19</f>
        <v>64.3</v>
      </c>
      <c r="O114" s="119">
        <v>436741.75</v>
      </c>
      <c r="P114" s="119">
        <v>0</v>
      </c>
      <c r="Q114" s="242">
        <f t="shared" si="32"/>
        <v>44652</v>
      </c>
      <c r="R114" s="242">
        <f t="shared" si="22"/>
        <v>44713</v>
      </c>
      <c r="S114" s="241">
        <v>2</v>
      </c>
      <c r="T114" s="243">
        <v>3110.62</v>
      </c>
      <c r="U114" s="244">
        <f t="shared" si="33"/>
        <v>436741.75</v>
      </c>
    </row>
    <row r="115" spans="1:27" s="65" customFormat="1" ht="15.75" x14ac:dyDescent="0.25">
      <c r="B115" s="67" t="s">
        <v>116</v>
      </c>
      <c r="C115" s="191"/>
      <c r="D115" s="192"/>
      <c r="E115" s="193"/>
      <c r="F115" s="231"/>
      <c r="G115" s="258">
        <f>SUM(G68:G114)</f>
        <v>15164.186679874732</v>
      </c>
      <c r="H115" s="189"/>
      <c r="I115" s="190">
        <f>SUM(I68:I114)</f>
        <v>918949.71280040871</v>
      </c>
      <c r="J115" s="258">
        <f>SUM(J68:J114)</f>
        <v>22552.758003936735</v>
      </c>
      <c r="K115" s="189"/>
      <c r="L115" s="190">
        <f>SUM(L68:L114)</f>
        <v>1378424.5692006131</v>
      </c>
      <c r="M115" s="258">
        <f>SUM(M68:M114)</f>
        <v>6792.2511664074655</v>
      </c>
      <c r="N115" s="189"/>
      <c r="O115" s="190">
        <f>SUM(O68:O114)</f>
        <v>526741.75</v>
      </c>
      <c r="P115" s="190">
        <f>SUM(P68:P114)</f>
        <v>10229</v>
      </c>
      <c r="Q115" s="189"/>
      <c r="R115" s="189"/>
      <c r="S115" s="189"/>
      <c r="T115" s="190">
        <f>SUM(T68:T114)</f>
        <v>3110.62</v>
      </c>
      <c r="U115" s="190">
        <f>SUM(U68:U114)</f>
        <v>2834345.0320010218</v>
      </c>
    </row>
    <row r="116" spans="1:27" s="65" customFormat="1" x14ac:dyDescent="0.25">
      <c r="B116" s="2"/>
      <c r="C116" s="104"/>
      <c r="D116" s="182"/>
      <c r="E116" s="117"/>
      <c r="F116" s="232"/>
      <c r="G116" s="118"/>
      <c r="H116" s="118"/>
      <c r="I116" s="119"/>
      <c r="J116" s="118"/>
      <c r="K116" s="120"/>
      <c r="L116" s="119"/>
      <c r="M116" s="118"/>
      <c r="N116" s="120"/>
      <c r="O116" s="119"/>
      <c r="P116" s="119"/>
      <c r="Q116" s="130"/>
      <c r="R116" s="130"/>
      <c r="S116" s="215"/>
      <c r="T116" s="131"/>
    </row>
    <row r="117" spans="1:27" s="65" customFormat="1" x14ac:dyDescent="0.25">
      <c r="B117" s="2"/>
      <c r="C117" s="104"/>
      <c r="D117" s="182"/>
      <c r="E117" s="234" t="s">
        <v>309</v>
      </c>
      <c r="F117" s="235"/>
      <c r="G117" s="236">
        <f>(G115/$E$66/8)/20</f>
        <v>7.8980138957680897</v>
      </c>
      <c r="H117" s="236"/>
      <c r="I117" s="236"/>
      <c r="J117" s="236">
        <f>(J115/$E$66/8)/20</f>
        <v>11.746228127050383</v>
      </c>
      <c r="K117" s="237"/>
      <c r="L117" s="238"/>
      <c r="M117" s="236">
        <f>(M115/$E$66/8)/20</f>
        <v>3.5376308158372218</v>
      </c>
      <c r="N117" s="120" t="s">
        <v>319</v>
      </c>
      <c r="O117" s="118"/>
      <c r="P117" s="118"/>
      <c r="Q117" s="130"/>
      <c r="R117" s="130"/>
      <c r="S117" s="215"/>
      <c r="T117" s="118"/>
    </row>
    <row r="118" spans="1:27" s="65" customFormat="1" x14ac:dyDescent="0.25">
      <c r="B118" s="2"/>
      <c r="C118" s="104"/>
      <c r="D118" s="182"/>
      <c r="E118" s="117"/>
      <c r="F118" s="232"/>
      <c r="G118" s="118"/>
      <c r="H118" s="118"/>
      <c r="I118" s="119"/>
      <c r="J118" s="118"/>
      <c r="K118" s="120"/>
      <c r="L118" s="119"/>
      <c r="M118" s="118"/>
      <c r="N118" s="120"/>
      <c r="O118" s="119"/>
      <c r="P118" s="119"/>
      <c r="Q118" s="130"/>
      <c r="R118" s="130"/>
      <c r="S118" s="215"/>
      <c r="T118" s="131"/>
    </row>
    <row r="119" spans="1:27" x14ac:dyDescent="0.25">
      <c r="A119" s="60"/>
      <c r="B119" s="219"/>
      <c r="C119" s="59"/>
      <c r="D119" s="58"/>
      <c r="E119" s="59"/>
      <c r="F119" s="229"/>
      <c r="H119" s="58"/>
      <c r="R119" s="60"/>
      <c r="S119" s="219"/>
      <c r="U119" s="60"/>
      <c r="W119" s="61"/>
      <c r="X119" s="102"/>
      <c r="AA119" s="61"/>
    </row>
    <row r="120" spans="1:27" x14ac:dyDescent="0.25">
      <c r="A120" s="60"/>
      <c r="B120" s="219"/>
      <c r="C120" s="59"/>
      <c r="D120" s="58"/>
      <c r="E120" s="59"/>
      <c r="F120" s="229"/>
      <c r="H120" s="58"/>
      <c r="R120" s="60"/>
      <c r="S120" s="219"/>
      <c r="U120" s="60"/>
      <c r="W120" s="61"/>
      <c r="X120" s="102"/>
      <c r="AA120" s="61"/>
    </row>
    <row r="121" spans="1:27" x14ac:dyDescent="0.25">
      <c r="A121" s="60"/>
      <c r="B121" s="219"/>
      <c r="C121" s="59"/>
      <c r="D121" s="58"/>
      <c r="E121" s="59"/>
      <c r="F121" s="229"/>
      <c r="H121" s="58"/>
      <c r="R121" s="60"/>
      <c r="S121" s="219"/>
      <c r="U121" s="60"/>
      <c r="W121" s="61"/>
      <c r="X121" s="102"/>
      <c r="AA121" s="61"/>
    </row>
  </sheetData>
  <sheetProtection insertColumns="0" insertRows="0" sort="0" pivotTables="0"/>
  <autoFilter ref="B13:AA6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6" r:id="rId4" name="Control 22">
          <controlPr defaultSize="0" r:id="rId5">
            <anchor moveWithCells="1">
              <from>
                <xdr:col>1</xdr:col>
                <xdr:colOff>161925</xdr:colOff>
                <xdr:row>63</xdr:row>
                <xdr:rowOff>171450</xdr:rowOff>
              </from>
              <to>
                <xdr:col>2</xdr:col>
                <xdr:colOff>304800</xdr:colOff>
                <xdr:row>65</xdr:row>
                <xdr:rowOff>19050</xdr:rowOff>
              </to>
            </anchor>
          </controlPr>
        </control>
      </mc:Choice>
      <mc:Fallback>
        <control shapeId="1046" r:id="rId4" name="Control 22"/>
      </mc:Fallback>
    </mc:AlternateContent>
    <mc:AlternateContent xmlns:mc="http://schemas.openxmlformats.org/markup-compatibility/2006">
      <mc:Choice Requires="x14">
        <control shapeId="1042" r:id="rId6" name="Control 18">
          <controlPr defaultSize="0" r:id="rId7">
            <anchor moveWithCells="1">
              <from>
                <xdr:col>1</xdr:col>
                <xdr:colOff>161925</xdr:colOff>
                <xdr:row>63</xdr:row>
                <xdr:rowOff>171450</xdr:rowOff>
              </from>
              <to>
                <xdr:col>2</xdr:col>
                <xdr:colOff>304800</xdr:colOff>
                <xdr:row>65</xdr:row>
                <xdr:rowOff>19050</xdr:rowOff>
              </to>
            </anchor>
          </controlPr>
        </control>
      </mc:Choice>
      <mc:Fallback>
        <control shapeId="1042" r:id="rId6" name="Control 18"/>
      </mc:Fallback>
    </mc:AlternateContent>
    <mc:AlternateContent xmlns:mc="http://schemas.openxmlformats.org/markup-compatibility/2006">
      <mc:Choice Requires="x14">
        <control shapeId="1038" r:id="rId8" name="Control 14">
          <controlPr defaultSize="0" r:id="rId9">
            <anchor moveWithCells="1">
              <from>
                <xdr:col>1</xdr:col>
                <xdr:colOff>161925</xdr:colOff>
                <xdr:row>63</xdr:row>
                <xdr:rowOff>171450</xdr:rowOff>
              </from>
              <to>
                <xdr:col>2</xdr:col>
                <xdr:colOff>304800</xdr:colOff>
                <xdr:row>65</xdr:row>
                <xdr:rowOff>19050</xdr:rowOff>
              </to>
            </anchor>
          </controlPr>
        </control>
      </mc:Choice>
      <mc:Fallback>
        <control shapeId="1038" r:id="rId8" name="Control 14"/>
      </mc:Fallback>
    </mc:AlternateContent>
    <mc:AlternateContent xmlns:mc="http://schemas.openxmlformats.org/markup-compatibility/2006">
      <mc:Choice Requires="x14">
        <control shapeId="1034" r:id="rId10" name="Control 10">
          <controlPr defaultSize="0" r:id="rId11">
            <anchor moveWithCells="1">
              <from>
                <xdr:col>1</xdr:col>
                <xdr:colOff>161925</xdr:colOff>
                <xdr:row>63</xdr:row>
                <xdr:rowOff>171450</xdr:rowOff>
              </from>
              <to>
                <xdr:col>2</xdr:col>
                <xdr:colOff>304800</xdr:colOff>
                <xdr:row>65</xdr:row>
                <xdr:rowOff>19050</xdr:rowOff>
              </to>
            </anchor>
          </controlPr>
        </control>
      </mc:Choice>
      <mc:Fallback>
        <control shapeId="1034" r:id="rId10" name="Control 10"/>
      </mc:Fallback>
    </mc:AlternateContent>
    <mc:AlternateContent xmlns:mc="http://schemas.openxmlformats.org/markup-compatibility/2006">
      <mc:Choice Requires="x14">
        <control shapeId="1030" r:id="rId12" name="Control 6">
          <controlPr defaultSize="0" r:id="rId13">
            <anchor moveWithCells="1">
              <from>
                <xdr:col>1</xdr:col>
                <xdr:colOff>161925</xdr:colOff>
                <xdr:row>63</xdr:row>
                <xdr:rowOff>171450</xdr:rowOff>
              </from>
              <to>
                <xdr:col>2</xdr:col>
                <xdr:colOff>304800</xdr:colOff>
                <xdr:row>65</xdr:row>
                <xdr:rowOff>19050</xdr:rowOff>
              </to>
            </anchor>
          </controlPr>
        </control>
      </mc:Choice>
      <mc:Fallback>
        <control shapeId="1030" r:id="rId12" name="Control 6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7"/>
  <sheetViews>
    <sheetView showGridLines="0" topLeftCell="A10" zoomScaleNormal="100" workbookViewId="0">
      <selection activeCell="C19" sqref="C19:E19"/>
    </sheetView>
  </sheetViews>
  <sheetFormatPr defaultColWidth="11.42578125" defaultRowHeight="15" x14ac:dyDescent="0.25"/>
  <cols>
    <col min="1" max="1" width="16.5703125" customWidth="1"/>
    <col min="2" max="2" width="30.7109375" customWidth="1"/>
    <col min="3" max="3" width="68.42578125" bestFit="1" customWidth="1"/>
    <col min="4" max="4" width="13.85546875" customWidth="1"/>
    <col min="5" max="6" width="13.28515625" customWidth="1"/>
    <col min="7" max="7" width="17.28515625" customWidth="1"/>
    <col min="8" max="8" width="15.28515625" bestFit="1" customWidth="1"/>
    <col min="10" max="10" width="16" customWidth="1"/>
    <col min="11" max="11" width="30.5703125" bestFit="1" customWidth="1"/>
  </cols>
  <sheetData>
    <row r="1" spans="2:8" ht="12" customHeight="1" x14ac:dyDescent="0.25">
      <c r="B1" s="69"/>
    </row>
    <row r="2" spans="2:8" ht="35.25" customHeight="1" x14ac:dyDescent="0.25">
      <c r="B2" s="70" t="s">
        <v>4</v>
      </c>
      <c r="C2" s="70" t="s">
        <v>5</v>
      </c>
      <c r="D2" s="70" t="s">
        <v>6</v>
      </c>
      <c r="E2" s="208" t="s">
        <v>192</v>
      </c>
      <c r="F2" s="208" t="s">
        <v>193</v>
      </c>
      <c r="G2" s="208" t="s">
        <v>196</v>
      </c>
      <c r="H2" s="56"/>
    </row>
    <row r="3" spans="2:8" ht="15" customHeight="1" x14ac:dyDescent="0.25">
      <c r="B3" s="264" t="s">
        <v>7</v>
      </c>
      <c r="C3" s="184" t="s">
        <v>339</v>
      </c>
      <c r="D3" s="73">
        <v>0.05</v>
      </c>
      <c r="E3" s="71">
        <f>+D27</f>
        <v>77.28</v>
      </c>
      <c r="F3" s="71">
        <f>+E27</f>
        <v>63.87</v>
      </c>
      <c r="G3" s="71">
        <f t="shared" ref="G3" si="0">E3*D3</f>
        <v>3.8640000000000003</v>
      </c>
    </row>
    <row r="4" spans="2:8" x14ac:dyDescent="0.25">
      <c r="B4" s="264"/>
      <c r="C4" s="184" t="s">
        <v>332</v>
      </c>
      <c r="D4" s="73">
        <v>0.7</v>
      </c>
      <c r="E4" s="71">
        <f>+D26</f>
        <v>64.150000000000006</v>
      </c>
      <c r="F4" s="71">
        <f>+E26</f>
        <v>53.02</v>
      </c>
      <c r="G4" s="71">
        <f t="shared" ref="G4:G5" si="1">E4*D4</f>
        <v>44.905000000000001</v>
      </c>
      <c r="H4" s="56"/>
    </row>
    <row r="5" spans="2:8" x14ac:dyDescent="0.25">
      <c r="B5" s="264"/>
      <c r="C5" s="184" t="s">
        <v>331</v>
      </c>
      <c r="D5" s="73">
        <v>0.2</v>
      </c>
      <c r="E5" s="71">
        <f>+D25</f>
        <v>48.25</v>
      </c>
      <c r="F5" s="71">
        <f>+E25</f>
        <v>39.880000000000003</v>
      </c>
      <c r="G5" s="71">
        <f t="shared" si="1"/>
        <v>9.65</v>
      </c>
      <c r="H5" s="56"/>
    </row>
    <row r="6" spans="2:8" x14ac:dyDescent="0.25">
      <c r="B6" s="264"/>
      <c r="C6" s="184" t="s">
        <v>330</v>
      </c>
      <c r="D6" s="73">
        <v>0.05</v>
      </c>
      <c r="E6" s="71">
        <f>+D24</f>
        <v>43.58</v>
      </c>
      <c r="F6" s="71">
        <f>+E24</f>
        <v>36.020000000000003</v>
      </c>
      <c r="G6" s="71">
        <f t="shared" ref="G6" si="2">E6*D6</f>
        <v>2.1789999999999998</v>
      </c>
      <c r="H6" s="56"/>
    </row>
    <row r="7" spans="2:8" x14ac:dyDescent="0.25">
      <c r="B7" s="264"/>
      <c r="C7" s="263" t="s">
        <v>117</v>
      </c>
      <c r="D7" s="263"/>
      <c r="E7" s="263"/>
      <c r="F7" s="207"/>
      <c r="G7" s="72">
        <f>ROUND(SUM(G3:G6),2)</f>
        <v>60.6</v>
      </c>
      <c r="H7" s="121">
        <f>SUM(D3:D6)</f>
        <v>1</v>
      </c>
    </row>
    <row r="8" spans="2:8" x14ac:dyDescent="0.25">
      <c r="B8" s="264" t="s">
        <v>13</v>
      </c>
      <c r="C8" s="184" t="s">
        <v>339</v>
      </c>
      <c r="D8" s="73">
        <v>0.15</v>
      </c>
      <c r="E8" s="71">
        <f>+D27</f>
        <v>77.28</v>
      </c>
      <c r="F8" s="71">
        <f>+E27</f>
        <v>63.87</v>
      </c>
      <c r="G8" s="71">
        <f t="shared" ref="G8:G12" si="3">E8*D8</f>
        <v>11.592000000000001</v>
      </c>
    </row>
    <row r="9" spans="2:8" x14ac:dyDescent="0.25">
      <c r="B9" s="264"/>
      <c r="C9" s="184" t="s">
        <v>332</v>
      </c>
      <c r="D9" s="73">
        <v>0.5</v>
      </c>
      <c r="E9" s="71">
        <f>+D26</f>
        <v>64.150000000000006</v>
      </c>
      <c r="F9" s="71">
        <f>+E26</f>
        <v>53.02</v>
      </c>
      <c r="G9" s="71">
        <f t="shared" si="3"/>
        <v>32.075000000000003</v>
      </c>
    </row>
    <row r="10" spans="2:8" x14ac:dyDescent="0.25">
      <c r="B10" s="264"/>
      <c r="C10" s="184" t="s">
        <v>331</v>
      </c>
      <c r="D10" s="73">
        <v>0.25</v>
      </c>
      <c r="E10" s="71">
        <f>+D25</f>
        <v>48.25</v>
      </c>
      <c r="F10" s="71">
        <f>+E25</f>
        <v>39.880000000000003</v>
      </c>
      <c r="G10" s="71">
        <f t="shared" si="3"/>
        <v>12.0625</v>
      </c>
      <c r="H10" s="121"/>
    </row>
    <row r="11" spans="2:8" x14ac:dyDescent="0.25">
      <c r="B11" s="264"/>
      <c r="C11" s="184" t="s">
        <v>333</v>
      </c>
      <c r="D11" s="73">
        <v>0.05</v>
      </c>
      <c r="E11" s="71">
        <f>+D26</f>
        <v>64.150000000000006</v>
      </c>
      <c r="F11" s="71">
        <f>+E26</f>
        <v>53.02</v>
      </c>
      <c r="G11" s="71">
        <f t="shared" si="3"/>
        <v>3.2075000000000005</v>
      </c>
      <c r="H11" s="121"/>
    </row>
    <row r="12" spans="2:8" x14ac:dyDescent="0.25">
      <c r="B12" s="264"/>
      <c r="C12" s="184" t="s">
        <v>330</v>
      </c>
      <c r="D12" s="73">
        <v>0.05</v>
      </c>
      <c r="E12" s="71">
        <f>+D24</f>
        <v>43.58</v>
      </c>
      <c r="F12" s="71">
        <f>+E24</f>
        <v>36.020000000000003</v>
      </c>
      <c r="G12" s="71">
        <f t="shared" si="3"/>
        <v>2.1789999999999998</v>
      </c>
      <c r="H12" s="121"/>
    </row>
    <row r="13" spans="2:8" x14ac:dyDescent="0.25">
      <c r="B13" s="264"/>
      <c r="C13" s="263" t="s">
        <v>117</v>
      </c>
      <c r="D13" s="263"/>
      <c r="E13" s="263"/>
      <c r="F13" s="207"/>
      <c r="G13" s="72">
        <f>ROUND(SUM(G8:G12),2)</f>
        <v>61.12</v>
      </c>
      <c r="H13" s="121">
        <f>SUM(D8:D12)</f>
        <v>1</v>
      </c>
    </row>
    <row r="14" spans="2:8" x14ac:dyDescent="0.25">
      <c r="B14" s="265" t="s">
        <v>199</v>
      </c>
      <c r="C14" s="184" t="s">
        <v>339</v>
      </c>
      <c r="D14" s="73">
        <v>0.15</v>
      </c>
      <c r="E14" s="71">
        <f>+D27</f>
        <v>77.28</v>
      </c>
      <c r="F14" s="71">
        <f>+E27</f>
        <v>63.87</v>
      </c>
      <c r="G14" s="71">
        <f>E14*D14</f>
        <v>11.592000000000001</v>
      </c>
    </row>
    <row r="15" spans="2:8" x14ac:dyDescent="0.25">
      <c r="B15" s="265"/>
      <c r="C15" s="184" t="s">
        <v>332</v>
      </c>
      <c r="D15" s="73">
        <v>0.65</v>
      </c>
      <c r="E15" s="71">
        <f>+D26</f>
        <v>64.150000000000006</v>
      </c>
      <c r="F15" s="71">
        <f>+E26</f>
        <v>53.02</v>
      </c>
      <c r="G15" s="71">
        <f t="shared" ref="G15:G17" si="4">E15*D15</f>
        <v>41.697500000000005</v>
      </c>
    </row>
    <row r="16" spans="2:8" x14ac:dyDescent="0.25">
      <c r="B16" s="265"/>
      <c r="C16" s="184" t="s">
        <v>331</v>
      </c>
      <c r="D16" s="73">
        <v>0.05</v>
      </c>
      <c r="E16" s="71">
        <f>+D25</f>
        <v>48.25</v>
      </c>
      <c r="F16" s="71">
        <f>+E25</f>
        <v>39.880000000000003</v>
      </c>
      <c r="G16" s="71">
        <f t="shared" si="4"/>
        <v>2.4125000000000001</v>
      </c>
    </row>
    <row r="17" spans="2:8" x14ac:dyDescent="0.25">
      <c r="B17" s="265"/>
      <c r="C17" s="184" t="s">
        <v>334</v>
      </c>
      <c r="D17" s="73">
        <v>0.1</v>
      </c>
      <c r="E17" s="71">
        <f>+D26</f>
        <v>64.150000000000006</v>
      </c>
      <c r="F17" s="71">
        <f>+E26</f>
        <v>53.02</v>
      </c>
      <c r="G17" s="71">
        <f t="shared" si="4"/>
        <v>6.4150000000000009</v>
      </c>
    </row>
    <row r="18" spans="2:8" x14ac:dyDescent="0.25">
      <c r="B18" s="265"/>
      <c r="C18" s="184" t="s">
        <v>330</v>
      </c>
      <c r="D18" s="73">
        <v>0.05</v>
      </c>
      <c r="E18" s="71">
        <f>+D24</f>
        <v>43.58</v>
      </c>
      <c r="F18" s="71">
        <f>+E24</f>
        <v>36.020000000000003</v>
      </c>
      <c r="G18" s="71">
        <f t="shared" ref="G18" si="5">E18*D18</f>
        <v>2.1789999999999998</v>
      </c>
    </row>
    <row r="19" spans="2:8" x14ac:dyDescent="0.25">
      <c r="B19" s="265"/>
      <c r="C19" s="263" t="s">
        <v>117</v>
      </c>
      <c r="D19" s="263"/>
      <c r="E19" s="263"/>
      <c r="F19" s="207"/>
      <c r="G19" s="72">
        <f>ROUND(SUM(G14:G18),2)</f>
        <v>64.3</v>
      </c>
      <c r="H19" s="121">
        <f>SUM(D14:D18)</f>
        <v>1</v>
      </c>
    </row>
    <row r="22" spans="2:8" ht="15.75" thickBot="1" x14ac:dyDescent="0.3"/>
    <row r="23" spans="2:8" ht="30" x14ac:dyDescent="0.25">
      <c r="C23" s="175"/>
      <c r="D23" s="176" t="s">
        <v>175</v>
      </c>
      <c r="E23" s="176" t="s">
        <v>174</v>
      </c>
      <c r="F23" s="261"/>
    </row>
    <row r="24" spans="2:8" x14ac:dyDescent="0.25">
      <c r="C24" s="184" t="s">
        <v>330</v>
      </c>
      <c r="D24" s="260">
        <f>+ROUND(E24*1.21,2)</f>
        <v>43.58</v>
      </c>
      <c r="E24" s="185">
        <v>36.020000000000003</v>
      </c>
    </row>
    <row r="25" spans="2:8" x14ac:dyDescent="0.25">
      <c r="C25" s="184" t="s">
        <v>331</v>
      </c>
      <c r="D25" s="260">
        <f>+ROUND(E25*1.21,2)</f>
        <v>48.25</v>
      </c>
      <c r="E25" s="185">
        <v>39.880000000000003</v>
      </c>
    </row>
    <row r="26" spans="2:8" x14ac:dyDescent="0.25">
      <c r="C26" s="184" t="s">
        <v>335</v>
      </c>
      <c r="D26" s="260">
        <f t="shared" ref="D26:D27" si="6">+ROUND(E26*1.21,2)</f>
        <v>64.150000000000006</v>
      </c>
      <c r="E26" s="185">
        <v>53.02</v>
      </c>
    </row>
    <row r="27" spans="2:8" x14ac:dyDescent="0.25">
      <c r="C27" s="184" t="s">
        <v>177</v>
      </c>
      <c r="D27" s="260">
        <f t="shared" si="6"/>
        <v>77.28</v>
      </c>
      <c r="E27" s="185">
        <v>63.87</v>
      </c>
    </row>
  </sheetData>
  <mergeCells count="6">
    <mergeCell ref="C7:E7"/>
    <mergeCell ref="C13:E13"/>
    <mergeCell ref="C19:E19"/>
    <mergeCell ref="B3:B7"/>
    <mergeCell ref="B8:B13"/>
    <mergeCell ref="B14:B1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56"/>
  <sheetViews>
    <sheetView showGridLines="0" topLeftCell="A31" zoomScale="110" zoomScaleNormal="110" workbookViewId="0">
      <selection activeCell="A15" sqref="A15:D19"/>
    </sheetView>
  </sheetViews>
  <sheetFormatPr defaultColWidth="10.85546875" defaultRowHeight="12.75" x14ac:dyDescent="0.2"/>
  <cols>
    <col min="1" max="1" width="31" style="78" customWidth="1"/>
    <col min="2" max="2" width="21.28515625" style="78" customWidth="1"/>
    <col min="3" max="3" width="21.42578125" style="78" customWidth="1"/>
    <col min="4" max="4" width="24.85546875" style="78" customWidth="1"/>
    <col min="5" max="6" width="18.42578125" style="78" customWidth="1"/>
    <col min="7" max="7" width="14.140625" style="78" bestFit="1" customWidth="1"/>
    <col min="8" max="8" width="16.85546875" style="78" customWidth="1"/>
    <col min="9" max="9" width="12.5703125" style="78" customWidth="1"/>
    <col min="10" max="10" width="18.85546875" style="78" bestFit="1" customWidth="1"/>
    <col min="11" max="11" width="14.140625" style="78" customWidth="1"/>
    <col min="12" max="12" width="13.140625" style="78" customWidth="1"/>
    <col min="13" max="13" width="13.42578125" style="78" customWidth="1"/>
    <col min="14" max="14" width="15.7109375" style="78" customWidth="1"/>
    <col min="15" max="15" width="14.5703125" style="78" customWidth="1"/>
    <col min="16" max="16" width="18.140625" style="78" customWidth="1"/>
    <col min="17" max="16384" width="10.85546875" style="78"/>
  </cols>
  <sheetData>
    <row r="2" spans="1:16" x14ac:dyDescent="0.2">
      <c r="A2" s="77" t="s">
        <v>129</v>
      </c>
    </row>
    <row r="4" spans="1:16" x14ac:dyDescent="0.2">
      <c r="A4" s="79"/>
      <c r="B4" s="270">
        <v>2022</v>
      </c>
      <c r="C4" s="271"/>
      <c r="D4" s="272"/>
      <c r="E4" s="270">
        <v>2023</v>
      </c>
      <c r="F4" s="271"/>
      <c r="G4" s="272"/>
      <c r="H4" s="270">
        <v>2024</v>
      </c>
      <c r="I4" s="271"/>
      <c r="J4" s="272"/>
    </row>
    <row r="5" spans="1:16" x14ac:dyDescent="0.2">
      <c r="A5" s="80" t="s">
        <v>131</v>
      </c>
      <c r="B5" s="81" t="s">
        <v>123</v>
      </c>
      <c r="C5" s="82" t="s">
        <v>124</v>
      </c>
      <c r="D5" s="82" t="s">
        <v>122</v>
      </c>
      <c r="E5" s="82" t="s">
        <v>123</v>
      </c>
      <c r="F5" s="82" t="s">
        <v>124</v>
      </c>
      <c r="G5" s="82" t="s">
        <v>122</v>
      </c>
      <c r="H5" s="82" t="s">
        <v>123</v>
      </c>
      <c r="I5" s="82" t="s">
        <v>124</v>
      </c>
      <c r="J5" s="82" t="s">
        <v>122</v>
      </c>
      <c r="K5" s="82" t="s">
        <v>139</v>
      </c>
      <c r="L5" s="82" t="s">
        <v>140</v>
      </c>
      <c r="M5" s="82" t="s">
        <v>141</v>
      </c>
    </row>
    <row r="6" spans="1:16" x14ac:dyDescent="0.2">
      <c r="A6" s="83" t="s">
        <v>7</v>
      </c>
      <c r="B6" s="126">
        <f>ROUND('Càlcul pressupost '!G6/1.21,2)</f>
        <v>503701.19</v>
      </c>
      <c r="C6" s="251">
        <f>ROUND(B6*0.21,2)+0.01</f>
        <v>105777.26</v>
      </c>
      <c r="D6" s="126">
        <f>+B6+C6</f>
        <v>609478.44999999995</v>
      </c>
      <c r="E6" s="126">
        <f>ROUND('Càlcul pressupost '!H6/1.21,2)</f>
        <v>759462.57</v>
      </c>
      <c r="F6" s="126">
        <f t="shared" ref="F6:F7" si="0">ROUND(E6*0.21,2)</f>
        <v>159487.14000000001</v>
      </c>
      <c r="G6" s="126">
        <f t="shared" ref="G6:G7" si="1">+E6+F6</f>
        <v>918949.71</v>
      </c>
      <c r="H6" s="126">
        <f>ROUND('Càlcul pressupost '!I6/1.21,2)</f>
        <v>759462.57</v>
      </c>
      <c r="I6" s="126">
        <f t="shared" ref="I6:I7" si="2">ROUND(H6*0.21,2)</f>
        <v>159487.14000000001</v>
      </c>
      <c r="J6" s="126">
        <f t="shared" ref="J6:J7" si="3">+H6+I6</f>
        <v>918949.71</v>
      </c>
      <c r="K6" s="126">
        <f>+B6+E6+H6</f>
        <v>2022626.33</v>
      </c>
      <c r="L6" s="126">
        <f>+C6+F6+I6</f>
        <v>424751.54000000004</v>
      </c>
      <c r="M6" s="126">
        <f>+D6+G6+J6</f>
        <v>2447377.87</v>
      </c>
    </row>
    <row r="7" spans="1:16" x14ac:dyDescent="0.2">
      <c r="A7" s="83" t="s">
        <v>13</v>
      </c>
      <c r="B7" s="126">
        <f>ROUND('Càlcul pressupost '!G7/1.21,2)</f>
        <v>900716.11</v>
      </c>
      <c r="C7" s="126">
        <f t="shared" ref="C7:C8" si="4">ROUND(B7*0.21,2)</f>
        <v>189150.38</v>
      </c>
      <c r="D7" s="126">
        <f t="shared" ref="D7" si="5">+B7+C7</f>
        <v>1089866.49</v>
      </c>
      <c r="E7" s="126">
        <f>ROUND('Càlcul pressupost '!H7/1.21,2)</f>
        <v>1139193.8600000001</v>
      </c>
      <c r="F7" s="126">
        <f t="shared" si="0"/>
        <v>239230.71</v>
      </c>
      <c r="G7" s="126">
        <f t="shared" si="1"/>
        <v>1378424.57</v>
      </c>
      <c r="H7" s="126">
        <f>ROUND('Càlcul pressupost '!I7/1.21,2)</f>
        <v>1139193.8600000001</v>
      </c>
      <c r="I7" s="126">
        <f t="shared" si="2"/>
        <v>239230.71</v>
      </c>
      <c r="J7" s="126">
        <f t="shared" si="3"/>
        <v>1378424.57</v>
      </c>
      <c r="K7" s="126">
        <f t="shared" ref="K7:K9" si="6">+B7+E7+H7</f>
        <v>3179103.83</v>
      </c>
      <c r="L7" s="126">
        <f t="shared" ref="L7:L9" si="7">+C7+F7+I7</f>
        <v>667611.79999999993</v>
      </c>
      <c r="M7" s="126">
        <f t="shared" ref="M7:M9" si="8">+D7+G7+J7</f>
        <v>3846715.63</v>
      </c>
    </row>
    <row r="8" spans="1:16" x14ac:dyDescent="0.2">
      <c r="A8" s="84" t="s">
        <v>199</v>
      </c>
      <c r="B8" s="126">
        <f>ROUND('Càlcul pressupost '!G8/1.21,2)</f>
        <v>282778.40000000002</v>
      </c>
      <c r="C8" s="126">
        <f t="shared" si="4"/>
        <v>59383.46</v>
      </c>
      <c r="D8" s="126">
        <f>+B8+C8</f>
        <v>342161.86000000004</v>
      </c>
      <c r="E8" s="126">
        <f>ROUND('Càlcul pressupost '!H8/1.21,2)</f>
        <v>443777.48</v>
      </c>
      <c r="F8" s="126">
        <f>ROUND(E8*0.21,2)</f>
        <v>93193.27</v>
      </c>
      <c r="G8" s="126">
        <f>+E8+F8</f>
        <v>536970.75</v>
      </c>
      <c r="H8" s="126">
        <f>ROUND('Càlcul pressupost '!I8/1.21,2)</f>
        <v>443777.48</v>
      </c>
      <c r="I8" s="126">
        <f>ROUND(H8*0.21,2)</f>
        <v>93193.27</v>
      </c>
      <c r="J8" s="126">
        <f>+H8+I8</f>
        <v>536970.75</v>
      </c>
      <c r="K8" s="126">
        <f t="shared" si="6"/>
        <v>1170333.3599999999</v>
      </c>
      <c r="L8" s="126">
        <f t="shared" si="7"/>
        <v>245770</v>
      </c>
      <c r="M8" s="126">
        <f t="shared" si="8"/>
        <v>1416103.36</v>
      </c>
    </row>
    <row r="9" spans="1:16" x14ac:dyDescent="0.2">
      <c r="A9" s="84" t="s">
        <v>190</v>
      </c>
      <c r="B9" s="126">
        <f>ROUND('Càlcul pressupost '!G9/1.21,2)</f>
        <v>0</v>
      </c>
      <c r="C9" s="126">
        <f t="shared" ref="C9" si="9">ROUND(B9*0.21,2)</f>
        <v>0</v>
      </c>
      <c r="D9" s="126">
        <f>+B9+C9</f>
        <v>0</v>
      </c>
      <c r="E9" s="126">
        <f>ROUND('Càlcul pressupost '!H9/1.21,2)</f>
        <v>8453.7199999999993</v>
      </c>
      <c r="F9" s="126">
        <f>ROUND(E9*0.21,2)</f>
        <v>1775.28</v>
      </c>
      <c r="G9" s="126">
        <f>+E9+F9</f>
        <v>10229</v>
      </c>
      <c r="H9" s="126">
        <f>ROUND('Càlcul pressupost '!I9/1.21,2)</f>
        <v>8453.7199999999993</v>
      </c>
      <c r="I9" s="126">
        <f>ROUND(H9*0.21,2)</f>
        <v>1775.28</v>
      </c>
      <c r="J9" s="126">
        <f>+H9+I9</f>
        <v>10229</v>
      </c>
      <c r="K9" s="126">
        <f t="shared" si="6"/>
        <v>16907.439999999999</v>
      </c>
      <c r="L9" s="126">
        <f t="shared" si="7"/>
        <v>3550.56</v>
      </c>
      <c r="M9" s="126">
        <f t="shared" si="8"/>
        <v>20458</v>
      </c>
    </row>
    <row r="10" spans="1:16" x14ac:dyDescent="0.2">
      <c r="B10" s="122">
        <f>SUM(B6:B9)</f>
        <v>1687195.7000000002</v>
      </c>
      <c r="C10" s="122">
        <f t="shared" ref="C10:D10" si="10">SUM(C6:C9)</f>
        <v>354311.10000000003</v>
      </c>
      <c r="D10" s="122">
        <f t="shared" si="10"/>
        <v>2041506.8</v>
      </c>
      <c r="E10" s="122">
        <f t="shared" ref="E10:M10" si="11">SUM(E6:E8)</f>
        <v>2342433.91</v>
      </c>
      <c r="F10" s="122">
        <f t="shared" si="11"/>
        <v>491911.12</v>
      </c>
      <c r="G10" s="122">
        <f t="shared" si="11"/>
        <v>2834345.0300000003</v>
      </c>
      <c r="H10" s="122">
        <f t="shared" si="11"/>
        <v>2342433.91</v>
      </c>
      <c r="I10" s="122">
        <f t="shared" si="11"/>
        <v>491911.12</v>
      </c>
      <c r="J10" s="122">
        <f t="shared" si="11"/>
        <v>2834345.0300000003</v>
      </c>
      <c r="K10" s="122">
        <f t="shared" si="11"/>
        <v>6372063.5199999996</v>
      </c>
      <c r="L10" s="122">
        <f t="shared" si="11"/>
        <v>1338133.3399999999</v>
      </c>
      <c r="M10" s="122">
        <f t="shared" si="11"/>
        <v>7710196.8600000003</v>
      </c>
    </row>
    <row r="11" spans="1:16" x14ac:dyDescent="0.2">
      <c r="P11" s="101"/>
    </row>
    <row r="12" spans="1:16" x14ac:dyDescent="0.2">
      <c r="A12" s="85" t="s">
        <v>128</v>
      </c>
    </row>
    <row r="13" spans="1:16" x14ac:dyDescent="0.2">
      <c r="A13" s="85"/>
    </row>
    <row r="14" spans="1:16" ht="18" customHeight="1" x14ac:dyDescent="0.2">
      <c r="A14" s="86" t="s">
        <v>154</v>
      </c>
    </row>
    <row r="15" spans="1:16" ht="21" customHeight="1" x14ac:dyDescent="0.2">
      <c r="A15" s="86" t="s">
        <v>125</v>
      </c>
      <c r="B15" s="86" t="s">
        <v>126</v>
      </c>
      <c r="C15" s="86" t="s">
        <v>127</v>
      </c>
      <c r="D15" s="86" t="s">
        <v>122</v>
      </c>
    </row>
    <row r="16" spans="1:16" x14ac:dyDescent="0.2">
      <c r="A16" s="87">
        <v>2022</v>
      </c>
      <c r="B16" s="123">
        <f>+B10</f>
        <v>1687195.7000000002</v>
      </c>
      <c r="C16" s="123">
        <f>+C10</f>
        <v>354311.10000000003</v>
      </c>
      <c r="D16" s="123">
        <f t="shared" ref="D16" si="12">+B16+C16</f>
        <v>2041506.8000000003</v>
      </c>
      <c r="E16" s="273" t="s">
        <v>180</v>
      </c>
      <c r="F16" s="274"/>
      <c r="G16" s="274"/>
      <c r="H16" s="274"/>
      <c r="I16" s="274"/>
      <c r="J16" s="274"/>
      <c r="K16" s="274"/>
      <c r="L16" s="274"/>
      <c r="M16" s="274"/>
      <c r="N16" s="274"/>
    </row>
    <row r="17" spans="1:14" x14ac:dyDescent="0.2">
      <c r="A17" s="87">
        <v>2023</v>
      </c>
      <c r="B17" s="123">
        <f>+E10</f>
        <v>2342433.91</v>
      </c>
      <c r="C17" s="123">
        <f>+F10</f>
        <v>491911.12</v>
      </c>
      <c r="D17" s="123">
        <f>+G10</f>
        <v>2834345.0300000003</v>
      </c>
      <c r="E17" s="273"/>
      <c r="F17" s="274"/>
      <c r="G17" s="274"/>
      <c r="H17" s="274"/>
      <c r="I17" s="274"/>
      <c r="J17" s="274"/>
      <c r="K17" s="274"/>
      <c r="L17" s="274"/>
      <c r="M17" s="274"/>
      <c r="N17" s="274"/>
    </row>
    <row r="18" spans="1:14" x14ac:dyDescent="0.2">
      <c r="A18" s="87">
        <v>2024</v>
      </c>
      <c r="B18" s="123">
        <f>+H10</f>
        <v>2342433.91</v>
      </c>
      <c r="C18" s="123">
        <f>+I10</f>
        <v>491911.12</v>
      </c>
      <c r="D18" s="123">
        <f>+J10</f>
        <v>2834345.0300000003</v>
      </c>
      <c r="E18" s="273"/>
      <c r="F18" s="274"/>
      <c r="G18" s="274"/>
      <c r="H18" s="274"/>
      <c r="I18" s="274"/>
      <c r="J18" s="274"/>
      <c r="K18" s="274"/>
      <c r="L18" s="274"/>
      <c r="M18" s="274"/>
      <c r="N18" s="274"/>
    </row>
    <row r="19" spans="1:14" x14ac:dyDescent="0.2">
      <c r="A19" s="87" t="s">
        <v>116</v>
      </c>
      <c r="B19" s="124">
        <f>SUM(B16:B18)</f>
        <v>6372063.5200000005</v>
      </c>
      <c r="C19" s="124">
        <f>SUM(C16:C18)</f>
        <v>1338133.3399999999</v>
      </c>
      <c r="D19" s="124">
        <f>SUM(D16:D18)</f>
        <v>7710196.8600000003</v>
      </c>
      <c r="E19" s="273"/>
      <c r="F19" s="274"/>
      <c r="G19" s="274"/>
      <c r="H19" s="274"/>
      <c r="I19" s="274"/>
      <c r="J19" s="274"/>
      <c r="K19" s="274"/>
      <c r="L19" s="274"/>
      <c r="M19" s="274"/>
      <c r="N19" s="274"/>
    </row>
    <row r="20" spans="1:14" ht="21.75" customHeight="1" x14ac:dyDescent="0.2">
      <c r="D20" s="187">
        <f>+B19*1.21</f>
        <v>7710196.8592000008</v>
      </c>
      <c r="E20" s="273"/>
      <c r="F20" s="274"/>
      <c r="G20" s="274"/>
      <c r="H20" s="274"/>
      <c r="I20" s="274"/>
      <c r="J20" s="274"/>
      <c r="K20" s="274"/>
      <c r="L20" s="274"/>
      <c r="M20" s="274"/>
      <c r="N20" s="274"/>
    </row>
    <row r="21" spans="1:14" ht="21.75" customHeight="1" x14ac:dyDescent="0.2">
      <c r="D21" s="140"/>
      <c r="E21" s="125"/>
    </row>
    <row r="22" spans="1:14" ht="21.75" customHeight="1" x14ac:dyDescent="0.2">
      <c r="D22" s="140"/>
      <c r="E22" s="125"/>
    </row>
    <row r="23" spans="1:14" x14ac:dyDescent="0.2">
      <c r="A23" s="85" t="s">
        <v>130</v>
      </c>
      <c r="E23" s="125"/>
    </row>
    <row r="24" spans="1:14" ht="25.5" x14ac:dyDescent="0.2">
      <c r="A24" s="88" t="s">
        <v>148</v>
      </c>
      <c r="B24" s="88" t="s">
        <v>149</v>
      </c>
      <c r="C24" s="88" t="s">
        <v>142</v>
      </c>
      <c r="D24" s="88" t="s">
        <v>120</v>
      </c>
      <c r="E24" s="88" t="s">
        <v>143</v>
      </c>
      <c r="F24" s="88" t="s">
        <v>121</v>
      </c>
    </row>
    <row r="25" spans="1:14" ht="38.25" x14ac:dyDescent="0.2">
      <c r="A25" s="141" t="s">
        <v>181</v>
      </c>
      <c r="B25" s="89">
        <f>$D$19</f>
        <v>7710196.8600000003</v>
      </c>
      <c r="C25" s="128">
        <v>0.2</v>
      </c>
      <c r="D25" s="90">
        <f>+ROUND(B25*C25,2)</f>
        <v>1542039.37</v>
      </c>
      <c r="E25" s="128">
        <v>0.2</v>
      </c>
      <c r="F25" s="90">
        <f>+ROUND(B25*E25,2)</f>
        <v>1542039.37</v>
      </c>
    </row>
    <row r="26" spans="1:14" x14ac:dyDescent="0.2">
      <c r="A26" s="91" t="s">
        <v>119</v>
      </c>
      <c r="B26" s="92">
        <f>SUM(B25:B25)</f>
        <v>7710196.8600000003</v>
      </c>
      <c r="C26" s="93">
        <f>SUM(C25:C25)</f>
        <v>0.2</v>
      </c>
      <c r="D26" s="94">
        <f>SUM(D25:D25)</f>
        <v>1542039.37</v>
      </c>
      <c r="E26" s="93">
        <f>SUM(E25:E25)</f>
        <v>0.2</v>
      </c>
      <c r="F26" s="94">
        <f>SUM(F25:F25)</f>
        <v>1542039.37</v>
      </c>
    </row>
    <row r="27" spans="1:14" x14ac:dyDescent="0.2">
      <c r="D27" s="132">
        <f>+ROUND(D26/1.21,2)</f>
        <v>1274412.7</v>
      </c>
      <c r="F27" s="132">
        <f>+ROUND(F26/1.21,2)</f>
        <v>1274412.7</v>
      </c>
    </row>
    <row r="28" spans="1:14" x14ac:dyDescent="0.2">
      <c r="D28" s="133" t="s">
        <v>145</v>
      </c>
      <c r="F28" s="133" t="s">
        <v>145</v>
      </c>
    </row>
    <row r="29" spans="1:14" x14ac:dyDescent="0.2">
      <c r="A29" s="85" t="s">
        <v>132</v>
      </c>
    </row>
    <row r="31" spans="1:14" ht="51" x14ac:dyDescent="0.2">
      <c r="A31" s="95"/>
      <c r="B31" s="134" t="s">
        <v>150</v>
      </c>
      <c r="C31" s="134" t="s">
        <v>118</v>
      </c>
      <c r="D31" s="134" t="s">
        <v>151</v>
      </c>
      <c r="E31" s="134" t="s">
        <v>152</v>
      </c>
      <c r="F31" s="134" t="s">
        <v>153</v>
      </c>
    </row>
    <row r="32" spans="1:14" x14ac:dyDescent="0.2">
      <c r="A32" s="95">
        <v>2022</v>
      </c>
      <c r="B32" s="127">
        <f>+B16</f>
        <v>1687195.7000000002</v>
      </c>
      <c r="C32" s="90"/>
      <c r="D32" s="252">
        <f>ROUND(G32/$G$37*$D$27,2)+0.01</f>
        <v>194464.78</v>
      </c>
      <c r="E32" s="252">
        <f>ROUND(-G32/$G$37*$F$27,2)-0.01</f>
        <v>-194464.78</v>
      </c>
      <c r="F32" s="96">
        <f t="shared" ref="F32:F35" si="13">SUM(B32:D32)</f>
        <v>1881660.4800000002</v>
      </c>
      <c r="G32" s="138">
        <f>+B32+C32</f>
        <v>1687195.7000000002</v>
      </c>
    </row>
    <row r="33" spans="1:8" x14ac:dyDescent="0.2">
      <c r="A33" s="95">
        <v>2023</v>
      </c>
      <c r="B33" s="127">
        <f>+B17</f>
        <v>2342433.91</v>
      </c>
      <c r="C33" s="90"/>
      <c r="D33" s="90">
        <f>ROUND(G33/$G$37*$D$27,2)</f>
        <v>269986.98</v>
      </c>
      <c r="E33" s="96">
        <f>ROUND(-G33/$G$37*$F$27,2)</f>
        <v>-269986.98</v>
      </c>
      <c r="F33" s="96">
        <f t="shared" si="13"/>
        <v>2612420.89</v>
      </c>
      <c r="G33" s="138">
        <f>+B33+C33</f>
        <v>2342433.91</v>
      </c>
    </row>
    <row r="34" spans="1:8" x14ac:dyDescent="0.2">
      <c r="A34" s="95">
        <v>2024</v>
      </c>
      <c r="B34" s="127">
        <f>+B18</f>
        <v>2342433.91</v>
      </c>
      <c r="C34" s="90"/>
      <c r="D34" s="90">
        <f>ROUND(G34/$G$37*$D$27,2)</f>
        <v>269986.98</v>
      </c>
      <c r="E34" s="96">
        <f>ROUND(-G34/$G$37*$F$27,2)</f>
        <v>-269986.98</v>
      </c>
      <c r="F34" s="96">
        <f t="shared" si="13"/>
        <v>2612420.89</v>
      </c>
      <c r="G34" s="138">
        <f>+B34+C34</f>
        <v>2342433.91</v>
      </c>
      <c r="H34" s="138"/>
    </row>
    <row r="35" spans="1:8" x14ac:dyDescent="0.2">
      <c r="A35" s="95">
        <v>2025</v>
      </c>
      <c r="B35" s="127"/>
      <c r="C35" s="127">
        <f>+B34-B35</f>
        <v>2342433.91</v>
      </c>
      <c r="D35" s="90">
        <f>ROUND(G35/$G$37*$D$27,2)</f>
        <v>269986.98</v>
      </c>
      <c r="E35" s="96">
        <f>ROUND(-G35/$G$37*$F$27,2)</f>
        <v>-269986.98</v>
      </c>
      <c r="F35" s="96">
        <f t="shared" si="13"/>
        <v>2612420.89</v>
      </c>
      <c r="G35" s="138">
        <f>+B35+C35</f>
        <v>2342433.91</v>
      </c>
    </row>
    <row r="36" spans="1:8" x14ac:dyDescent="0.2">
      <c r="A36" s="95">
        <v>2026</v>
      </c>
      <c r="B36" s="127"/>
      <c r="C36" s="127">
        <f>+B34</f>
        <v>2342433.91</v>
      </c>
      <c r="D36" s="90">
        <f>ROUND(G36/$G$37*$D$27,2)</f>
        <v>269986.98</v>
      </c>
      <c r="E36" s="96">
        <f>ROUND(-G36/$G$37*$F$27,2)</f>
        <v>-269986.98</v>
      </c>
      <c r="F36" s="96">
        <f t="shared" ref="F36" si="14">SUM(B36:D36)</f>
        <v>2612420.89</v>
      </c>
      <c r="G36" s="138">
        <f t="shared" ref="G36" si="15">+B36+C36</f>
        <v>2342433.91</v>
      </c>
    </row>
    <row r="37" spans="1:8" x14ac:dyDescent="0.2">
      <c r="A37" s="97" t="s">
        <v>116</v>
      </c>
      <c r="B37" s="194">
        <f>SUM(B32:B36)</f>
        <v>6372063.5200000005</v>
      </c>
      <c r="C37" s="94">
        <f>SUM(C32:C36)</f>
        <v>4684867.82</v>
      </c>
      <c r="D37" s="94">
        <f>SUM(D32:D36)</f>
        <v>1274412.7</v>
      </c>
      <c r="E37" s="94">
        <f>SUM(E32:E36)</f>
        <v>-1274412.7</v>
      </c>
      <c r="F37" s="94">
        <f>SUM(B37:D37)</f>
        <v>12331344.039999999</v>
      </c>
      <c r="G37" s="138">
        <f>SUM(G32:G36)</f>
        <v>11056931.34</v>
      </c>
      <c r="H37" s="135"/>
    </row>
    <row r="38" spans="1:8" x14ac:dyDescent="0.2">
      <c r="A38" s="136"/>
      <c r="B38" s="137"/>
      <c r="C38" s="137"/>
      <c r="D38" s="137"/>
      <c r="E38" s="137"/>
      <c r="F38" s="137"/>
      <c r="G38" s="135"/>
    </row>
    <row r="41" spans="1:8" ht="15" x14ac:dyDescent="0.25">
      <c r="A41" s="98"/>
      <c r="B41" s="98"/>
      <c r="C41" s="98"/>
    </row>
    <row r="42" spans="1:8" ht="15.75" x14ac:dyDescent="0.25">
      <c r="A42" s="195" t="s">
        <v>132</v>
      </c>
      <c r="B42" s="266" t="s">
        <v>182</v>
      </c>
      <c r="C42" s="267"/>
      <c r="D42" s="267"/>
      <c r="E42" s="267"/>
    </row>
    <row r="43" spans="1:8" ht="15" x14ac:dyDescent="0.2">
      <c r="A43" s="212">
        <f>+F37</f>
        <v>12331344.039999999</v>
      </c>
      <c r="B43" s="268" t="s">
        <v>170</v>
      </c>
      <c r="C43" s="269"/>
      <c r="D43" s="268" t="s">
        <v>171</v>
      </c>
      <c r="E43" s="269"/>
    </row>
    <row r="44" spans="1:8" ht="15" x14ac:dyDescent="0.25">
      <c r="A44" s="195" t="s">
        <v>183</v>
      </c>
      <c r="B44" s="195" t="s">
        <v>184</v>
      </c>
      <c r="C44" s="195" t="s">
        <v>185</v>
      </c>
      <c r="D44" s="195" t="s">
        <v>186</v>
      </c>
      <c r="E44" s="195" t="s">
        <v>185</v>
      </c>
    </row>
    <row r="45" spans="1:8" x14ac:dyDescent="0.2">
      <c r="A45" s="213">
        <v>5</v>
      </c>
      <c r="B45" s="90">
        <f>+C45/A45</f>
        <v>3699403.2119999998</v>
      </c>
      <c r="C45" s="90">
        <f>1.5*A43</f>
        <v>18497016.059999999</v>
      </c>
      <c r="D45" s="90">
        <f>ROUND(A43*2/3/A45,2)</f>
        <v>1644179.21</v>
      </c>
      <c r="E45" s="90">
        <f>+C45</f>
        <v>18497016.059999999</v>
      </c>
      <c r="F45" s="99"/>
    </row>
    <row r="46" spans="1:8" x14ac:dyDescent="0.2">
      <c r="B46" s="196" t="s">
        <v>187</v>
      </c>
      <c r="C46" s="196" t="s">
        <v>188</v>
      </c>
      <c r="D46" s="197" t="s">
        <v>189</v>
      </c>
      <c r="E46" s="196" t="s">
        <v>188</v>
      </c>
    </row>
    <row r="47" spans="1:8" ht="15" x14ac:dyDescent="0.25">
      <c r="D47" s="98"/>
    </row>
    <row r="48" spans="1:8" ht="15" x14ac:dyDescent="0.25">
      <c r="D48" s="98" t="s">
        <v>134</v>
      </c>
    </row>
    <row r="49" spans="2:4" ht="15" x14ac:dyDescent="0.25">
      <c r="D49" s="100"/>
    </row>
    <row r="50" spans="2:4" ht="15" x14ac:dyDescent="0.25">
      <c r="D50" s="100"/>
    </row>
    <row r="51" spans="2:4" ht="15" x14ac:dyDescent="0.25">
      <c r="D51" s="98"/>
    </row>
    <row r="52" spans="2:4" ht="15" x14ac:dyDescent="0.25">
      <c r="D52" s="98"/>
    </row>
    <row r="53" spans="2:4" ht="15" x14ac:dyDescent="0.25">
      <c r="D53" s="98"/>
    </row>
    <row r="54" spans="2:4" ht="15" x14ac:dyDescent="0.25">
      <c r="B54" s="101"/>
      <c r="D54" s="98"/>
    </row>
    <row r="55" spans="2:4" ht="15" x14ac:dyDescent="0.25">
      <c r="D55" s="98"/>
    </row>
    <row r="56" spans="2:4" ht="15" x14ac:dyDescent="0.25">
      <c r="D56" s="98"/>
    </row>
  </sheetData>
  <mergeCells count="7">
    <mergeCell ref="B42:E42"/>
    <mergeCell ref="B43:C43"/>
    <mergeCell ref="D43:E43"/>
    <mergeCell ref="B4:D4"/>
    <mergeCell ref="H4:J4"/>
    <mergeCell ref="E4:G4"/>
    <mergeCell ref="E16:N2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2"/>
  <sheetViews>
    <sheetView workbookViewId="0">
      <selection activeCell="C14" sqref="C14"/>
    </sheetView>
  </sheetViews>
  <sheetFormatPr defaultColWidth="14.42578125" defaultRowHeight="15" x14ac:dyDescent="0.25"/>
  <cols>
    <col min="1" max="2" width="11.42578125" style="142" customWidth="1"/>
    <col min="3" max="3" width="46.28515625" style="142" bestFit="1" customWidth="1"/>
    <col min="4" max="4" width="28.85546875" style="142" customWidth="1"/>
    <col min="5" max="5" width="20.7109375" style="142" customWidth="1"/>
    <col min="6" max="7" width="15.85546875" style="142" customWidth="1"/>
    <col min="8" max="8" width="14.28515625" style="142" bestFit="1" customWidth="1"/>
    <col min="9" max="9" width="17" style="142" customWidth="1"/>
    <col min="10" max="10" width="28.140625" style="142" customWidth="1"/>
    <col min="11" max="11" width="19.7109375" style="142" bestFit="1" customWidth="1"/>
    <col min="12" max="12" width="17.7109375" style="142" customWidth="1"/>
    <col min="13" max="26" width="11.42578125" style="142" customWidth="1"/>
    <col min="27" max="16384" width="14.42578125" style="142"/>
  </cols>
  <sheetData>
    <row r="1" spans="1:11" x14ac:dyDescent="0.25">
      <c r="G1" s="143"/>
    </row>
    <row r="2" spans="1:11" x14ac:dyDescent="0.25">
      <c r="A2" s="144" t="s">
        <v>155</v>
      </c>
      <c r="B2" s="145"/>
      <c r="C2" s="145"/>
      <c r="D2" s="145"/>
      <c r="E2" s="145"/>
      <c r="F2" s="145"/>
      <c r="G2" s="146"/>
      <c r="H2" s="145"/>
      <c r="I2" s="145"/>
    </row>
    <row r="3" spans="1:11" ht="15.75" customHeight="1" x14ac:dyDescent="0.25">
      <c r="G3" s="143"/>
    </row>
    <row r="4" spans="1:11" s="139" customFormat="1" ht="44.25" customHeight="1" x14ac:dyDescent="0.25">
      <c r="A4" s="178"/>
      <c r="B4" s="179"/>
      <c r="C4" s="177" t="s">
        <v>156</v>
      </c>
      <c r="D4" s="180" t="s">
        <v>157</v>
      </c>
      <c r="E4" s="179" t="s">
        <v>158</v>
      </c>
      <c r="F4" s="180" t="s">
        <v>159</v>
      </c>
      <c r="G4" s="181" t="s">
        <v>160</v>
      </c>
      <c r="H4" s="179" t="s">
        <v>161</v>
      </c>
      <c r="I4" s="180" t="s">
        <v>162</v>
      </c>
      <c r="J4" s="180" t="s">
        <v>163</v>
      </c>
      <c r="K4" s="181" t="s">
        <v>176</v>
      </c>
    </row>
    <row r="5" spans="1:11" ht="15.75" customHeight="1" x14ac:dyDescent="0.25">
      <c r="A5" s="148"/>
      <c r="B5" s="147"/>
      <c r="C5" s="173">
        <f>'Taules IJ'!B19</f>
        <v>6372063.5200000005</v>
      </c>
      <c r="D5" s="149">
        <f>ROUND(C5*0.2, 2)</f>
        <v>1274412.7</v>
      </c>
      <c r="E5" s="150">
        <f>ROUND(C5-D5, 2)</f>
        <v>5097650.82</v>
      </c>
      <c r="F5" s="149">
        <f>ROUND(E5*0.08, 2)</f>
        <v>407812.07</v>
      </c>
      <c r="G5" s="151">
        <f>ROUND(D5+F5, 2)</f>
        <v>1682224.77</v>
      </c>
      <c r="H5" s="150">
        <f>ROUND(E5-F5, 2)</f>
        <v>4689838.75</v>
      </c>
      <c r="I5" s="149">
        <f>ROUND(H5*(0.34/1.34), 2)</f>
        <v>1189959.0900000001</v>
      </c>
      <c r="J5" s="149">
        <f>ROUND(H5-I5, 2)</f>
        <v>3499879.66</v>
      </c>
      <c r="K5" s="151">
        <f>+H5</f>
        <v>4689838.75</v>
      </c>
    </row>
    <row r="6" spans="1:11" ht="15.75" customHeight="1" x14ac:dyDescent="0.25">
      <c r="A6" s="152"/>
      <c r="G6" s="143"/>
    </row>
    <row r="7" spans="1:11" ht="15.75" customHeight="1" x14ac:dyDescent="0.25">
      <c r="C7" s="198" t="s">
        <v>164</v>
      </c>
      <c r="D7" s="198"/>
      <c r="G7" s="143"/>
    </row>
    <row r="8" spans="1:11" ht="15.75" customHeight="1" x14ac:dyDescent="0.25">
      <c r="C8" s="200" t="s">
        <v>165</v>
      </c>
      <c r="D8" s="202">
        <f>J5</f>
        <v>3499879.66</v>
      </c>
      <c r="G8" s="143"/>
    </row>
    <row r="9" spans="1:11" ht="15.75" customHeight="1" x14ac:dyDescent="0.25">
      <c r="C9" s="200" t="s">
        <v>166</v>
      </c>
      <c r="D9" s="202">
        <f>I5</f>
        <v>1189959.0900000001</v>
      </c>
      <c r="G9" s="143"/>
    </row>
    <row r="10" spans="1:11" ht="15.75" customHeight="1" x14ac:dyDescent="0.25">
      <c r="C10" s="200" t="s">
        <v>167</v>
      </c>
      <c r="D10" s="203">
        <f>+K5</f>
        <v>4689838.75</v>
      </c>
      <c r="G10" s="143"/>
    </row>
    <row r="11" spans="1:11" ht="15.75" customHeight="1" x14ac:dyDescent="0.25">
      <c r="C11" s="153"/>
      <c r="D11" s="204"/>
      <c r="G11" s="143"/>
    </row>
    <row r="12" spans="1:11" ht="15.75" customHeight="1" x14ac:dyDescent="0.25">
      <c r="C12" s="198" t="s">
        <v>168</v>
      </c>
      <c r="D12" s="205"/>
      <c r="G12" s="143"/>
    </row>
    <row r="13" spans="1:11" ht="15.75" customHeight="1" x14ac:dyDescent="0.25">
      <c r="C13" s="201" t="s">
        <v>338</v>
      </c>
      <c r="D13" s="202">
        <f>F5</f>
        <v>407812.07</v>
      </c>
      <c r="G13" s="143"/>
    </row>
    <row r="14" spans="1:11" ht="15.75" customHeight="1" x14ac:dyDescent="0.25">
      <c r="C14" s="201" t="s">
        <v>337</v>
      </c>
      <c r="D14" s="202">
        <f>D5</f>
        <v>1274412.7</v>
      </c>
      <c r="G14" s="143"/>
    </row>
    <row r="15" spans="1:11" ht="15.75" customHeight="1" x14ac:dyDescent="0.25">
      <c r="C15" s="201" t="s">
        <v>169</v>
      </c>
      <c r="D15" s="206">
        <f>G5</f>
        <v>1682224.77</v>
      </c>
      <c r="G15" s="143"/>
    </row>
    <row r="16" spans="1:11" ht="15.75" customHeight="1" x14ac:dyDescent="0.25">
      <c r="C16" s="154"/>
      <c r="D16" s="154"/>
      <c r="G16" s="143"/>
    </row>
    <row r="17" spans="3:12" ht="15.75" customHeight="1" x14ac:dyDescent="0.25">
      <c r="C17" s="198" t="s">
        <v>172</v>
      </c>
      <c r="D17" s="199">
        <f>D10+D15</f>
        <v>6372063.5199999996</v>
      </c>
      <c r="G17" s="143"/>
      <c r="K17" s="155"/>
      <c r="L17" s="155"/>
    </row>
    <row r="18" spans="3:12" x14ac:dyDescent="0.25">
      <c r="G18" s="143"/>
    </row>
    <row r="19" spans="3:12" x14ac:dyDescent="0.25">
      <c r="G19" s="143"/>
    </row>
    <row r="20" spans="3:12" x14ac:dyDescent="0.25">
      <c r="G20" s="143"/>
    </row>
    <row r="21" spans="3:12" x14ac:dyDescent="0.25">
      <c r="G21" s="143"/>
    </row>
    <row r="22" spans="3:12" x14ac:dyDescent="0.25">
      <c r="G22" s="143"/>
    </row>
    <row r="23" spans="3:12" x14ac:dyDescent="0.25">
      <c r="G23" s="143"/>
    </row>
    <row r="24" spans="3:12" x14ac:dyDescent="0.25">
      <c r="G24" s="143"/>
    </row>
    <row r="25" spans="3:12" x14ac:dyDescent="0.25">
      <c r="G25" s="143"/>
    </row>
    <row r="26" spans="3:12" x14ac:dyDescent="0.25">
      <c r="G26" s="143"/>
    </row>
    <row r="27" spans="3:12" x14ac:dyDescent="0.25">
      <c r="G27" s="143"/>
    </row>
    <row r="28" spans="3:12" x14ac:dyDescent="0.25">
      <c r="G28" s="143"/>
    </row>
    <row r="29" spans="3:12" x14ac:dyDescent="0.25">
      <c r="G29" s="143"/>
    </row>
    <row r="30" spans="3:12" x14ac:dyDescent="0.25">
      <c r="G30" s="143"/>
    </row>
    <row r="31" spans="3:12" x14ac:dyDescent="0.25">
      <c r="G31" s="143"/>
    </row>
    <row r="32" spans="3:12" x14ac:dyDescent="0.25">
      <c r="G32" s="143"/>
    </row>
    <row r="33" spans="7:7" x14ac:dyDescent="0.25">
      <c r="G33" s="143"/>
    </row>
    <row r="34" spans="7:7" x14ac:dyDescent="0.25">
      <c r="G34" s="143"/>
    </row>
    <row r="35" spans="7:7" x14ac:dyDescent="0.25">
      <c r="G35" s="143"/>
    </row>
    <row r="36" spans="7:7" x14ac:dyDescent="0.25">
      <c r="G36" s="143"/>
    </row>
    <row r="37" spans="7:7" x14ac:dyDescent="0.25">
      <c r="G37" s="143"/>
    </row>
    <row r="38" spans="7:7" x14ac:dyDescent="0.25">
      <c r="G38" s="143"/>
    </row>
    <row r="39" spans="7:7" x14ac:dyDescent="0.25">
      <c r="G39" s="143"/>
    </row>
    <row r="40" spans="7:7" x14ac:dyDescent="0.25">
      <c r="G40" s="143"/>
    </row>
    <row r="41" spans="7:7" x14ac:dyDescent="0.25">
      <c r="G41" s="143"/>
    </row>
    <row r="42" spans="7:7" x14ac:dyDescent="0.25">
      <c r="G42" s="143"/>
    </row>
    <row r="43" spans="7:7" x14ac:dyDescent="0.25">
      <c r="G43" s="143"/>
    </row>
    <row r="44" spans="7:7" x14ac:dyDescent="0.25">
      <c r="G44" s="143"/>
    </row>
    <row r="45" spans="7:7" x14ac:dyDescent="0.25">
      <c r="G45" s="143"/>
    </row>
    <row r="46" spans="7:7" x14ac:dyDescent="0.25">
      <c r="G46" s="143"/>
    </row>
    <row r="47" spans="7:7" x14ac:dyDescent="0.25">
      <c r="G47" s="143"/>
    </row>
    <row r="48" spans="7:7" x14ac:dyDescent="0.25">
      <c r="G48" s="143"/>
    </row>
    <row r="49" spans="7:7" x14ac:dyDescent="0.25">
      <c r="G49" s="143"/>
    </row>
    <row r="50" spans="7:7" x14ac:dyDescent="0.25">
      <c r="G50" s="143"/>
    </row>
    <row r="51" spans="7:7" x14ac:dyDescent="0.25">
      <c r="G51" s="143"/>
    </row>
    <row r="52" spans="7:7" x14ac:dyDescent="0.25">
      <c r="G52" s="143"/>
    </row>
    <row r="53" spans="7:7" x14ac:dyDescent="0.25">
      <c r="G53" s="143"/>
    </row>
    <row r="54" spans="7:7" x14ac:dyDescent="0.25">
      <c r="G54" s="143"/>
    </row>
    <row r="55" spans="7:7" x14ac:dyDescent="0.25">
      <c r="G55" s="143"/>
    </row>
    <row r="56" spans="7:7" x14ac:dyDescent="0.25">
      <c r="G56" s="143"/>
    </row>
    <row r="57" spans="7:7" x14ac:dyDescent="0.25">
      <c r="G57" s="143"/>
    </row>
    <row r="58" spans="7:7" x14ac:dyDescent="0.25">
      <c r="G58" s="143"/>
    </row>
    <row r="59" spans="7:7" x14ac:dyDescent="0.25">
      <c r="G59" s="143"/>
    </row>
    <row r="60" spans="7:7" x14ac:dyDescent="0.25">
      <c r="G60" s="143"/>
    </row>
    <row r="61" spans="7:7" x14ac:dyDescent="0.25">
      <c r="G61" s="143"/>
    </row>
    <row r="62" spans="7:7" x14ac:dyDescent="0.25">
      <c r="G62" s="143"/>
    </row>
    <row r="63" spans="7:7" x14ac:dyDescent="0.25">
      <c r="G63" s="143"/>
    </row>
    <row r="64" spans="7:7" x14ac:dyDescent="0.25">
      <c r="G64" s="143"/>
    </row>
    <row r="65" spans="7:7" x14ac:dyDescent="0.25">
      <c r="G65" s="143"/>
    </row>
    <row r="66" spans="7:7" x14ac:dyDescent="0.25">
      <c r="G66" s="143"/>
    </row>
    <row r="67" spans="7:7" x14ac:dyDescent="0.25">
      <c r="G67" s="143"/>
    </row>
    <row r="68" spans="7:7" x14ac:dyDescent="0.25">
      <c r="G68" s="143"/>
    </row>
    <row r="69" spans="7:7" x14ac:dyDescent="0.25">
      <c r="G69" s="143"/>
    </row>
    <row r="70" spans="7:7" x14ac:dyDescent="0.25">
      <c r="G70" s="143"/>
    </row>
    <row r="71" spans="7:7" x14ac:dyDescent="0.25">
      <c r="G71" s="143"/>
    </row>
    <row r="72" spans="7:7" x14ac:dyDescent="0.25">
      <c r="G72" s="143"/>
    </row>
    <row r="73" spans="7:7" x14ac:dyDescent="0.25">
      <c r="G73" s="143"/>
    </row>
    <row r="74" spans="7:7" x14ac:dyDescent="0.25">
      <c r="G74" s="143"/>
    </row>
    <row r="75" spans="7:7" x14ac:dyDescent="0.25">
      <c r="G75" s="143"/>
    </row>
    <row r="76" spans="7:7" x14ac:dyDescent="0.25">
      <c r="G76" s="143"/>
    </row>
    <row r="77" spans="7:7" x14ac:dyDescent="0.25">
      <c r="G77" s="143"/>
    </row>
    <row r="78" spans="7:7" x14ac:dyDescent="0.25">
      <c r="G78" s="143"/>
    </row>
    <row r="79" spans="7:7" x14ac:dyDescent="0.25">
      <c r="G79" s="143"/>
    </row>
    <row r="80" spans="7:7" x14ac:dyDescent="0.25">
      <c r="G80" s="143"/>
    </row>
    <row r="81" spans="7:7" x14ac:dyDescent="0.25">
      <c r="G81" s="143"/>
    </row>
    <row r="82" spans="7:7" x14ac:dyDescent="0.25">
      <c r="G82" s="143"/>
    </row>
    <row r="83" spans="7:7" x14ac:dyDescent="0.25">
      <c r="G83" s="143"/>
    </row>
    <row r="84" spans="7:7" x14ac:dyDescent="0.25">
      <c r="G84" s="143"/>
    </row>
    <row r="85" spans="7:7" x14ac:dyDescent="0.25">
      <c r="G85" s="143"/>
    </row>
    <row r="86" spans="7:7" x14ac:dyDescent="0.25">
      <c r="G86" s="143"/>
    </row>
    <row r="87" spans="7:7" x14ac:dyDescent="0.25">
      <c r="G87" s="143"/>
    </row>
    <row r="88" spans="7:7" x14ac:dyDescent="0.25">
      <c r="G88" s="143"/>
    </row>
    <row r="89" spans="7:7" x14ac:dyDescent="0.25">
      <c r="G89" s="143"/>
    </row>
    <row r="90" spans="7:7" x14ac:dyDescent="0.25">
      <c r="G90" s="143"/>
    </row>
    <row r="91" spans="7:7" x14ac:dyDescent="0.25">
      <c r="G91" s="143"/>
    </row>
    <row r="92" spans="7:7" x14ac:dyDescent="0.25">
      <c r="G92" s="143"/>
    </row>
    <row r="93" spans="7:7" x14ac:dyDescent="0.25">
      <c r="G93" s="143"/>
    </row>
    <row r="94" spans="7:7" x14ac:dyDescent="0.25">
      <c r="G94" s="143"/>
    </row>
    <row r="95" spans="7:7" x14ac:dyDescent="0.25">
      <c r="G95" s="143"/>
    </row>
    <row r="96" spans="7:7" x14ac:dyDescent="0.25">
      <c r="G96" s="143"/>
    </row>
    <row r="97" spans="7:7" x14ac:dyDescent="0.25">
      <c r="G97" s="143"/>
    </row>
    <row r="98" spans="7:7" x14ac:dyDescent="0.25">
      <c r="G98" s="143"/>
    </row>
    <row r="99" spans="7:7" x14ac:dyDescent="0.25">
      <c r="G99" s="143"/>
    </row>
    <row r="100" spans="7:7" x14ac:dyDescent="0.25">
      <c r="G100" s="143"/>
    </row>
    <row r="101" spans="7:7" x14ac:dyDescent="0.25">
      <c r="G101" s="143"/>
    </row>
    <row r="102" spans="7:7" x14ac:dyDescent="0.25">
      <c r="G102" s="143"/>
    </row>
    <row r="103" spans="7:7" x14ac:dyDescent="0.25">
      <c r="G103" s="143"/>
    </row>
    <row r="104" spans="7:7" x14ac:dyDescent="0.25">
      <c r="G104" s="143"/>
    </row>
    <row r="105" spans="7:7" x14ac:dyDescent="0.25">
      <c r="G105" s="143"/>
    </row>
    <row r="106" spans="7:7" x14ac:dyDescent="0.25">
      <c r="G106" s="143"/>
    </row>
    <row r="107" spans="7:7" x14ac:dyDescent="0.25">
      <c r="G107" s="143"/>
    </row>
    <row r="108" spans="7:7" x14ac:dyDescent="0.25">
      <c r="G108" s="143"/>
    </row>
    <row r="109" spans="7:7" x14ac:dyDescent="0.25">
      <c r="G109" s="143"/>
    </row>
    <row r="110" spans="7:7" x14ac:dyDescent="0.25">
      <c r="G110" s="143"/>
    </row>
    <row r="111" spans="7:7" x14ac:dyDescent="0.25">
      <c r="G111" s="143"/>
    </row>
    <row r="112" spans="7:7" x14ac:dyDescent="0.25">
      <c r="G112" s="143"/>
    </row>
    <row r="113" spans="7:7" x14ac:dyDescent="0.25">
      <c r="G113" s="143"/>
    </row>
    <row r="114" spans="7:7" x14ac:dyDescent="0.25">
      <c r="G114" s="143"/>
    </row>
    <row r="115" spans="7:7" x14ac:dyDescent="0.25">
      <c r="G115" s="143"/>
    </row>
    <row r="116" spans="7:7" x14ac:dyDescent="0.25">
      <c r="G116" s="143"/>
    </row>
    <row r="117" spans="7:7" x14ac:dyDescent="0.25">
      <c r="G117" s="143"/>
    </row>
    <row r="118" spans="7:7" x14ac:dyDescent="0.25">
      <c r="G118" s="143"/>
    </row>
    <row r="119" spans="7:7" x14ac:dyDescent="0.25">
      <c r="G119" s="143"/>
    </row>
    <row r="120" spans="7:7" x14ac:dyDescent="0.25">
      <c r="G120" s="143"/>
    </row>
    <row r="121" spans="7:7" x14ac:dyDescent="0.25">
      <c r="G121" s="143"/>
    </row>
    <row r="122" spans="7:7" x14ac:dyDescent="0.25">
      <c r="G122" s="143"/>
    </row>
    <row r="123" spans="7:7" x14ac:dyDescent="0.25">
      <c r="G123" s="143"/>
    </row>
    <row r="124" spans="7:7" x14ac:dyDescent="0.25">
      <c r="G124" s="143"/>
    </row>
    <row r="125" spans="7:7" x14ac:dyDescent="0.25">
      <c r="G125" s="143"/>
    </row>
    <row r="126" spans="7:7" x14ac:dyDescent="0.25">
      <c r="G126" s="143"/>
    </row>
    <row r="127" spans="7:7" x14ac:dyDescent="0.25">
      <c r="G127" s="143"/>
    </row>
    <row r="128" spans="7:7" x14ac:dyDescent="0.25">
      <c r="G128" s="143"/>
    </row>
    <row r="129" spans="7:7" x14ac:dyDescent="0.25">
      <c r="G129" s="143"/>
    </row>
    <row r="130" spans="7:7" x14ac:dyDescent="0.25">
      <c r="G130" s="143"/>
    </row>
    <row r="131" spans="7:7" x14ac:dyDescent="0.25">
      <c r="G131" s="143"/>
    </row>
    <row r="132" spans="7:7" x14ac:dyDescent="0.25">
      <c r="G132" s="143"/>
    </row>
    <row r="133" spans="7:7" x14ac:dyDescent="0.25">
      <c r="G133" s="143"/>
    </row>
    <row r="134" spans="7:7" x14ac:dyDescent="0.25">
      <c r="G134" s="143"/>
    </row>
    <row r="135" spans="7:7" x14ac:dyDescent="0.25">
      <c r="G135" s="143"/>
    </row>
    <row r="136" spans="7:7" x14ac:dyDescent="0.25">
      <c r="G136" s="143"/>
    </row>
    <row r="137" spans="7:7" x14ac:dyDescent="0.25">
      <c r="G137" s="143"/>
    </row>
    <row r="138" spans="7:7" x14ac:dyDescent="0.25">
      <c r="G138" s="143"/>
    </row>
    <row r="139" spans="7:7" x14ac:dyDescent="0.25">
      <c r="G139" s="143"/>
    </row>
    <row r="140" spans="7:7" x14ac:dyDescent="0.25">
      <c r="G140" s="143"/>
    </row>
    <row r="141" spans="7:7" x14ac:dyDescent="0.25">
      <c r="G141" s="143"/>
    </row>
    <row r="142" spans="7:7" x14ac:dyDescent="0.25">
      <c r="G142" s="143"/>
    </row>
    <row r="143" spans="7:7" x14ac:dyDescent="0.25">
      <c r="G143" s="143"/>
    </row>
    <row r="144" spans="7:7" x14ac:dyDescent="0.25">
      <c r="G144" s="143"/>
    </row>
    <row r="145" spans="7:7" x14ac:dyDescent="0.25">
      <c r="G145" s="143"/>
    </row>
    <row r="146" spans="7:7" x14ac:dyDescent="0.25">
      <c r="G146" s="143"/>
    </row>
    <row r="147" spans="7:7" x14ac:dyDescent="0.25">
      <c r="G147" s="143"/>
    </row>
    <row r="148" spans="7:7" x14ac:dyDescent="0.25">
      <c r="G148" s="143"/>
    </row>
    <row r="149" spans="7:7" x14ac:dyDescent="0.25">
      <c r="G149" s="143"/>
    </row>
    <row r="150" spans="7:7" x14ac:dyDescent="0.25">
      <c r="G150" s="143"/>
    </row>
    <row r="151" spans="7:7" x14ac:dyDescent="0.25">
      <c r="G151" s="143"/>
    </row>
    <row r="152" spans="7:7" x14ac:dyDescent="0.25">
      <c r="G152" s="143"/>
    </row>
    <row r="153" spans="7:7" x14ac:dyDescent="0.25">
      <c r="G153" s="143"/>
    </row>
    <row r="154" spans="7:7" x14ac:dyDescent="0.25">
      <c r="G154" s="143"/>
    </row>
    <row r="155" spans="7:7" x14ac:dyDescent="0.25">
      <c r="G155" s="143"/>
    </row>
    <row r="156" spans="7:7" x14ac:dyDescent="0.25">
      <c r="G156" s="143"/>
    </row>
    <row r="157" spans="7:7" x14ac:dyDescent="0.25">
      <c r="G157" s="143"/>
    </row>
    <row r="158" spans="7:7" x14ac:dyDescent="0.25">
      <c r="G158" s="143"/>
    </row>
    <row r="159" spans="7:7" x14ac:dyDescent="0.25">
      <c r="G159" s="143"/>
    </row>
    <row r="160" spans="7:7" x14ac:dyDescent="0.25">
      <c r="G160" s="143"/>
    </row>
    <row r="161" spans="7:7" x14ac:dyDescent="0.25">
      <c r="G161" s="143"/>
    </row>
    <row r="162" spans="7:7" x14ac:dyDescent="0.25">
      <c r="G162" s="143"/>
    </row>
    <row r="163" spans="7:7" x14ac:dyDescent="0.25">
      <c r="G163" s="143"/>
    </row>
    <row r="164" spans="7:7" x14ac:dyDescent="0.25">
      <c r="G164" s="143"/>
    </row>
    <row r="165" spans="7:7" x14ac:dyDescent="0.25">
      <c r="G165" s="143"/>
    </row>
    <row r="166" spans="7:7" x14ac:dyDescent="0.25">
      <c r="G166" s="143"/>
    </row>
    <row r="167" spans="7:7" x14ac:dyDescent="0.25">
      <c r="G167" s="143"/>
    </row>
    <row r="168" spans="7:7" x14ac:dyDescent="0.25">
      <c r="G168" s="143"/>
    </row>
    <row r="169" spans="7:7" x14ac:dyDescent="0.25">
      <c r="G169" s="143"/>
    </row>
    <row r="170" spans="7:7" x14ac:dyDescent="0.25">
      <c r="G170" s="143"/>
    </row>
    <row r="171" spans="7:7" x14ac:dyDescent="0.25">
      <c r="G171" s="143"/>
    </row>
    <row r="172" spans="7:7" x14ac:dyDescent="0.25">
      <c r="G172" s="143"/>
    </row>
    <row r="173" spans="7:7" x14ac:dyDescent="0.25">
      <c r="G173" s="143"/>
    </row>
    <row r="174" spans="7:7" x14ac:dyDescent="0.25">
      <c r="G174" s="143"/>
    </row>
    <row r="175" spans="7:7" x14ac:dyDescent="0.25">
      <c r="G175" s="143"/>
    </row>
    <row r="176" spans="7:7" x14ac:dyDescent="0.25">
      <c r="G176" s="143"/>
    </row>
    <row r="177" spans="7:7" x14ac:dyDescent="0.25">
      <c r="G177" s="143"/>
    </row>
    <row r="178" spans="7:7" x14ac:dyDescent="0.25">
      <c r="G178" s="143"/>
    </row>
    <row r="179" spans="7:7" x14ac:dyDescent="0.25">
      <c r="G179" s="143"/>
    </row>
    <row r="180" spans="7:7" x14ac:dyDescent="0.25">
      <c r="G180" s="143"/>
    </row>
    <row r="181" spans="7:7" x14ac:dyDescent="0.25">
      <c r="G181" s="143"/>
    </row>
    <row r="182" spans="7:7" x14ac:dyDescent="0.25">
      <c r="G182" s="143"/>
    </row>
    <row r="183" spans="7:7" x14ac:dyDescent="0.25">
      <c r="G183" s="143"/>
    </row>
    <row r="184" spans="7:7" x14ac:dyDescent="0.25">
      <c r="G184" s="143"/>
    </row>
    <row r="185" spans="7:7" x14ac:dyDescent="0.25">
      <c r="G185" s="143"/>
    </row>
    <row r="186" spans="7:7" x14ac:dyDescent="0.25">
      <c r="G186" s="143"/>
    </row>
    <row r="187" spans="7:7" x14ac:dyDescent="0.25">
      <c r="G187" s="143"/>
    </row>
    <row r="188" spans="7:7" x14ac:dyDescent="0.25">
      <c r="G188" s="143"/>
    </row>
    <row r="189" spans="7:7" x14ac:dyDescent="0.25">
      <c r="G189" s="143"/>
    </row>
    <row r="190" spans="7:7" x14ac:dyDescent="0.25">
      <c r="G190" s="143"/>
    </row>
    <row r="191" spans="7:7" x14ac:dyDescent="0.25">
      <c r="G191" s="143"/>
    </row>
    <row r="192" spans="7:7" x14ac:dyDescent="0.25">
      <c r="G192" s="143"/>
    </row>
    <row r="193" spans="7:7" x14ac:dyDescent="0.25">
      <c r="G193" s="143"/>
    </row>
    <row r="194" spans="7:7" x14ac:dyDescent="0.25">
      <c r="G194" s="143"/>
    </row>
    <row r="195" spans="7:7" x14ac:dyDescent="0.25">
      <c r="G195" s="143"/>
    </row>
    <row r="196" spans="7:7" x14ac:dyDescent="0.25">
      <c r="G196" s="143"/>
    </row>
    <row r="197" spans="7:7" x14ac:dyDescent="0.25">
      <c r="G197" s="143"/>
    </row>
    <row r="198" spans="7:7" x14ac:dyDescent="0.25">
      <c r="G198" s="143"/>
    </row>
    <row r="199" spans="7:7" x14ac:dyDescent="0.25">
      <c r="G199" s="143"/>
    </row>
    <row r="200" spans="7:7" x14ac:dyDescent="0.25">
      <c r="G200" s="143"/>
    </row>
    <row r="201" spans="7:7" x14ac:dyDescent="0.25">
      <c r="G201" s="143"/>
    </row>
    <row r="202" spans="7:7" x14ac:dyDescent="0.25">
      <c r="G202" s="143"/>
    </row>
    <row r="203" spans="7:7" x14ac:dyDescent="0.25">
      <c r="G203" s="143"/>
    </row>
    <row r="204" spans="7:7" x14ac:dyDescent="0.25">
      <c r="G204" s="143"/>
    </row>
    <row r="205" spans="7:7" x14ac:dyDescent="0.25">
      <c r="G205" s="143"/>
    </row>
    <row r="206" spans="7:7" x14ac:dyDescent="0.25">
      <c r="G206" s="143"/>
    </row>
    <row r="207" spans="7:7" x14ac:dyDescent="0.25">
      <c r="G207" s="143"/>
    </row>
    <row r="208" spans="7:7" x14ac:dyDescent="0.25">
      <c r="G208" s="143"/>
    </row>
    <row r="209" spans="7:7" x14ac:dyDescent="0.25">
      <c r="G209" s="143"/>
    </row>
    <row r="210" spans="7:7" x14ac:dyDescent="0.25">
      <c r="G210" s="143"/>
    </row>
    <row r="211" spans="7:7" x14ac:dyDescent="0.25">
      <c r="G211" s="143"/>
    </row>
    <row r="212" spans="7:7" x14ac:dyDescent="0.25">
      <c r="G212" s="143"/>
    </row>
    <row r="213" spans="7:7" x14ac:dyDescent="0.25">
      <c r="G213" s="143"/>
    </row>
    <row r="214" spans="7:7" x14ac:dyDescent="0.25">
      <c r="G214" s="143"/>
    </row>
    <row r="215" spans="7:7" x14ac:dyDescent="0.25">
      <c r="G215" s="143"/>
    </row>
    <row r="216" spans="7:7" x14ac:dyDescent="0.25">
      <c r="G216" s="143"/>
    </row>
    <row r="217" spans="7:7" x14ac:dyDescent="0.25">
      <c r="G217" s="143"/>
    </row>
    <row r="218" spans="7:7" x14ac:dyDescent="0.25">
      <c r="G218" s="143"/>
    </row>
    <row r="219" spans="7:7" x14ac:dyDescent="0.25">
      <c r="G219" s="143"/>
    </row>
    <row r="220" spans="7:7" x14ac:dyDescent="0.25">
      <c r="G220" s="143"/>
    </row>
    <row r="221" spans="7:7" x14ac:dyDescent="0.25">
      <c r="G221" s="143"/>
    </row>
    <row r="222" spans="7:7" x14ac:dyDescent="0.25">
      <c r="G222" s="143"/>
    </row>
    <row r="223" spans="7:7" x14ac:dyDescent="0.25">
      <c r="G223" s="143"/>
    </row>
    <row r="224" spans="7:7" x14ac:dyDescent="0.25">
      <c r="G224" s="143"/>
    </row>
    <row r="225" spans="7:7" x14ac:dyDescent="0.25">
      <c r="G225" s="143"/>
    </row>
    <row r="226" spans="7:7" x14ac:dyDescent="0.25">
      <c r="G226" s="143"/>
    </row>
    <row r="227" spans="7:7" x14ac:dyDescent="0.25">
      <c r="G227" s="143"/>
    </row>
    <row r="228" spans="7:7" x14ac:dyDescent="0.25">
      <c r="G228" s="143"/>
    </row>
    <row r="229" spans="7:7" x14ac:dyDescent="0.25">
      <c r="G229" s="143"/>
    </row>
    <row r="230" spans="7:7" x14ac:dyDescent="0.25">
      <c r="G230" s="143"/>
    </row>
    <row r="231" spans="7:7" x14ac:dyDescent="0.25">
      <c r="G231" s="143"/>
    </row>
    <row r="232" spans="7:7" x14ac:dyDescent="0.25">
      <c r="G232" s="143"/>
    </row>
    <row r="233" spans="7:7" x14ac:dyDescent="0.25">
      <c r="G233" s="143"/>
    </row>
    <row r="234" spans="7:7" x14ac:dyDescent="0.25">
      <c r="G234" s="143"/>
    </row>
    <row r="235" spans="7:7" x14ac:dyDescent="0.25">
      <c r="G235" s="143"/>
    </row>
    <row r="236" spans="7:7" x14ac:dyDescent="0.25">
      <c r="G236" s="143"/>
    </row>
    <row r="237" spans="7:7" x14ac:dyDescent="0.25">
      <c r="G237" s="143"/>
    </row>
    <row r="238" spans="7:7" x14ac:dyDescent="0.25">
      <c r="G238" s="143"/>
    </row>
    <row r="239" spans="7:7" x14ac:dyDescent="0.25">
      <c r="G239" s="143"/>
    </row>
    <row r="240" spans="7:7" x14ac:dyDescent="0.25">
      <c r="G240" s="143"/>
    </row>
    <row r="241" spans="7:7" x14ac:dyDescent="0.25">
      <c r="G241" s="143"/>
    </row>
    <row r="242" spans="7:7" x14ac:dyDescent="0.25">
      <c r="G242" s="143"/>
    </row>
    <row r="243" spans="7:7" x14ac:dyDescent="0.25">
      <c r="G243" s="143"/>
    </row>
    <row r="244" spans="7:7" x14ac:dyDescent="0.25">
      <c r="G244" s="143"/>
    </row>
    <row r="245" spans="7:7" x14ac:dyDescent="0.25">
      <c r="G245" s="143"/>
    </row>
    <row r="246" spans="7:7" x14ac:dyDescent="0.25">
      <c r="G246" s="143"/>
    </row>
    <row r="247" spans="7:7" x14ac:dyDescent="0.25">
      <c r="G247" s="143"/>
    </row>
    <row r="248" spans="7:7" x14ac:dyDescent="0.25">
      <c r="G248" s="143"/>
    </row>
    <row r="249" spans="7:7" x14ac:dyDescent="0.25">
      <c r="G249" s="143"/>
    </row>
    <row r="250" spans="7:7" x14ac:dyDescent="0.25">
      <c r="G250" s="143"/>
    </row>
    <row r="251" spans="7:7" x14ac:dyDescent="0.25">
      <c r="G251" s="143"/>
    </row>
    <row r="252" spans="7:7" x14ac:dyDescent="0.25">
      <c r="G252" s="143"/>
    </row>
    <row r="253" spans="7:7" x14ac:dyDescent="0.25">
      <c r="G253" s="143"/>
    </row>
    <row r="254" spans="7:7" x14ac:dyDescent="0.25">
      <c r="G254" s="143"/>
    </row>
    <row r="255" spans="7:7" x14ac:dyDescent="0.25">
      <c r="G255" s="143"/>
    </row>
    <row r="256" spans="7:7" x14ac:dyDescent="0.25">
      <c r="G256" s="143"/>
    </row>
    <row r="257" spans="7:7" x14ac:dyDescent="0.25">
      <c r="G257" s="143"/>
    </row>
    <row r="258" spans="7:7" x14ac:dyDescent="0.25">
      <c r="G258" s="143"/>
    </row>
    <row r="259" spans="7:7" x14ac:dyDescent="0.25">
      <c r="G259" s="143"/>
    </row>
    <row r="260" spans="7:7" x14ac:dyDescent="0.25">
      <c r="G260" s="143"/>
    </row>
    <row r="261" spans="7:7" x14ac:dyDescent="0.25">
      <c r="G261" s="143"/>
    </row>
    <row r="262" spans="7:7" x14ac:dyDescent="0.25">
      <c r="G262" s="143"/>
    </row>
    <row r="263" spans="7:7" x14ac:dyDescent="0.25">
      <c r="G263" s="143"/>
    </row>
    <row r="264" spans="7:7" x14ac:dyDescent="0.25">
      <c r="G264" s="143"/>
    </row>
    <row r="265" spans="7:7" x14ac:dyDescent="0.25">
      <c r="G265" s="143"/>
    </row>
    <row r="266" spans="7:7" x14ac:dyDescent="0.25">
      <c r="G266" s="143"/>
    </row>
    <row r="267" spans="7:7" x14ac:dyDescent="0.25">
      <c r="G267" s="143"/>
    </row>
    <row r="268" spans="7:7" x14ac:dyDescent="0.25">
      <c r="G268" s="143"/>
    </row>
    <row r="269" spans="7:7" x14ac:dyDescent="0.25">
      <c r="G269" s="143"/>
    </row>
    <row r="270" spans="7:7" x14ac:dyDescent="0.25">
      <c r="G270" s="143"/>
    </row>
    <row r="271" spans="7:7" x14ac:dyDescent="0.25">
      <c r="G271" s="143"/>
    </row>
    <row r="272" spans="7:7" x14ac:dyDescent="0.25">
      <c r="G272" s="143"/>
    </row>
    <row r="273" spans="7:7" x14ac:dyDescent="0.25">
      <c r="G273" s="143"/>
    </row>
    <row r="274" spans="7:7" x14ac:dyDescent="0.25">
      <c r="G274" s="143"/>
    </row>
    <row r="275" spans="7:7" x14ac:dyDescent="0.25">
      <c r="G275" s="143"/>
    </row>
    <row r="276" spans="7:7" x14ac:dyDescent="0.25">
      <c r="G276" s="143"/>
    </row>
    <row r="277" spans="7:7" x14ac:dyDescent="0.25">
      <c r="G277" s="143"/>
    </row>
    <row r="278" spans="7:7" x14ac:dyDescent="0.25">
      <c r="G278" s="143"/>
    </row>
    <row r="279" spans="7:7" x14ac:dyDescent="0.25">
      <c r="G279" s="143"/>
    </row>
    <row r="280" spans="7:7" x14ac:dyDescent="0.25">
      <c r="G280" s="143"/>
    </row>
    <row r="281" spans="7:7" x14ac:dyDescent="0.25">
      <c r="G281" s="143"/>
    </row>
    <row r="282" spans="7:7" x14ac:dyDescent="0.25">
      <c r="G282" s="143"/>
    </row>
    <row r="283" spans="7:7" x14ac:dyDescent="0.25">
      <c r="G283" s="143"/>
    </row>
    <row r="284" spans="7:7" x14ac:dyDescent="0.25">
      <c r="G284" s="143"/>
    </row>
    <row r="285" spans="7:7" x14ac:dyDescent="0.25">
      <c r="G285" s="143"/>
    </row>
    <row r="286" spans="7:7" x14ac:dyDescent="0.25">
      <c r="G286" s="143"/>
    </row>
    <row r="287" spans="7:7" x14ac:dyDescent="0.25">
      <c r="G287" s="143"/>
    </row>
    <row r="288" spans="7:7" x14ac:dyDescent="0.25">
      <c r="G288" s="143"/>
    </row>
    <row r="289" spans="7:7" x14ac:dyDescent="0.25">
      <c r="G289" s="143"/>
    </row>
    <row r="290" spans="7:7" x14ac:dyDescent="0.25">
      <c r="G290" s="143"/>
    </row>
    <row r="291" spans="7:7" x14ac:dyDescent="0.25">
      <c r="G291" s="143"/>
    </row>
    <row r="292" spans="7:7" x14ac:dyDescent="0.25">
      <c r="G292" s="143"/>
    </row>
    <row r="293" spans="7:7" x14ac:dyDescent="0.25">
      <c r="G293" s="143"/>
    </row>
    <row r="294" spans="7:7" x14ac:dyDescent="0.25">
      <c r="G294" s="143"/>
    </row>
    <row r="295" spans="7:7" x14ac:dyDescent="0.25">
      <c r="G295" s="143"/>
    </row>
    <row r="296" spans="7:7" x14ac:dyDescent="0.25">
      <c r="G296" s="143"/>
    </row>
    <row r="297" spans="7:7" x14ac:dyDescent="0.25">
      <c r="G297" s="143"/>
    </row>
    <row r="298" spans="7:7" x14ac:dyDescent="0.25">
      <c r="G298" s="143"/>
    </row>
    <row r="299" spans="7:7" x14ac:dyDescent="0.25">
      <c r="G299" s="143"/>
    </row>
    <row r="300" spans="7:7" x14ac:dyDescent="0.25">
      <c r="G300" s="143"/>
    </row>
    <row r="301" spans="7:7" x14ac:dyDescent="0.25">
      <c r="G301" s="143"/>
    </row>
    <row r="302" spans="7:7" x14ac:dyDescent="0.25">
      <c r="G302" s="143"/>
    </row>
    <row r="303" spans="7:7" x14ac:dyDescent="0.25">
      <c r="G303" s="143"/>
    </row>
    <row r="304" spans="7:7" x14ac:dyDescent="0.25">
      <c r="G304" s="143"/>
    </row>
    <row r="305" spans="7:7" x14ac:dyDescent="0.25">
      <c r="G305" s="143"/>
    </row>
    <row r="306" spans="7:7" x14ac:dyDescent="0.25">
      <c r="G306" s="143"/>
    </row>
    <row r="307" spans="7:7" x14ac:dyDescent="0.25">
      <c r="G307" s="143"/>
    </row>
    <row r="308" spans="7:7" x14ac:dyDescent="0.25">
      <c r="G308" s="143"/>
    </row>
    <row r="309" spans="7:7" x14ac:dyDescent="0.25">
      <c r="G309" s="143"/>
    </row>
    <row r="310" spans="7:7" x14ac:dyDescent="0.25">
      <c r="G310" s="143"/>
    </row>
    <row r="311" spans="7:7" x14ac:dyDescent="0.25">
      <c r="G311" s="143"/>
    </row>
    <row r="312" spans="7:7" x14ac:dyDescent="0.25">
      <c r="G312" s="143"/>
    </row>
    <row r="313" spans="7:7" x14ac:dyDescent="0.25">
      <c r="G313" s="143"/>
    </row>
    <row r="314" spans="7:7" x14ac:dyDescent="0.25">
      <c r="G314" s="143"/>
    </row>
    <row r="315" spans="7:7" x14ac:dyDescent="0.25">
      <c r="G315" s="143"/>
    </row>
    <row r="316" spans="7:7" x14ac:dyDescent="0.25">
      <c r="G316" s="143"/>
    </row>
    <row r="317" spans="7:7" x14ac:dyDescent="0.25">
      <c r="G317" s="143"/>
    </row>
    <row r="318" spans="7:7" x14ac:dyDescent="0.25">
      <c r="G318" s="143"/>
    </row>
    <row r="319" spans="7:7" x14ac:dyDescent="0.25">
      <c r="G319" s="143"/>
    </row>
    <row r="320" spans="7:7" x14ac:dyDescent="0.25">
      <c r="G320" s="143"/>
    </row>
    <row r="321" spans="7:7" x14ac:dyDescent="0.25">
      <c r="G321" s="143"/>
    </row>
    <row r="322" spans="7:7" x14ac:dyDescent="0.25">
      <c r="G322" s="143"/>
    </row>
    <row r="323" spans="7:7" x14ac:dyDescent="0.25">
      <c r="G323" s="143"/>
    </row>
    <row r="324" spans="7:7" x14ac:dyDescent="0.25">
      <c r="G324" s="143"/>
    </row>
    <row r="325" spans="7:7" x14ac:dyDescent="0.25">
      <c r="G325" s="143"/>
    </row>
    <row r="326" spans="7:7" x14ac:dyDescent="0.25">
      <c r="G326" s="143"/>
    </row>
    <row r="327" spans="7:7" x14ac:dyDescent="0.25">
      <c r="G327" s="143"/>
    </row>
    <row r="328" spans="7:7" x14ac:dyDescent="0.25">
      <c r="G328" s="143"/>
    </row>
    <row r="329" spans="7:7" x14ac:dyDescent="0.25">
      <c r="G329" s="143"/>
    </row>
    <row r="330" spans="7:7" x14ac:dyDescent="0.25">
      <c r="G330" s="143"/>
    </row>
    <row r="331" spans="7:7" x14ac:dyDescent="0.25">
      <c r="G331" s="143"/>
    </row>
    <row r="332" spans="7:7" x14ac:dyDescent="0.25">
      <c r="G332" s="143"/>
    </row>
    <row r="333" spans="7:7" x14ac:dyDescent="0.25">
      <c r="G333" s="143"/>
    </row>
    <row r="334" spans="7:7" x14ac:dyDescent="0.25">
      <c r="G334" s="143"/>
    </row>
    <row r="335" spans="7:7" x14ac:dyDescent="0.25">
      <c r="G335" s="143"/>
    </row>
    <row r="336" spans="7:7" x14ac:dyDescent="0.25">
      <c r="G336" s="143"/>
    </row>
    <row r="337" spans="7:7" x14ac:dyDescent="0.25">
      <c r="G337" s="143"/>
    </row>
    <row r="338" spans="7:7" x14ac:dyDescent="0.25">
      <c r="G338" s="143"/>
    </row>
    <row r="339" spans="7:7" x14ac:dyDescent="0.25">
      <c r="G339" s="143"/>
    </row>
    <row r="340" spans="7:7" x14ac:dyDescent="0.25">
      <c r="G340" s="143"/>
    </row>
    <row r="341" spans="7:7" x14ac:dyDescent="0.25">
      <c r="G341" s="143"/>
    </row>
    <row r="342" spans="7:7" x14ac:dyDescent="0.25">
      <c r="G342" s="143"/>
    </row>
    <row r="343" spans="7:7" x14ac:dyDescent="0.25">
      <c r="G343" s="143"/>
    </row>
    <row r="344" spans="7:7" x14ac:dyDescent="0.25">
      <c r="G344" s="143"/>
    </row>
    <row r="345" spans="7:7" x14ac:dyDescent="0.25">
      <c r="G345" s="143"/>
    </row>
    <row r="346" spans="7:7" x14ac:dyDescent="0.25">
      <c r="G346" s="143"/>
    </row>
    <row r="347" spans="7:7" x14ac:dyDescent="0.25">
      <c r="G347" s="143"/>
    </row>
    <row r="348" spans="7:7" x14ac:dyDescent="0.25">
      <c r="G348" s="143"/>
    </row>
    <row r="349" spans="7:7" x14ac:dyDescent="0.25">
      <c r="G349" s="143"/>
    </row>
    <row r="350" spans="7:7" x14ac:dyDescent="0.25">
      <c r="G350" s="143"/>
    </row>
    <row r="351" spans="7:7" x14ac:dyDescent="0.25">
      <c r="G351" s="143"/>
    </row>
    <row r="352" spans="7:7" x14ac:dyDescent="0.25">
      <c r="G352" s="143"/>
    </row>
    <row r="353" spans="7:7" x14ac:dyDescent="0.25">
      <c r="G353" s="143"/>
    </row>
    <row r="354" spans="7:7" x14ac:dyDescent="0.25">
      <c r="G354" s="143"/>
    </row>
    <row r="355" spans="7:7" x14ac:dyDescent="0.25">
      <c r="G355" s="143"/>
    </row>
    <row r="356" spans="7:7" x14ac:dyDescent="0.25">
      <c r="G356" s="143"/>
    </row>
    <row r="357" spans="7:7" x14ac:dyDescent="0.25">
      <c r="G357" s="143"/>
    </row>
    <row r="358" spans="7:7" x14ac:dyDescent="0.25">
      <c r="G358" s="143"/>
    </row>
    <row r="359" spans="7:7" x14ac:dyDescent="0.25">
      <c r="G359" s="143"/>
    </row>
    <row r="360" spans="7:7" x14ac:dyDescent="0.25">
      <c r="G360" s="143"/>
    </row>
    <row r="361" spans="7:7" x14ac:dyDescent="0.25">
      <c r="G361" s="143"/>
    </row>
    <row r="362" spans="7:7" x14ac:dyDescent="0.25">
      <c r="G362" s="143"/>
    </row>
    <row r="363" spans="7:7" x14ac:dyDescent="0.25">
      <c r="G363" s="143"/>
    </row>
    <row r="364" spans="7:7" x14ac:dyDescent="0.25">
      <c r="G364" s="143"/>
    </row>
    <row r="365" spans="7:7" x14ac:dyDescent="0.25">
      <c r="G365" s="143"/>
    </row>
    <row r="366" spans="7:7" x14ac:dyDescent="0.25">
      <c r="G366" s="143"/>
    </row>
    <row r="367" spans="7:7" x14ac:dyDescent="0.25">
      <c r="G367" s="143"/>
    </row>
    <row r="368" spans="7:7" x14ac:dyDescent="0.25">
      <c r="G368" s="143"/>
    </row>
    <row r="369" spans="7:7" x14ac:dyDescent="0.25">
      <c r="G369" s="143"/>
    </row>
    <row r="370" spans="7:7" x14ac:dyDescent="0.25">
      <c r="G370" s="143"/>
    </row>
    <row r="371" spans="7:7" x14ac:dyDescent="0.25">
      <c r="G371" s="143"/>
    </row>
    <row r="372" spans="7:7" x14ac:dyDescent="0.25">
      <c r="G372" s="143"/>
    </row>
    <row r="373" spans="7:7" x14ac:dyDescent="0.25">
      <c r="G373" s="143"/>
    </row>
    <row r="374" spans="7:7" x14ac:dyDescent="0.25">
      <c r="G374" s="143"/>
    </row>
    <row r="375" spans="7:7" x14ac:dyDescent="0.25">
      <c r="G375" s="143"/>
    </row>
    <row r="376" spans="7:7" x14ac:dyDescent="0.25">
      <c r="G376" s="143"/>
    </row>
    <row r="377" spans="7:7" x14ac:dyDescent="0.25">
      <c r="G377" s="143"/>
    </row>
    <row r="378" spans="7:7" x14ac:dyDescent="0.25">
      <c r="G378" s="143"/>
    </row>
    <row r="379" spans="7:7" x14ac:dyDescent="0.25">
      <c r="G379" s="143"/>
    </row>
    <row r="380" spans="7:7" x14ac:dyDescent="0.25">
      <c r="G380" s="143"/>
    </row>
    <row r="381" spans="7:7" x14ac:dyDescent="0.25">
      <c r="G381" s="143"/>
    </row>
    <row r="382" spans="7:7" x14ac:dyDescent="0.25">
      <c r="G382" s="143"/>
    </row>
    <row r="383" spans="7:7" x14ac:dyDescent="0.25">
      <c r="G383" s="143"/>
    </row>
    <row r="384" spans="7:7" x14ac:dyDescent="0.25">
      <c r="G384" s="143"/>
    </row>
    <row r="385" spans="7:7" x14ac:dyDescent="0.25">
      <c r="G385" s="143"/>
    </row>
    <row r="386" spans="7:7" x14ac:dyDescent="0.25">
      <c r="G386" s="143"/>
    </row>
    <row r="387" spans="7:7" x14ac:dyDescent="0.25">
      <c r="G387" s="143"/>
    </row>
    <row r="388" spans="7:7" x14ac:dyDescent="0.25">
      <c r="G388" s="143"/>
    </row>
    <row r="389" spans="7:7" x14ac:dyDescent="0.25">
      <c r="G389" s="143"/>
    </row>
    <row r="390" spans="7:7" x14ac:dyDescent="0.25">
      <c r="G390" s="143"/>
    </row>
    <row r="391" spans="7:7" x14ac:dyDescent="0.25">
      <c r="G391" s="143"/>
    </row>
    <row r="392" spans="7:7" x14ac:dyDescent="0.25">
      <c r="G392" s="143"/>
    </row>
    <row r="393" spans="7:7" x14ac:dyDescent="0.25">
      <c r="G393" s="143"/>
    </row>
    <row r="394" spans="7:7" x14ac:dyDescent="0.25">
      <c r="G394" s="143"/>
    </row>
    <row r="395" spans="7:7" x14ac:dyDescent="0.25">
      <c r="G395" s="143"/>
    </row>
    <row r="396" spans="7:7" x14ac:dyDescent="0.25">
      <c r="G396" s="143"/>
    </row>
    <row r="397" spans="7:7" x14ac:dyDescent="0.25">
      <c r="G397" s="143"/>
    </row>
    <row r="398" spans="7:7" x14ac:dyDescent="0.25">
      <c r="G398" s="143"/>
    </row>
    <row r="399" spans="7:7" x14ac:dyDescent="0.25">
      <c r="G399" s="143"/>
    </row>
    <row r="400" spans="7:7" x14ac:dyDescent="0.25">
      <c r="G400" s="143"/>
    </row>
    <row r="401" spans="7:7" x14ac:dyDescent="0.25">
      <c r="G401" s="143"/>
    </row>
    <row r="402" spans="7:7" x14ac:dyDescent="0.25">
      <c r="G402" s="143"/>
    </row>
    <row r="403" spans="7:7" x14ac:dyDescent="0.25">
      <c r="G403" s="143"/>
    </row>
    <row r="404" spans="7:7" x14ac:dyDescent="0.25">
      <c r="G404" s="143"/>
    </row>
    <row r="405" spans="7:7" x14ac:dyDescent="0.25">
      <c r="G405" s="143"/>
    </row>
    <row r="406" spans="7:7" x14ac:dyDescent="0.25">
      <c r="G406" s="143"/>
    </row>
    <row r="407" spans="7:7" x14ac:dyDescent="0.25">
      <c r="G407" s="143"/>
    </row>
    <row r="408" spans="7:7" x14ac:dyDescent="0.25">
      <c r="G408" s="143"/>
    </row>
    <row r="409" spans="7:7" x14ac:dyDescent="0.25">
      <c r="G409" s="143"/>
    </row>
    <row r="410" spans="7:7" x14ac:dyDescent="0.25">
      <c r="G410" s="143"/>
    </row>
    <row r="411" spans="7:7" x14ac:dyDescent="0.25">
      <c r="G411" s="143"/>
    </row>
    <row r="412" spans="7:7" x14ac:dyDescent="0.25">
      <c r="G412" s="143"/>
    </row>
    <row r="413" spans="7:7" x14ac:dyDescent="0.25">
      <c r="G413" s="143"/>
    </row>
    <row r="414" spans="7:7" x14ac:dyDescent="0.25">
      <c r="G414" s="143"/>
    </row>
    <row r="415" spans="7:7" x14ac:dyDescent="0.25">
      <c r="G415" s="143"/>
    </row>
    <row r="416" spans="7:7" x14ac:dyDescent="0.25">
      <c r="G416" s="143"/>
    </row>
    <row r="417" spans="7:7" x14ac:dyDescent="0.25">
      <c r="G417" s="143"/>
    </row>
    <row r="418" spans="7:7" x14ac:dyDescent="0.25">
      <c r="G418" s="143"/>
    </row>
    <row r="419" spans="7:7" x14ac:dyDescent="0.25">
      <c r="G419" s="143"/>
    </row>
    <row r="420" spans="7:7" x14ac:dyDescent="0.25">
      <c r="G420" s="143"/>
    </row>
    <row r="421" spans="7:7" x14ac:dyDescent="0.25">
      <c r="G421" s="143"/>
    </row>
    <row r="422" spans="7:7" x14ac:dyDescent="0.25">
      <c r="G422" s="143"/>
    </row>
    <row r="423" spans="7:7" x14ac:dyDescent="0.25">
      <c r="G423" s="143"/>
    </row>
    <row r="424" spans="7:7" x14ac:dyDescent="0.25">
      <c r="G424" s="143"/>
    </row>
    <row r="425" spans="7:7" x14ac:dyDescent="0.25">
      <c r="G425" s="143"/>
    </row>
    <row r="426" spans="7:7" x14ac:dyDescent="0.25">
      <c r="G426" s="143"/>
    </row>
    <row r="427" spans="7:7" x14ac:dyDescent="0.25">
      <c r="G427" s="143"/>
    </row>
    <row r="428" spans="7:7" x14ac:dyDescent="0.25">
      <c r="G428" s="143"/>
    </row>
    <row r="429" spans="7:7" x14ac:dyDescent="0.25">
      <c r="G429" s="143"/>
    </row>
    <row r="430" spans="7:7" x14ac:dyDescent="0.25">
      <c r="G430" s="143"/>
    </row>
    <row r="431" spans="7:7" x14ac:dyDescent="0.25">
      <c r="G431" s="143"/>
    </row>
    <row r="432" spans="7:7" x14ac:dyDescent="0.25">
      <c r="G432" s="143"/>
    </row>
    <row r="433" spans="7:7" x14ac:dyDescent="0.25">
      <c r="G433" s="143"/>
    </row>
    <row r="434" spans="7:7" x14ac:dyDescent="0.25">
      <c r="G434" s="143"/>
    </row>
    <row r="435" spans="7:7" x14ac:dyDescent="0.25">
      <c r="G435" s="143"/>
    </row>
    <row r="436" spans="7:7" x14ac:dyDescent="0.25">
      <c r="G436" s="143"/>
    </row>
    <row r="437" spans="7:7" x14ac:dyDescent="0.25">
      <c r="G437" s="143"/>
    </row>
    <row r="438" spans="7:7" x14ac:dyDescent="0.25">
      <c r="G438" s="143"/>
    </row>
    <row r="439" spans="7:7" x14ac:dyDescent="0.25">
      <c r="G439" s="143"/>
    </row>
    <row r="440" spans="7:7" x14ac:dyDescent="0.25">
      <c r="G440" s="143"/>
    </row>
    <row r="441" spans="7:7" x14ac:dyDescent="0.25">
      <c r="G441" s="143"/>
    </row>
    <row r="442" spans="7:7" x14ac:dyDescent="0.25">
      <c r="G442" s="143"/>
    </row>
    <row r="443" spans="7:7" x14ac:dyDescent="0.25">
      <c r="G443" s="143"/>
    </row>
    <row r="444" spans="7:7" x14ac:dyDescent="0.25">
      <c r="G444" s="143"/>
    </row>
    <row r="445" spans="7:7" x14ac:dyDescent="0.25">
      <c r="G445" s="143"/>
    </row>
    <row r="446" spans="7:7" x14ac:dyDescent="0.25">
      <c r="G446" s="143"/>
    </row>
    <row r="447" spans="7:7" x14ac:dyDescent="0.25">
      <c r="G447" s="143"/>
    </row>
    <row r="448" spans="7:7" x14ac:dyDescent="0.25">
      <c r="G448" s="143"/>
    </row>
    <row r="449" spans="7:7" x14ac:dyDescent="0.25">
      <c r="G449" s="143"/>
    </row>
    <row r="450" spans="7:7" x14ac:dyDescent="0.25">
      <c r="G450" s="143"/>
    </row>
    <row r="451" spans="7:7" x14ac:dyDescent="0.25">
      <c r="G451" s="143"/>
    </row>
    <row r="452" spans="7:7" x14ac:dyDescent="0.25">
      <c r="G452" s="143"/>
    </row>
    <row r="453" spans="7:7" x14ac:dyDescent="0.25">
      <c r="G453" s="143"/>
    </row>
    <row r="454" spans="7:7" x14ac:dyDescent="0.25">
      <c r="G454" s="143"/>
    </row>
    <row r="455" spans="7:7" x14ac:dyDescent="0.25">
      <c r="G455" s="143"/>
    </row>
    <row r="456" spans="7:7" x14ac:dyDescent="0.25">
      <c r="G456" s="143"/>
    </row>
    <row r="457" spans="7:7" x14ac:dyDescent="0.25">
      <c r="G457" s="143"/>
    </row>
    <row r="458" spans="7:7" x14ac:dyDescent="0.25">
      <c r="G458" s="143"/>
    </row>
    <row r="459" spans="7:7" x14ac:dyDescent="0.25">
      <c r="G459" s="143"/>
    </row>
    <row r="460" spans="7:7" x14ac:dyDescent="0.25">
      <c r="G460" s="143"/>
    </row>
    <row r="461" spans="7:7" x14ac:dyDescent="0.25">
      <c r="G461" s="143"/>
    </row>
    <row r="462" spans="7:7" x14ac:dyDescent="0.25">
      <c r="G462" s="143"/>
    </row>
    <row r="463" spans="7:7" x14ac:dyDescent="0.25">
      <c r="G463" s="143"/>
    </row>
    <row r="464" spans="7:7" x14ac:dyDescent="0.25">
      <c r="G464" s="143"/>
    </row>
    <row r="465" spans="7:7" x14ac:dyDescent="0.25">
      <c r="G465" s="143"/>
    </row>
    <row r="466" spans="7:7" x14ac:dyDescent="0.25">
      <c r="G466" s="143"/>
    </row>
    <row r="467" spans="7:7" x14ac:dyDescent="0.25">
      <c r="G467" s="143"/>
    </row>
    <row r="468" spans="7:7" x14ac:dyDescent="0.25">
      <c r="G468" s="143"/>
    </row>
    <row r="469" spans="7:7" x14ac:dyDescent="0.25">
      <c r="G469" s="143"/>
    </row>
    <row r="470" spans="7:7" x14ac:dyDescent="0.25">
      <c r="G470" s="143"/>
    </row>
    <row r="471" spans="7:7" x14ac:dyDescent="0.25">
      <c r="G471" s="143"/>
    </row>
    <row r="472" spans="7:7" x14ac:dyDescent="0.25">
      <c r="G472" s="143"/>
    </row>
    <row r="473" spans="7:7" x14ac:dyDescent="0.25">
      <c r="G473" s="143"/>
    </row>
    <row r="474" spans="7:7" x14ac:dyDescent="0.25">
      <c r="G474" s="143"/>
    </row>
    <row r="475" spans="7:7" x14ac:dyDescent="0.25">
      <c r="G475" s="143"/>
    </row>
    <row r="476" spans="7:7" x14ac:dyDescent="0.25">
      <c r="G476" s="143"/>
    </row>
    <row r="477" spans="7:7" x14ac:dyDescent="0.25">
      <c r="G477" s="143"/>
    </row>
    <row r="478" spans="7:7" x14ac:dyDescent="0.25">
      <c r="G478" s="143"/>
    </row>
    <row r="479" spans="7:7" x14ac:dyDescent="0.25">
      <c r="G479" s="143"/>
    </row>
    <row r="480" spans="7:7" x14ac:dyDescent="0.25">
      <c r="G480" s="143"/>
    </row>
    <row r="481" spans="7:7" x14ac:dyDescent="0.25">
      <c r="G481" s="143"/>
    </row>
    <row r="482" spans="7:7" x14ac:dyDescent="0.25">
      <c r="G482" s="143"/>
    </row>
    <row r="483" spans="7:7" x14ac:dyDescent="0.25">
      <c r="G483" s="143"/>
    </row>
    <row r="484" spans="7:7" x14ac:dyDescent="0.25">
      <c r="G484" s="143"/>
    </row>
    <row r="485" spans="7:7" x14ac:dyDescent="0.25">
      <c r="G485" s="143"/>
    </row>
    <row r="486" spans="7:7" x14ac:dyDescent="0.25">
      <c r="G486" s="143"/>
    </row>
    <row r="487" spans="7:7" x14ac:dyDescent="0.25">
      <c r="G487" s="143"/>
    </row>
    <row r="488" spans="7:7" x14ac:dyDescent="0.25">
      <c r="G488" s="143"/>
    </row>
    <row r="489" spans="7:7" x14ac:dyDescent="0.25">
      <c r="G489" s="143"/>
    </row>
    <row r="490" spans="7:7" x14ac:dyDescent="0.25">
      <c r="G490" s="143"/>
    </row>
    <row r="491" spans="7:7" x14ac:dyDescent="0.25">
      <c r="G491" s="143"/>
    </row>
    <row r="492" spans="7:7" x14ac:dyDescent="0.25">
      <c r="G492" s="143"/>
    </row>
    <row r="493" spans="7:7" x14ac:dyDescent="0.25">
      <c r="G493" s="143"/>
    </row>
    <row r="494" spans="7:7" x14ac:dyDescent="0.25">
      <c r="G494" s="143"/>
    </row>
    <row r="495" spans="7:7" x14ac:dyDescent="0.25">
      <c r="G495" s="143"/>
    </row>
    <row r="496" spans="7:7" x14ac:dyDescent="0.25">
      <c r="G496" s="143"/>
    </row>
    <row r="497" spans="7:7" x14ac:dyDescent="0.25">
      <c r="G497" s="143"/>
    </row>
    <row r="498" spans="7:7" x14ac:dyDescent="0.25">
      <c r="G498" s="143"/>
    </row>
    <row r="499" spans="7:7" x14ac:dyDescent="0.25">
      <c r="G499" s="143"/>
    </row>
    <row r="500" spans="7:7" x14ac:dyDescent="0.25">
      <c r="G500" s="143"/>
    </row>
    <row r="501" spans="7:7" x14ac:dyDescent="0.25">
      <c r="G501" s="143"/>
    </row>
    <row r="502" spans="7:7" x14ac:dyDescent="0.25">
      <c r="G502" s="143"/>
    </row>
    <row r="503" spans="7:7" x14ac:dyDescent="0.25">
      <c r="G503" s="143"/>
    </row>
    <row r="504" spans="7:7" x14ac:dyDescent="0.25">
      <c r="G504" s="143"/>
    </row>
    <row r="505" spans="7:7" x14ac:dyDescent="0.25">
      <c r="G505" s="143"/>
    </row>
    <row r="506" spans="7:7" x14ac:dyDescent="0.25">
      <c r="G506" s="143"/>
    </row>
    <row r="507" spans="7:7" x14ac:dyDescent="0.25">
      <c r="G507" s="143"/>
    </row>
    <row r="508" spans="7:7" x14ac:dyDescent="0.25">
      <c r="G508" s="143"/>
    </row>
    <row r="509" spans="7:7" x14ac:dyDescent="0.25">
      <c r="G509" s="143"/>
    </row>
    <row r="510" spans="7:7" x14ac:dyDescent="0.25">
      <c r="G510" s="143"/>
    </row>
    <row r="511" spans="7:7" x14ac:dyDescent="0.25">
      <c r="G511" s="143"/>
    </row>
    <row r="512" spans="7:7" x14ac:dyDescent="0.25">
      <c r="G512" s="143"/>
    </row>
    <row r="513" spans="7:7" x14ac:dyDescent="0.25">
      <c r="G513" s="143"/>
    </row>
    <row r="514" spans="7:7" x14ac:dyDescent="0.25">
      <c r="G514" s="143"/>
    </row>
    <row r="515" spans="7:7" x14ac:dyDescent="0.25">
      <c r="G515" s="143"/>
    </row>
    <row r="516" spans="7:7" x14ac:dyDescent="0.25">
      <c r="G516" s="143"/>
    </row>
    <row r="517" spans="7:7" x14ac:dyDescent="0.25">
      <c r="G517" s="143"/>
    </row>
    <row r="518" spans="7:7" x14ac:dyDescent="0.25">
      <c r="G518" s="143"/>
    </row>
    <row r="519" spans="7:7" x14ac:dyDescent="0.25">
      <c r="G519" s="143"/>
    </row>
    <row r="520" spans="7:7" x14ac:dyDescent="0.25">
      <c r="G520" s="143"/>
    </row>
    <row r="521" spans="7:7" x14ac:dyDescent="0.25">
      <c r="G521" s="143"/>
    </row>
    <row r="522" spans="7:7" x14ac:dyDescent="0.25">
      <c r="G522" s="143"/>
    </row>
    <row r="523" spans="7:7" x14ac:dyDescent="0.25">
      <c r="G523" s="143"/>
    </row>
    <row r="524" spans="7:7" x14ac:dyDescent="0.25">
      <c r="G524" s="143"/>
    </row>
    <row r="525" spans="7:7" x14ac:dyDescent="0.25">
      <c r="G525" s="143"/>
    </row>
    <row r="526" spans="7:7" x14ac:dyDescent="0.25">
      <c r="G526" s="143"/>
    </row>
    <row r="527" spans="7:7" x14ac:dyDescent="0.25">
      <c r="G527" s="143"/>
    </row>
    <row r="528" spans="7:7" x14ac:dyDescent="0.25">
      <c r="G528" s="143"/>
    </row>
    <row r="529" spans="7:7" x14ac:dyDescent="0.25">
      <c r="G529" s="143"/>
    </row>
    <row r="530" spans="7:7" x14ac:dyDescent="0.25">
      <c r="G530" s="143"/>
    </row>
    <row r="531" spans="7:7" x14ac:dyDescent="0.25">
      <c r="G531" s="143"/>
    </row>
    <row r="532" spans="7:7" x14ac:dyDescent="0.25">
      <c r="G532" s="143"/>
    </row>
    <row r="533" spans="7:7" x14ac:dyDescent="0.25">
      <c r="G533" s="143"/>
    </row>
    <row r="534" spans="7:7" x14ac:dyDescent="0.25">
      <c r="G534" s="143"/>
    </row>
    <row r="535" spans="7:7" x14ac:dyDescent="0.25">
      <c r="G535" s="143"/>
    </row>
    <row r="536" spans="7:7" x14ac:dyDescent="0.25">
      <c r="G536" s="143"/>
    </row>
    <row r="537" spans="7:7" x14ac:dyDescent="0.25">
      <c r="G537" s="143"/>
    </row>
    <row r="538" spans="7:7" x14ac:dyDescent="0.25">
      <c r="G538" s="143"/>
    </row>
    <row r="539" spans="7:7" x14ac:dyDescent="0.25">
      <c r="G539" s="143"/>
    </row>
    <row r="540" spans="7:7" x14ac:dyDescent="0.25">
      <c r="G540" s="143"/>
    </row>
    <row r="541" spans="7:7" x14ac:dyDescent="0.25">
      <c r="G541" s="143"/>
    </row>
    <row r="542" spans="7:7" x14ac:dyDescent="0.25">
      <c r="G542" s="143"/>
    </row>
    <row r="543" spans="7:7" x14ac:dyDescent="0.25">
      <c r="G543" s="143"/>
    </row>
    <row r="544" spans="7:7" x14ac:dyDescent="0.25">
      <c r="G544" s="143"/>
    </row>
    <row r="545" spans="7:7" x14ac:dyDescent="0.25">
      <c r="G545" s="143"/>
    </row>
    <row r="546" spans="7:7" x14ac:dyDescent="0.25">
      <c r="G546" s="143"/>
    </row>
    <row r="547" spans="7:7" x14ac:dyDescent="0.25">
      <c r="G547" s="143"/>
    </row>
    <row r="548" spans="7:7" x14ac:dyDescent="0.25">
      <c r="G548" s="143"/>
    </row>
    <row r="549" spans="7:7" x14ac:dyDescent="0.25">
      <c r="G549" s="143"/>
    </row>
    <row r="550" spans="7:7" x14ac:dyDescent="0.25">
      <c r="G550" s="143"/>
    </row>
    <row r="551" spans="7:7" x14ac:dyDescent="0.25">
      <c r="G551" s="143"/>
    </row>
    <row r="552" spans="7:7" x14ac:dyDescent="0.25">
      <c r="G552" s="143"/>
    </row>
    <row r="553" spans="7:7" x14ac:dyDescent="0.25">
      <c r="G553" s="143"/>
    </row>
    <row r="554" spans="7:7" x14ac:dyDescent="0.25">
      <c r="G554" s="143"/>
    </row>
    <row r="555" spans="7:7" x14ac:dyDescent="0.25">
      <c r="G555" s="143"/>
    </row>
    <row r="556" spans="7:7" x14ac:dyDescent="0.25">
      <c r="G556" s="143"/>
    </row>
    <row r="557" spans="7:7" x14ac:dyDescent="0.25">
      <c r="G557" s="143"/>
    </row>
    <row r="558" spans="7:7" x14ac:dyDescent="0.25">
      <c r="G558" s="143"/>
    </row>
    <row r="559" spans="7:7" x14ac:dyDescent="0.25">
      <c r="G559" s="143"/>
    </row>
    <row r="560" spans="7:7" x14ac:dyDescent="0.25">
      <c r="G560" s="143"/>
    </row>
    <row r="561" spans="7:7" x14ac:dyDescent="0.25">
      <c r="G561" s="143"/>
    </row>
    <row r="562" spans="7:7" x14ac:dyDescent="0.25">
      <c r="G562" s="143"/>
    </row>
    <row r="563" spans="7:7" x14ac:dyDescent="0.25">
      <c r="G563" s="143"/>
    </row>
    <row r="564" spans="7:7" x14ac:dyDescent="0.25">
      <c r="G564" s="143"/>
    </row>
    <row r="565" spans="7:7" x14ac:dyDescent="0.25">
      <c r="G565" s="143"/>
    </row>
    <row r="566" spans="7:7" x14ac:dyDescent="0.25">
      <c r="G566" s="143"/>
    </row>
    <row r="567" spans="7:7" x14ac:dyDescent="0.25">
      <c r="G567" s="143"/>
    </row>
    <row r="568" spans="7:7" x14ac:dyDescent="0.25">
      <c r="G568" s="143"/>
    </row>
    <row r="569" spans="7:7" x14ac:dyDescent="0.25">
      <c r="G569" s="143"/>
    </row>
    <row r="570" spans="7:7" x14ac:dyDescent="0.25">
      <c r="G570" s="143"/>
    </row>
    <row r="571" spans="7:7" x14ac:dyDescent="0.25">
      <c r="G571" s="143"/>
    </row>
    <row r="572" spans="7:7" x14ac:dyDescent="0.25">
      <c r="G572" s="143"/>
    </row>
    <row r="573" spans="7:7" x14ac:dyDescent="0.25">
      <c r="G573" s="143"/>
    </row>
    <row r="574" spans="7:7" x14ac:dyDescent="0.25">
      <c r="G574" s="143"/>
    </row>
    <row r="575" spans="7:7" x14ac:dyDescent="0.25">
      <c r="G575" s="143"/>
    </row>
    <row r="576" spans="7:7" x14ac:dyDescent="0.25">
      <c r="G576" s="143"/>
    </row>
    <row r="577" spans="7:7" x14ac:dyDescent="0.25">
      <c r="G577" s="143"/>
    </row>
    <row r="578" spans="7:7" x14ac:dyDescent="0.25">
      <c r="G578" s="143"/>
    </row>
    <row r="579" spans="7:7" x14ac:dyDescent="0.25">
      <c r="G579" s="143"/>
    </row>
    <row r="580" spans="7:7" x14ac:dyDescent="0.25">
      <c r="G580" s="143"/>
    </row>
    <row r="581" spans="7:7" x14ac:dyDescent="0.25">
      <c r="G581" s="143"/>
    </row>
    <row r="582" spans="7:7" x14ac:dyDescent="0.25">
      <c r="G582" s="143"/>
    </row>
    <row r="583" spans="7:7" x14ac:dyDescent="0.25">
      <c r="G583" s="143"/>
    </row>
    <row r="584" spans="7:7" x14ac:dyDescent="0.25">
      <c r="G584" s="143"/>
    </row>
    <row r="585" spans="7:7" x14ac:dyDescent="0.25">
      <c r="G585" s="143"/>
    </row>
    <row r="586" spans="7:7" x14ac:dyDescent="0.25">
      <c r="G586" s="143"/>
    </row>
    <row r="587" spans="7:7" x14ac:dyDescent="0.25">
      <c r="G587" s="143"/>
    </row>
    <row r="588" spans="7:7" x14ac:dyDescent="0.25">
      <c r="G588" s="143"/>
    </row>
    <row r="589" spans="7:7" x14ac:dyDescent="0.25">
      <c r="G589" s="143"/>
    </row>
    <row r="590" spans="7:7" x14ac:dyDescent="0.25">
      <c r="G590" s="143"/>
    </row>
    <row r="591" spans="7:7" x14ac:dyDescent="0.25">
      <c r="G591" s="143"/>
    </row>
    <row r="592" spans="7:7" x14ac:dyDescent="0.25">
      <c r="G592" s="143"/>
    </row>
    <row r="593" spans="7:7" x14ac:dyDescent="0.25">
      <c r="G593" s="143"/>
    </row>
    <row r="594" spans="7:7" x14ac:dyDescent="0.25">
      <c r="G594" s="143"/>
    </row>
    <row r="595" spans="7:7" x14ac:dyDescent="0.25">
      <c r="G595" s="143"/>
    </row>
    <row r="596" spans="7:7" x14ac:dyDescent="0.25">
      <c r="G596" s="143"/>
    </row>
    <row r="597" spans="7:7" x14ac:dyDescent="0.25">
      <c r="G597" s="143"/>
    </row>
    <row r="598" spans="7:7" x14ac:dyDescent="0.25">
      <c r="G598" s="143"/>
    </row>
    <row r="599" spans="7:7" x14ac:dyDescent="0.25">
      <c r="G599" s="143"/>
    </row>
    <row r="600" spans="7:7" x14ac:dyDescent="0.25">
      <c r="G600" s="143"/>
    </row>
    <row r="601" spans="7:7" x14ac:dyDescent="0.25">
      <c r="G601" s="143"/>
    </row>
    <row r="602" spans="7:7" x14ac:dyDescent="0.25">
      <c r="G602" s="143"/>
    </row>
    <row r="603" spans="7:7" x14ac:dyDescent="0.25">
      <c r="G603" s="143"/>
    </row>
    <row r="604" spans="7:7" x14ac:dyDescent="0.25">
      <c r="G604" s="143"/>
    </row>
    <row r="605" spans="7:7" x14ac:dyDescent="0.25">
      <c r="G605" s="143"/>
    </row>
    <row r="606" spans="7:7" x14ac:dyDescent="0.25">
      <c r="G606" s="143"/>
    </row>
    <row r="607" spans="7:7" x14ac:dyDescent="0.25">
      <c r="G607" s="143"/>
    </row>
    <row r="608" spans="7:7" x14ac:dyDescent="0.25">
      <c r="G608" s="143"/>
    </row>
    <row r="609" spans="7:7" x14ac:dyDescent="0.25">
      <c r="G609" s="143"/>
    </row>
    <row r="610" spans="7:7" x14ac:dyDescent="0.25">
      <c r="G610" s="143"/>
    </row>
    <row r="611" spans="7:7" x14ac:dyDescent="0.25">
      <c r="G611" s="143"/>
    </row>
    <row r="612" spans="7:7" x14ac:dyDescent="0.25">
      <c r="G612" s="143"/>
    </row>
    <row r="613" spans="7:7" x14ac:dyDescent="0.25">
      <c r="G613" s="143"/>
    </row>
    <row r="614" spans="7:7" x14ac:dyDescent="0.25">
      <c r="G614" s="143"/>
    </row>
    <row r="615" spans="7:7" x14ac:dyDescent="0.25">
      <c r="G615" s="143"/>
    </row>
    <row r="616" spans="7:7" x14ac:dyDescent="0.25">
      <c r="G616" s="143"/>
    </row>
    <row r="617" spans="7:7" x14ac:dyDescent="0.25">
      <c r="G617" s="143"/>
    </row>
    <row r="618" spans="7:7" x14ac:dyDescent="0.25">
      <c r="G618" s="143"/>
    </row>
    <row r="619" spans="7:7" x14ac:dyDescent="0.25">
      <c r="G619" s="143"/>
    </row>
    <row r="620" spans="7:7" x14ac:dyDescent="0.25">
      <c r="G620" s="143"/>
    </row>
    <row r="621" spans="7:7" x14ac:dyDescent="0.25">
      <c r="G621" s="143"/>
    </row>
    <row r="622" spans="7:7" x14ac:dyDescent="0.25">
      <c r="G622" s="143"/>
    </row>
    <row r="623" spans="7:7" x14ac:dyDescent="0.25">
      <c r="G623" s="143"/>
    </row>
    <row r="624" spans="7:7" x14ac:dyDescent="0.25">
      <c r="G624" s="143"/>
    </row>
    <row r="625" spans="7:7" x14ac:dyDescent="0.25">
      <c r="G625" s="143"/>
    </row>
    <row r="626" spans="7:7" x14ac:dyDescent="0.25">
      <c r="G626" s="143"/>
    </row>
    <row r="627" spans="7:7" x14ac:dyDescent="0.25">
      <c r="G627" s="143"/>
    </row>
    <row r="628" spans="7:7" x14ac:dyDescent="0.25">
      <c r="G628" s="143"/>
    </row>
    <row r="629" spans="7:7" x14ac:dyDescent="0.25">
      <c r="G629" s="143"/>
    </row>
    <row r="630" spans="7:7" x14ac:dyDescent="0.25">
      <c r="G630" s="143"/>
    </row>
    <row r="631" spans="7:7" x14ac:dyDescent="0.25">
      <c r="G631" s="143"/>
    </row>
    <row r="632" spans="7:7" x14ac:dyDescent="0.25">
      <c r="G632" s="143"/>
    </row>
    <row r="633" spans="7:7" x14ac:dyDescent="0.25">
      <c r="G633" s="143"/>
    </row>
    <row r="634" spans="7:7" x14ac:dyDescent="0.25">
      <c r="G634" s="143"/>
    </row>
    <row r="635" spans="7:7" x14ac:dyDescent="0.25">
      <c r="G635" s="143"/>
    </row>
    <row r="636" spans="7:7" x14ac:dyDescent="0.25">
      <c r="G636" s="143"/>
    </row>
    <row r="637" spans="7:7" x14ac:dyDescent="0.25">
      <c r="G637" s="143"/>
    </row>
    <row r="638" spans="7:7" x14ac:dyDescent="0.25">
      <c r="G638" s="143"/>
    </row>
    <row r="639" spans="7:7" x14ac:dyDescent="0.25">
      <c r="G639" s="143"/>
    </row>
    <row r="640" spans="7:7" x14ac:dyDescent="0.25">
      <c r="G640" s="143"/>
    </row>
    <row r="641" spans="7:7" x14ac:dyDescent="0.25">
      <c r="G641" s="143"/>
    </row>
    <row r="642" spans="7:7" x14ac:dyDescent="0.25">
      <c r="G642" s="143"/>
    </row>
    <row r="643" spans="7:7" x14ac:dyDescent="0.25">
      <c r="G643" s="143"/>
    </row>
    <row r="644" spans="7:7" x14ac:dyDescent="0.25">
      <c r="G644" s="143"/>
    </row>
    <row r="645" spans="7:7" x14ac:dyDescent="0.25">
      <c r="G645" s="143"/>
    </row>
    <row r="646" spans="7:7" x14ac:dyDescent="0.25">
      <c r="G646" s="143"/>
    </row>
    <row r="647" spans="7:7" x14ac:dyDescent="0.25">
      <c r="G647" s="143"/>
    </row>
    <row r="648" spans="7:7" x14ac:dyDescent="0.25">
      <c r="G648" s="143"/>
    </row>
    <row r="649" spans="7:7" x14ac:dyDescent="0.25">
      <c r="G649" s="143"/>
    </row>
    <row r="650" spans="7:7" x14ac:dyDescent="0.25">
      <c r="G650" s="143"/>
    </row>
    <row r="651" spans="7:7" x14ac:dyDescent="0.25">
      <c r="G651" s="143"/>
    </row>
    <row r="652" spans="7:7" x14ac:dyDescent="0.25">
      <c r="G652" s="143"/>
    </row>
    <row r="653" spans="7:7" x14ac:dyDescent="0.25">
      <c r="G653" s="143"/>
    </row>
    <row r="654" spans="7:7" x14ac:dyDescent="0.25">
      <c r="G654" s="143"/>
    </row>
    <row r="655" spans="7:7" x14ac:dyDescent="0.25">
      <c r="G655" s="143"/>
    </row>
    <row r="656" spans="7:7" x14ac:dyDescent="0.25">
      <c r="G656" s="143"/>
    </row>
    <row r="657" spans="7:7" x14ac:dyDescent="0.25">
      <c r="G657" s="143"/>
    </row>
    <row r="658" spans="7:7" x14ac:dyDescent="0.25">
      <c r="G658" s="143"/>
    </row>
    <row r="659" spans="7:7" x14ac:dyDescent="0.25">
      <c r="G659" s="143"/>
    </row>
    <row r="660" spans="7:7" x14ac:dyDescent="0.25">
      <c r="G660" s="143"/>
    </row>
    <row r="661" spans="7:7" x14ac:dyDescent="0.25">
      <c r="G661" s="143"/>
    </row>
    <row r="662" spans="7:7" x14ac:dyDescent="0.25">
      <c r="G662" s="143"/>
    </row>
    <row r="663" spans="7:7" x14ac:dyDescent="0.25">
      <c r="G663" s="143"/>
    </row>
    <row r="664" spans="7:7" x14ac:dyDescent="0.25">
      <c r="G664" s="143"/>
    </row>
    <row r="665" spans="7:7" x14ac:dyDescent="0.25">
      <c r="G665" s="143"/>
    </row>
    <row r="666" spans="7:7" x14ac:dyDescent="0.25">
      <c r="G666" s="143"/>
    </row>
    <row r="667" spans="7:7" x14ac:dyDescent="0.25">
      <c r="G667" s="143"/>
    </row>
    <row r="668" spans="7:7" x14ac:dyDescent="0.25">
      <c r="G668" s="143"/>
    </row>
    <row r="669" spans="7:7" x14ac:dyDescent="0.25">
      <c r="G669" s="143"/>
    </row>
    <row r="670" spans="7:7" x14ac:dyDescent="0.25">
      <c r="G670" s="143"/>
    </row>
    <row r="671" spans="7:7" x14ac:dyDescent="0.25">
      <c r="G671" s="143"/>
    </row>
    <row r="672" spans="7:7" x14ac:dyDescent="0.25">
      <c r="G672" s="143"/>
    </row>
    <row r="673" spans="7:7" x14ac:dyDescent="0.25">
      <c r="G673" s="143"/>
    </row>
    <row r="674" spans="7:7" x14ac:dyDescent="0.25">
      <c r="G674" s="143"/>
    </row>
    <row r="675" spans="7:7" x14ac:dyDescent="0.25">
      <c r="G675" s="143"/>
    </row>
    <row r="676" spans="7:7" x14ac:dyDescent="0.25">
      <c r="G676" s="143"/>
    </row>
    <row r="677" spans="7:7" x14ac:dyDescent="0.25">
      <c r="G677" s="143"/>
    </row>
    <row r="678" spans="7:7" x14ac:dyDescent="0.25">
      <c r="G678" s="143"/>
    </row>
    <row r="679" spans="7:7" x14ac:dyDescent="0.25">
      <c r="G679" s="143"/>
    </row>
    <row r="680" spans="7:7" x14ac:dyDescent="0.25">
      <c r="G680" s="143"/>
    </row>
    <row r="681" spans="7:7" x14ac:dyDescent="0.25">
      <c r="G681" s="143"/>
    </row>
    <row r="682" spans="7:7" x14ac:dyDescent="0.25">
      <c r="G682" s="143"/>
    </row>
    <row r="683" spans="7:7" x14ac:dyDescent="0.25">
      <c r="G683" s="143"/>
    </row>
    <row r="684" spans="7:7" x14ac:dyDescent="0.25">
      <c r="G684" s="143"/>
    </row>
    <row r="685" spans="7:7" x14ac:dyDescent="0.25">
      <c r="G685" s="143"/>
    </row>
    <row r="686" spans="7:7" x14ac:dyDescent="0.25">
      <c r="G686" s="143"/>
    </row>
    <row r="687" spans="7:7" x14ac:dyDescent="0.25">
      <c r="G687" s="143"/>
    </row>
    <row r="688" spans="7:7" x14ac:dyDescent="0.25">
      <c r="G688" s="143"/>
    </row>
    <row r="689" spans="7:7" x14ac:dyDescent="0.25">
      <c r="G689" s="143"/>
    </row>
    <row r="690" spans="7:7" x14ac:dyDescent="0.25">
      <c r="G690" s="143"/>
    </row>
    <row r="691" spans="7:7" x14ac:dyDescent="0.25">
      <c r="G691" s="143"/>
    </row>
    <row r="692" spans="7:7" x14ac:dyDescent="0.25">
      <c r="G692" s="143"/>
    </row>
    <row r="693" spans="7:7" x14ac:dyDescent="0.25">
      <c r="G693" s="143"/>
    </row>
    <row r="694" spans="7:7" x14ac:dyDescent="0.25">
      <c r="G694" s="143"/>
    </row>
    <row r="695" spans="7:7" x14ac:dyDescent="0.25">
      <c r="G695" s="143"/>
    </row>
    <row r="696" spans="7:7" x14ac:dyDescent="0.25">
      <c r="G696" s="143"/>
    </row>
    <row r="697" spans="7:7" x14ac:dyDescent="0.25">
      <c r="G697" s="143"/>
    </row>
    <row r="698" spans="7:7" x14ac:dyDescent="0.25">
      <c r="G698" s="143"/>
    </row>
    <row r="699" spans="7:7" x14ac:dyDescent="0.25">
      <c r="G699" s="143"/>
    </row>
    <row r="700" spans="7:7" x14ac:dyDescent="0.25">
      <c r="G700" s="143"/>
    </row>
    <row r="701" spans="7:7" x14ac:dyDescent="0.25">
      <c r="G701" s="143"/>
    </row>
    <row r="702" spans="7:7" x14ac:dyDescent="0.25">
      <c r="G702" s="143"/>
    </row>
    <row r="703" spans="7:7" x14ac:dyDescent="0.25">
      <c r="G703" s="143"/>
    </row>
    <row r="704" spans="7:7" x14ac:dyDescent="0.25">
      <c r="G704" s="143"/>
    </row>
    <row r="705" spans="7:7" x14ac:dyDescent="0.25">
      <c r="G705" s="143"/>
    </row>
    <row r="706" spans="7:7" x14ac:dyDescent="0.25">
      <c r="G706" s="143"/>
    </row>
    <row r="707" spans="7:7" x14ac:dyDescent="0.25">
      <c r="G707" s="143"/>
    </row>
    <row r="708" spans="7:7" x14ac:dyDescent="0.25">
      <c r="G708" s="143"/>
    </row>
    <row r="709" spans="7:7" x14ac:dyDescent="0.25">
      <c r="G709" s="143"/>
    </row>
    <row r="710" spans="7:7" x14ac:dyDescent="0.25">
      <c r="G710" s="143"/>
    </row>
    <row r="711" spans="7:7" x14ac:dyDescent="0.25">
      <c r="G711" s="143"/>
    </row>
    <row r="712" spans="7:7" x14ac:dyDescent="0.25">
      <c r="G712" s="143"/>
    </row>
    <row r="713" spans="7:7" x14ac:dyDescent="0.25">
      <c r="G713" s="143"/>
    </row>
    <row r="714" spans="7:7" x14ac:dyDescent="0.25">
      <c r="G714" s="143"/>
    </row>
    <row r="715" spans="7:7" x14ac:dyDescent="0.25">
      <c r="G715" s="143"/>
    </row>
    <row r="716" spans="7:7" x14ac:dyDescent="0.25">
      <c r="G716" s="143"/>
    </row>
    <row r="717" spans="7:7" x14ac:dyDescent="0.25">
      <c r="G717" s="143"/>
    </row>
    <row r="718" spans="7:7" x14ac:dyDescent="0.25">
      <c r="G718" s="143"/>
    </row>
    <row r="719" spans="7:7" x14ac:dyDescent="0.25">
      <c r="G719" s="143"/>
    </row>
    <row r="720" spans="7:7" x14ac:dyDescent="0.25">
      <c r="G720" s="143"/>
    </row>
    <row r="721" spans="7:7" x14ac:dyDescent="0.25">
      <c r="G721" s="143"/>
    </row>
    <row r="722" spans="7:7" x14ac:dyDescent="0.25">
      <c r="G722" s="143"/>
    </row>
    <row r="723" spans="7:7" x14ac:dyDescent="0.25">
      <c r="G723" s="143"/>
    </row>
    <row r="724" spans="7:7" x14ac:dyDescent="0.25">
      <c r="G724" s="143"/>
    </row>
    <row r="725" spans="7:7" x14ac:dyDescent="0.25">
      <c r="G725" s="143"/>
    </row>
    <row r="726" spans="7:7" x14ac:dyDescent="0.25">
      <c r="G726" s="143"/>
    </row>
    <row r="727" spans="7:7" x14ac:dyDescent="0.25">
      <c r="G727" s="143"/>
    </row>
    <row r="728" spans="7:7" x14ac:dyDescent="0.25">
      <c r="G728" s="143"/>
    </row>
    <row r="729" spans="7:7" x14ac:dyDescent="0.25">
      <c r="G729" s="143"/>
    </row>
    <row r="730" spans="7:7" x14ac:dyDescent="0.25">
      <c r="G730" s="143"/>
    </row>
    <row r="731" spans="7:7" x14ac:dyDescent="0.25">
      <c r="G731" s="143"/>
    </row>
    <row r="732" spans="7:7" x14ac:dyDescent="0.25">
      <c r="G732" s="143"/>
    </row>
    <row r="733" spans="7:7" x14ac:dyDescent="0.25">
      <c r="G733" s="143"/>
    </row>
    <row r="734" spans="7:7" x14ac:dyDescent="0.25">
      <c r="G734" s="143"/>
    </row>
    <row r="735" spans="7:7" x14ac:dyDescent="0.25">
      <c r="G735" s="143"/>
    </row>
    <row r="736" spans="7:7" x14ac:dyDescent="0.25">
      <c r="G736" s="143"/>
    </row>
    <row r="737" spans="7:7" x14ac:dyDescent="0.25">
      <c r="G737" s="143"/>
    </row>
    <row r="738" spans="7:7" x14ac:dyDescent="0.25">
      <c r="G738" s="143"/>
    </row>
    <row r="739" spans="7:7" x14ac:dyDescent="0.25">
      <c r="G739" s="143"/>
    </row>
    <row r="740" spans="7:7" x14ac:dyDescent="0.25">
      <c r="G740" s="143"/>
    </row>
    <row r="741" spans="7:7" x14ac:dyDescent="0.25">
      <c r="G741" s="143"/>
    </row>
    <row r="742" spans="7:7" x14ac:dyDescent="0.25">
      <c r="G742" s="143"/>
    </row>
    <row r="743" spans="7:7" x14ac:dyDescent="0.25">
      <c r="G743" s="143"/>
    </row>
    <row r="744" spans="7:7" x14ac:dyDescent="0.25">
      <c r="G744" s="143"/>
    </row>
    <row r="745" spans="7:7" x14ac:dyDescent="0.25">
      <c r="G745" s="143"/>
    </row>
    <row r="746" spans="7:7" x14ac:dyDescent="0.25">
      <c r="G746" s="143"/>
    </row>
    <row r="747" spans="7:7" x14ac:dyDescent="0.25">
      <c r="G747" s="143"/>
    </row>
    <row r="748" spans="7:7" x14ac:dyDescent="0.25">
      <c r="G748" s="143"/>
    </row>
    <row r="749" spans="7:7" x14ac:dyDescent="0.25">
      <c r="G749" s="143"/>
    </row>
    <row r="750" spans="7:7" x14ac:dyDescent="0.25">
      <c r="G750" s="143"/>
    </row>
    <row r="751" spans="7:7" x14ac:dyDescent="0.25">
      <c r="G751" s="143"/>
    </row>
    <row r="752" spans="7:7" x14ac:dyDescent="0.25">
      <c r="G752" s="143"/>
    </row>
    <row r="753" spans="7:7" x14ac:dyDescent="0.25">
      <c r="G753" s="143"/>
    </row>
    <row r="754" spans="7:7" x14ac:dyDescent="0.25">
      <c r="G754" s="143"/>
    </row>
    <row r="755" spans="7:7" x14ac:dyDescent="0.25">
      <c r="G755" s="143"/>
    </row>
    <row r="756" spans="7:7" x14ac:dyDescent="0.25">
      <c r="G756" s="143"/>
    </row>
    <row r="757" spans="7:7" x14ac:dyDescent="0.25">
      <c r="G757" s="143"/>
    </row>
    <row r="758" spans="7:7" x14ac:dyDescent="0.25">
      <c r="G758" s="143"/>
    </row>
    <row r="759" spans="7:7" x14ac:dyDescent="0.25">
      <c r="G759" s="143"/>
    </row>
    <row r="760" spans="7:7" x14ac:dyDescent="0.25">
      <c r="G760" s="143"/>
    </row>
    <row r="761" spans="7:7" x14ac:dyDescent="0.25">
      <c r="G761" s="143"/>
    </row>
    <row r="762" spans="7:7" x14ac:dyDescent="0.25">
      <c r="G762" s="143"/>
    </row>
    <row r="763" spans="7:7" x14ac:dyDescent="0.25">
      <c r="G763" s="143"/>
    </row>
    <row r="764" spans="7:7" x14ac:dyDescent="0.25">
      <c r="G764" s="143"/>
    </row>
    <row r="765" spans="7:7" x14ac:dyDescent="0.25">
      <c r="G765" s="143"/>
    </row>
    <row r="766" spans="7:7" x14ac:dyDescent="0.25">
      <c r="G766" s="143"/>
    </row>
    <row r="767" spans="7:7" x14ac:dyDescent="0.25">
      <c r="G767" s="143"/>
    </row>
    <row r="768" spans="7:7" x14ac:dyDescent="0.25">
      <c r="G768" s="143"/>
    </row>
    <row r="769" spans="7:7" x14ac:dyDescent="0.25">
      <c r="G769" s="143"/>
    </row>
    <row r="770" spans="7:7" x14ac:dyDescent="0.25">
      <c r="G770" s="143"/>
    </row>
    <row r="771" spans="7:7" x14ac:dyDescent="0.25">
      <c r="G771" s="143"/>
    </row>
    <row r="772" spans="7:7" x14ac:dyDescent="0.25">
      <c r="G772" s="14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showGridLines="0" workbookViewId="0">
      <selection activeCell="C17" sqref="C17"/>
    </sheetView>
  </sheetViews>
  <sheetFormatPr defaultColWidth="11.42578125" defaultRowHeight="15" x14ac:dyDescent="0.25"/>
  <cols>
    <col min="1" max="1" width="13.7109375" customWidth="1"/>
    <col min="3" max="3" width="37.5703125" bestFit="1" customWidth="1"/>
    <col min="4" max="4" width="9.28515625" customWidth="1"/>
    <col min="5" max="5" width="16.42578125" customWidth="1"/>
  </cols>
  <sheetData>
    <row r="1" spans="1:5" ht="15.75" x14ac:dyDescent="0.25">
      <c r="A1" s="5" t="s">
        <v>11</v>
      </c>
      <c r="B1" s="1" t="s">
        <v>0</v>
      </c>
      <c r="C1" s="1" t="s">
        <v>1</v>
      </c>
      <c r="D1" s="6" t="s">
        <v>12</v>
      </c>
      <c r="E1" t="s">
        <v>102</v>
      </c>
    </row>
    <row r="2" spans="1:5" x14ac:dyDescent="0.25">
      <c r="A2" s="21" t="s">
        <v>84</v>
      </c>
      <c r="B2" s="21" t="s">
        <v>24</v>
      </c>
      <c r="C2" s="21" t="s">
        <v>52</v>
      </c>
      <c r="D2" s="2">
        <v>2</v>
      </c>
      <c r="E2" s="3"/>
    </row>
    <row r="3" spans="1:5" x14ac:dyDescent="0.25">
      <c r="A3" s="21" t="s">
        <v>84</v>
      </c>
      <c r="B3" s="21" t="s">
        <v>24</v>
      </c>
      <c r="C3" s="21" t="s">
        <v>53</v>
      </c>
      <c r="D3" s="2">
        <v>2</v>
      </c>
    </row>
    <row r="4" spans="1:5" x14ac:dyDescent="0.25">
      <c r="A4" s="21" t="s">
        <v>84</v>
      </c>
      <c r="B4" s="21" t="s">
        <v>24</v>
      </c>
      <c r="C4" s="21" t="s">
        <v>54</v>
      </c>
      <c r="D4" s="2">
        <v>2</v>
      </c>
    </row>
    <row r="5" spans="1:5" x14ac:dyDescent="0.25">
      <c r="A5" s="21" t="s">
        <v>84</v>
      </c>
      <c r="B5" s="22" t="s">
        <v>30</v>
      </c>
      <c r="C5" s="22" t="s">
        <v>55</v>
      </c>
      <c r="D5" s="2">
        <v>2</v>
      </c>
    </row>
    <row r="6" spans="1:5" x14ac:dyDescent="0.25">
      <c r="A6" s="21" t="s">
        <v>84</v>
      </c>
      <c r="B6" s="22" t="s">
        <v>30</v>
      </c>
      <c r="C6" s="22" t="s">
        <v>56</v>
      </c>
      <c r="D6" s="2">
        <v>2</v>
      </c>
    </row>
    <row r="7" spans="1:5" x14ac:dyDescent="0.25">
      <c r="A7" s="21" t="s">
        <v>84</v>
      </c>
      <c r="B7" s="22" t="s">
        <v>31</v>
      </c>
      <c r="C7" s="22" t="s">
        <v>57</v>
      </c>
      <c r="D7" s="2">
        <v>2</v>
      </c>
    </row>
    <row r="8" spans="1:5" x14ac:dyDescent="0.25">
      <c r="A8" s="21" t="s">
        <v>84</v>
      </c>
      <c r="B8" s="22" t="s">
        <v>32</v>
      </c>
      <c r="C8" s="21" t="s">
        <v>58</v>
      </c>
      <c r="D8" s="2">
        <v>2</v>
      </c>
    </row>
    <row r="9" spans="1:5" x14ac:dyDescent="0.25">
      <c r="A9" s="21" t="s">
        <v>84</v>
      </c>
      <c r="B9" s="22" t="s">
        <v>33</v>
      </c>
      <c r="C9" s="21" t="s">
        <v>59</v>
      </c>
      <c r="D9" s="2">
        <v>2</v>
      </c>
    </row>
    <row r="10" spans="1:5" x14ac:dyDescent="0.25">
      <c r="A10" s="21" t="s">
        <v>84</v>
      </c>
      <c r="B10" s="21" t="s">
        <v>34</v>
      </c>
      <c r="C10" s="21" t="s">
        <v>60</v>
      </c>
      <c r="D10" s="2">
        <v>2</v>
      </c>
    </row>
    <row r="11" spans="1:5" x14ac:dyDescent="0.25">
      <c r="A11" s="21" t="s">
        <v>84</v>
      </c>
      <c r="B11" s="22" t="s">
        <v>32</v>
      </c>
      <c r="C11" s="21" t="s">
        <v>61</v>
      </c>
      <c r="D11" s="2">
        <v>2</v>
      </c>
    </row>
    <row r="12" spans="1:5" x14ac:dyDescent="0.25">
      <c r="A12" s="9"/>
      <c r="B12" s="23"/>
      <c r="C12" s="23"/>
      <c r="D12" s="2"/>
    </row>
    <row r="13" spans="1:5" x14ac:dyDescent="0.25">
      <c r="A13" s="14" t="s">
        <v>84</v>
      </c>
      <c r="B13" s="24" t="s">
        <v>29</v>
      </c>
      <c r="C13" s="14" t="s">
        <v>62</v>
      </c>
      <c r="D13" s="2">
        <v>1</v>
      </c>
    </row>
    <row r="14" spans="1:5" x14ac:dyDescent="0.25">
      <c r="A14" s="14" t="s">
        <v>84</v>
      </c>
      <c r="B14" s="24" t="s">
        <v>29</v>
      </c>
      <c r="C14" s="14" t="s">
        <v>63</v>
      </c>
      <c r="D14" s="2">
        <v>1</v>
      </c>
    </row>
    <row r="15" spans="1:5" x14ac:dyDescent="0.25">
      <c r="A15" s="14" t="s">
        <v>84</v>
      </c>
      <c r="B15" s="24" t="s">
        <v>29</v>
      </c>
      <c r="C15" s="14" t="s">
        <v>64</v>
      </c>
      <c r="D15" s="2">
        <v>1</v>
      </c>
    </row>
    <row r="16" spans="1:5" x14ac:dyDescent="0.25">
      <c r="A16" s="14" t="s">
        <v>84</v>
      </c>
      <c r="B16" s="24" t="s">
        <v>35</v>
      </c>
      <c r="C16" s="24" t="s">
        <v>65</v>
      </c>
      <c r="D16" s="2">
        <v>1</v>
      </c>
    </row>
    <row r="17" spans="1:4" x14ac:dyDescent="0.25">
      <c r="A17" s="14" t="s">
        <v>85</v>
      </c>
      <c r="B17" s="24" t="s">
        <v>29</v>
      </c>
      <c r="C17" s="14" t="s">
        <v>67</v>
      </c>
      <c r="D17" s="2">
        <v>1</v>
      </c>
    </row>
    <row r="18" spans="1:4" x14ac:dyDescent="0.25">
      <c r="A18" s="14" t="s">
        <v>85</v>
      </c>
      <c r="B18" s="24" t="s">
        <v>29</v>
      </c>
      <c r="C18" s="14" t="s">
        <v>68</v>
      </c>
      <c r="D18" s="2">
        <v>1</v>
      </c>
    </row>
    <row r="19" spans="1:4" x14ac:dyDescent="0.25">
      <c r="A19" s="14" t="s">
        <v>86</v>
      </c>
      <c r="B19" s="24" t="s">
        <v>29</v>
      </c>
      <c r="C19" s="14" t="s">
        <v>69</v>
      </c>
      <c r="D19" s="2">
        <v>1</v>
      </c>
    </row>
    <row r="20" spans="1:4" x14ac:dyDescent="0.25">
      <c r="A20" s="14" t="s">
        <v>96</v>
      </c>
      <c r="B20" s="24" t="s">
        <v>29</v>
      </c>
      <c r="C20" s="14" t="s">
        <v>95</v>
      </c>
      <c r="D20" s="2">
        <v>1</v>
      </c>
    </row>
    <row r="21" spans="1:4" x14ac:dyDescent="0.25">
      <c r="A21" s="14" t="s">
        <v>97</v>
      </c>
      <c r="B21" s="24" t="s">
        <v>38</v>
      </c>
      <c r="C21" s="14" t="s">
        <v>94</v>
      </c>
      <c r="D21" s="2">
        <v>1</v>
      </c>
    </row>
    <row r="22" spans="1:4" x14ac:dyDescent="0.25">
      <c r="A22" s="9"/>
      <c r="B22" s="23"/>
      <c r="C22" s="23"/>
      <c r="D22" s="2"/>
    </row>
    <row r="23" spans="1:4" x14ac:dyDescent="0.25">
      <c r="A23" s="15" t="s">
        <v>85</v>
      </c>
      <c r="B23" s="18" t="s">
        <v>29</v>
      </c>
      <c r="C23" s="15" t="s">
        <v>66</v>
      </c>
      <c r="D23" s="2">
        <v>1</v>
      </c>
    </row>
    <row r="24" spans="1:4" x14ac:dyDescent="0.25">
      <c r="A24" s="15" t="s">
        <v>85</v>
      </c>
      <c r="B24" s="18" t="s">
        <v>36</v>
      </c>
      <c r="C24" s="16" t="s">
        <v>70</v>
      </c>
      <c r="D24" s="2">
        <v>1</v>
      </c>
    </row>
    <row r="25" spans="1:4" x14ac:dyDescent="0.25">
      <c r="A25" s="16" t="s">
        <v>21</v>
      </c>
      <c r="B25" s="18" t="s">
        <v>36</v>
      </c>
      <c r="C25" s="16" t="s">
        <v>71</v>
      </c>
      <c r="D25" s="2">
        <v>1</v>
      </c>
    </row>
    <row r="26" spans="1:4" x14ac:dyDescent="0.25">
      <c r="A26" s="15" t="s">
        <v>85</v>
      </c>
      <c r="B26" s="17" t="s">
        <v>26</v>
      </c>
      <c r="C26" s="17" t="s">
        <v>72</v>
      </c>
      <c r="D26" s="2">
        <v>1</v>
      </c>
    </row>
    <row r="27" spans="1:4" x14ac:dyDescent="0.25">
      <c r="A27" s="15" t="s">
        <v>85</v>
      </c>
      <c r="B27" s="18" t="s">
        <v>37</v>
      </c>
      <c r="C27" s="18" t="s">
        <v>73</v>
      </c>
      <c r="D27" s="2">
        <v>1</v>
      </c>
    </row>
    <row r="28" spans="1:4" x14ac:dyDescent="0.25">
      <c r="A28" s="15" t="s">
        <v>85</v>
      </c>
      <c r="B28" s="18" t="s">
        <v>37</v>
      </c>
      <c r="C28" s="18" t="s">
        <v>74</v>
      </c>
      <c r="D28" s="2">
        <v>1</v>
      </c>
    </row>
    <row r="29" spans="1:4" x14ac:dyDescent="0.25">
      <c r="A29" s="15" t="s">
        <v>85</v>
      </c>
      <c r="B29" s="18" t="s">
        <v>37</v>
      </c>
      <c r="C29" s="18" t="s">
        <v>75</v>
      </c>
      <c r="D29" s="2">
        <v>1</v>
      </c>
    </row>
    <row r="30" spans="1:4" x14ac:dyDescent="0.25">
      <c r="A30" s="15" t="s">
        <v>85</v>
      </c>
      <c r="B30" s="18" t="s">
        <v>37</v>
      </c>
      <c r="C30" s="18" t="s">
        <v>76</v>
      </c>
      <c r="D30" s="2">
        <v>1</v>
      </c>
    </row>
    <row r="31" spans="1:4" x14ac:dyDescent="0.25">
      <c r="A31" s="15" t="s">
        <v>85</v>
      </c>
      <c r="B31" s="18" t="s">
        <v>38</v>
      </c>
      <c r="C31" s="18" t="s">
        <v>78</v>
      </c>
      <c r="D31" s="2">
        <v>1</v>
      </c>
    </row>
    <row r="32" spans="1:4" x14ac:dyDescent="0.25">
      <c r="A32" s="18" t="s">
        <v>21</v>
      </c>
      <c r="B32" s="18" t="s">
        <v>38</v>
      </c>
      <c r="C32" s="18" t="s">
        <v>77</v>
      </c>
      <c r="D32" s="2">
        <v>1</v>
      </c>
    </row>
    <row r="33" spans="1:5" x14ac:dyDescent="0.25">
      <c r="A33" s="18" t="s">
        <v>21</v>
      </c>
      <c r="B33" s="18" t="s">
        <v>39</v>
      </c>
      <c r="C33" s="18" t="s">
        <v>80</v>
      </c>
      <c r="D33" s="2">
        <v>1</v>
      </c>
    </row>
    <row r="34" spans="1:5" x14ac:dyDescent="0.25">
      <c r="A34" s="18" t="s">
        <v>21</v>
      </c>
      <c r="B34" s="18" t="s">
        <v>39</v>
      </c>
      <c r="C34" s="18" t="s">
        <v>79</v>
      </c>
      <c r="D34" s="2">
        <v>1</v>
      </c>
    </row>
    <row r="35" spans="1:5" x14ac:dyDescent="0.25">
      <c r="D35" s="2"/>
    </row>
    <row r="36" spans="1:5" x14ac:dyDescent="0.25">
      <c r="A36" t="s">
        <v>93</v>
      </c>
      <c r="D36" s="2"/>
    </row>
    <row r="37" spans="1:5" x14ac:dyDescent="0.25">
      <c r="A37" s="8" t="s">
        <v>16</v>
      </c>
      <c r="B37" s="19" t="s">
        <v>23</v>
      </c>
      <c r="C37" s="8" t="s">
        <v>40</v>
      </c>
      <c r="D37" s="2" t="s">
        <v>88</v>
      </c>
      <c r="E37" s="3" t="s">
        <v>90</v>
      </c>
    </row>
    <row r="38" spans="1:5" x14ac:dyDescent="0.25">
      <c r="A38" s="8" t="s">
        <v>16</v>
      </c>
      <c r="B38" s="19" t="s">
        <v>23</v>
      </c>
      <c r="C38" s="8" t="s">
        <v>41</v>
      </c>
      <c r="D38" s="2" t="s">
        <v>88</v>
      </c>
      <c r="E38" s="3"/>
    </row>
    <row r="39" spans="1:5" x14ac:dyDescent="0.25">
      <c r="A39" s="8" t="s">
        <v>16</v>
      </c>
      <c r="B39" s="19" t="s">
        <v>23</v>
      </c>
      <c r="C39" s="8" t="s">
        <v>42</v>
      </c>
      <c r="D39" s="2" t="s">
        <v>88</v>
      </c>
      <c r="E39" s="3"/>
    </row>
    <row r="40" spans="1:5" x14ac:dyDescent="0.25">
      <c r="A40" s="8" t="s">
        <v>16</v>
      </c>
      <c r="B40" s="20" t="s">
        <v>24</v>
      </c>
      <c r="C40" s="20" t="s">
        <v>43</v>
      </c>
      <c r="D40" s="2" t="s">
        <v>88</v>
      </c>
      <c r="E40" s="3" t="s">
        <v>89</v>
      </c>
    </row>
    <row r="41" spans="1:5" x14ac:dyDescent="0.25">
      <c r="A41" s="8" t="s">
        <v>16</v>
      </c>
      <c r="B41" s="8" t="s">
        <v>81</v>
      </c>
      <c r="C41" s="20"/>
      <c r="D41" s="2" t="s">
        <v>88</v>
      </c>
      <c r="E41" s="3"/>
    </row>
    <row r="42" spans="1:5" x14ac:dyDescent="0.25">
      <c r="A42" s="8" t="s">
        <v>16</v>
      </c>
      <c r="B42" s="8" t="s">
        <v>82</v>
      </c>
      <c r="C42" s="20"/>
      <c r="D42" s="2" t="s">
        <v>88</v>
      </c>
      <c r="E42" s="3"/>
    </row>
    <row r="43" spans="1:5" x14ac:dyDescent="0.25">
      <c r="A43" s="8" t="s">
        <v>16</v>
      </c>
      <c r="B43" s="8" t="s">
        <v>83</v>
      </c>
      <c r="C43" s="20"/>
      <c r="D43" s="2" t="s">
        <v>88</v>
      </c>
      <c r="E43" s="3"/>
    </row>
    <row r="44" spans="1:5" x14ac:dyDescent="0.25">
      <c r="A44" s="9"/>
      <c r="D44" s="2"/>
      <c r="E44" s="3"/>
    </row>
    <row r="45" spans="1:5" x14ac:dyDescent="0.25">
      <c r="A45" s="10" t="s">
        <v>17</v>
      </c>
      <c r="B45" s="10" t="s">
        <v>23</v>
      </c>
      <c r="C45" s="11" t="s">
        <v>44</v>
      </c>
      <c r="D45" s="2" t="s">
        <v>88</v>
      </c>
      <c r="E45" s="3" t="s">
        <v>90</v>
      </c>
    </row>
    <row r="46" spans="1:5" x14ac:dyDescent="0.25">
      <c r="A46" s="11" t="s">
        <v>87</v>
      </c>
      <c r="B46" s="10" t="s">
        <v>25</v>
      </c>
      <c r="C46" s="10" t="s">
        <v>45</v>
      </c>
      <c r="D46" s="2" t="s">
        <v>88</v>
      </c>
      <c r="E46" s="3"/>
    </row>
    <row r="47" spans="1:5" x14ac:dyDescent="0.25">
      <c r="A47" s="10" t="s">
        <v>18</v>
      </c>
      <c r="B47" s="10" t="s">
        <v>26</v>
      </c>
      <c r="C47" s="10" t="s">
        <v>46</v>
      </c>
      <c r="D47" s="2" t="s">
        <v>88</v>
      </c>
      <c r="E47" s="3" t="s">
        <v>90</v>
      </c>
    </row>
    <row r="48" spans="1:5" x14ac:dyDescent="0.25">
      <c r="A48" s="12" t="s">
        <v>18</v>
      </c>
      <c r="B48" s="12" t="s">
        <v>26</v>
      </c>
      <c r="C48" s="12" t="s">
        <v>47</v>
      </c>
      <c r="D48" s="2" t="s">
        <v>88</v>
      </c>
      <c r="E48" s="3" t="s">
        <v>90</v>
      </c>
    </row>
    <row r="49" spans="1:5" x14ac:dyDescent="0.25">
      <c r="A49" s="11" t="s">
        <v>19</v>
      </c>
      <c r="B49" s="12" t="s">
        <v>27</v>
      </c>
      <c r="C49" s="12" t="s">
        <v>48</v>
      </c>
      <c r="D49" s="2" t="s">
        <v>88</v>
      </c>
      <c r="E49" s="3"/>
    </row>
    <row r="50" spans="1:5" x14ac:dyDescent="0.25">
      <c r="A50" s="11" t="s">
        <v>19</v>
      </c>
      <c r="B50" s="10" t="s">
        <v>28</v>
      </c>
      <c r="C50" s="10" t="s">
        <v>49</v>
      </c>
      <c r="D50" s="2" t="s">
        <v>88</v>
      </c>
      <c r="E50" s="3"/>
    </row>
    <row r="51" spans="1:5" x14ac:dyDescent="0.25">
      <c r="A51" s="13" t="s">
        <v>22</v>
      </c>
      <c r="B51" s="13"/>
      <c r="C51" s="13" t="s">
        <v>50</v>
      </c>
      <c r="D51" s="2" t="s">
        <v>88</v>
      </c>
      <c r="E51" s="3" t="s">
        <v>90</v>
      </c>
    </row>
    <row r="52" spans="1:5" x14ac:dyDescent="0.25">
      <c r="A52" s="11" t="s">
        <v>20</v>
      </c>
      <c r="B52" s="10" t="s">
        <v>29</v>
      </c>
      <c r="C52" s="11" t="s">
        <v>51</v>
      </c>
      <c r="D52" s="2" t="s">
        <v>88</v>
      </c>
      <c r="E52" s="3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showGridLines="0" topLeftCell="A82" workbookViewId="0">
      <selection activeCell="A32" sqref="A32:XFD37"/>
    </sheetView>
  </sheetViews>
  <sheetFormatPr defaultColWidth="11.42578125" defaultRowHeight="15" x14ac:dyDescent="0.25"/>
  <cols>
    <col min="1" max="1" width="38.28515625" bestFit="1" customWidth="1"/>
    <col min="3" max="3" width="5.140625" customWidth="1"/>
    <col min="4" max="6" width="20" customWidth="1"/>
    <col min="7" max="7" width="20.7109375" customWidth="1"/>
    <col min="8" max="9" width="17.7109375" customWidth="1"/>
    <col min="10" max="10" width="20.140625" customWidth="1"/>
    <col min="11" max="12" width="17.7109375" customWidth="1"/>
    <col min="13" max="13" width="20.140625" customWidth="1"/>
    <col min="14" max="14" width="19" customWidth="1"/>
    <col min="15" max="15" width="18.28515625" customWidth="1"/>
  </cols>
  <sheetData>
    <row r="1" spans="1:14" x14ac:dyDescent="0.25">
      <c r="A1" s="15" t="s">
        <v>114</v>
      </c>
    </row>
    <row r="2" spans="1:14" ht="30" customHeight="1" x14ac:dyDescent="0.25">
      <c r="A2" s="5" t="s">
        <v>11</v>
      </c>
      <c r="B2" s="5" t="s">
        <v>0</v>
      </c>
      <c r="C2" s="5" t="s">
        <v>1</v>
      </c>
      <c r="D2" s="4" t="s">
        <v>3</v>
      </c>
      <c r="E2" s="4" t="s">
        <v>108</v>
      </c>
      <c r="F2" s="4" t="s">
        <v>2</v>
      </c>
      <c r="G2" s="4" t="s">
        <v>14</v>
      </c>
      <c r="H2" s="4" t="s">
        <v>108</v>
      </c>
      <c r="I2" s="4" t="s">
        <v>15</v>
      </c>
      <c r="J2" s="4" t="s">
        <v>8</v>
      </c>
      <c r="K2" s="4" t="s">
        <v>108</v>
      </c>
      <c r="L2" s="4" t="s">
        <v>9</v>
      </c>
      <c r="M2" s="4" t="s">
        <v>10</v>
      </c>
    </row>
    <row r="3" spans="1:14" x14ac:dyDescent="0.25">
      <c r="A3" s="21" t="s">
        <v>84</v>
      </c>
      <c r="B3" s="21" t="s">
        <v>24</v>
      </c>
      <c r="C3" s="21" t="s">
        <v>52</v>
      </c>
      <c r="D3" s="26">
        <v>75.290000000000006</v>
      </c>
      <c r="E3" s="26">
        <v>53.57</v>
      </c>
      <c r="F3" s="7">
        <f>D3*E3</f>
        <v>4033.2853000000005</v>
      </c>
      <c r="G3" s="26">
        <v>570</v>
      </c>
      <c r="H3" s="26">
        <v>53.57</v>
      </c>
      <c r="I3" s="7">
        <f>G3*H3</f>
        <v>30534.9</v>
      </c>
      <c r="J3" s="26">
        <v>96.793500000000009</v>
      </c>
      <c r="K3" s="26">
        <v>57.5</v>
      </c>
      <c r="L3" s="7">
        <f>J3*K3</f>
        <v>5565.6262500000003</v>
      </c>
      <c r="M3" s="2"/>
    </row>
    <row r="4" spans="1:14" x14ac:dyDescent="0.25">
      <c r="A4" s="21" t="s">
        <v>84</v>
      </c>
      <c r="B4" s="21" t="s">
        <v>24</v>
      </c>
      <c r="C4" s="21" t="s">
        <v>53</v>
      </c>
      <c r="D4" s="26">
        <v>288.60028860028859</v>
      </c>
      <c r="E4" s="26">
        <v>53.57</v>
      </c>
      <c r="F4" s="7">
        <f t="shared" ref="F4:F13" si="0">D4*E4</f>
        <v>15460.317460317459</v>
      </c>
      <c r="G4" s="26">
        <v>577.20057720057719</v>
      </c>
      <c r="H4" s="26">
        <v>53.57</v>
      </c>
      <c r="I4" s="7">
        <f t="shared" ref="I4:I13" si="1">G4*H4</f>
        <v>30920.634920634919</v>
      </c>
      <c r="J4" s="26">
        <v>129.87012987012989</v>
      </c>
      <c r="K4" s="26">
        <v>57.5</v>
      </c>
      <c r="L4" s="7">
        <f t="shared" ref="L4:L13" si="2">J4*K4</f>
        <v>7467.5324675324682</v>
      </c>
      <c r="M4" s="2"/>
    </row>
    <row r="5" spans="1:14" x14ac:dyDescent="0.25">
      <c r="A5" s="21" t="s">
        <v>84</v>
      </c>
      <c r="B5" s="21" t="s">
        <v>24</v>
      </c>
      <c r="C5" s="21" t="s">
        <v>54</v>
      </c>
      <c r="D5" s="26">
        <v>29.106349206349201</v>
      </c>
      <c r="E5" s="26">
        <v>53.57</v>
      </c>
      <c r="F5" s="7">
        <f t="shared" si="0"/>
        <v>1559.2271269841267</v>
      </c>
      <c r="G5" s="26">
        <v>89.798845598845602</v>
      </c>
      <c r="H5" s="26">
        <v>53.57</v>
      </c>
      <c r="I5" s="7">
        <f t="shared" si="1"/>
        <v>4810.5241587301589</v>
      </c>
      <c r="J5" s="26">
        <v>17.835779220779223</v>
      </c>
      <c r="K5" s="26">
        <v>57.5</v>
      </c>
      <c r="L5" s="7">
        <f t="shared" si="2"/>
        <v>1025.5573051948054</v>
      </c>
      <c r="M5" s="2"/>
    </row>
    <row r="6" spans="1:14" x14ac:dyDescent="0.25">
      <c r="A6" s="21" t="s">
        <v>84</v>
      </c>
      <c r="B6" s="22" t="s">
        <v>30</v>
      </c>
      <c r="C6" s="22" t="s">
        <v>55</v>
      </c>
      <c r="D6" s="26">
        <v>200</v>
      </c>
      <c r="E6" s="26">
        <v>53.57</v>
      </c>
      <c r="F6" s="7">
        <f>D6*E6</f>
        <v>10714</v>
      </c>
      <c r="G6" s="26">
        <v>220.00000000000003</v>
      </c>
      <c r="H6" s="26">
        <v>53.57</v>
      </c>
      <c r="I6" s="7">
        <f t="shared" si="1"/>
        <v>11785.400000000001</v>
      </c>
      <c r="J6" s="26">
        <v>63</v>
      </c>
      <c r="K6" s="26">
        <v>57.5</v>
      </c>
      <c r="L6" s="7">
        <f t="shared" si="2"/>
        <v>3622.5</v>
      </c>
      <c r="M6" s="2"/>
    </row>
    <row r="7" spans="1:14" x14ac:dyDescent="0.25">
      <c r="A7" s="21" t="s">
        <v>84</v>
      </c>
      <c r="B7" s="22" t="s">
        <v>30</v>
      </c>
      <c r="C7" s="22" t="s">
        <v>56</v>
      </c>
      <c r="D7" s="26">
        <v>36.492063492063494</v>
      </c>
      <c r="E7" s="26">
        <v>53.57</v>
      </c>
      <c r="F7" s="7">
        <f t="shared" si="0"/>
        <v>1954.8798412698413</v>
      </c>
      <c r="G7" s="26">
        <v>72.984126984126988</v>
      </c>
      <c r="H7" s="26">
        <v>53.57</v>
      </c>
      <c r="I7" s="7">
        <f t="shared" si="1"/>
        <v>3909.7596825396827</v>
      </c>
      <c r="J7" s="26">
        <v>16.421428571428574</v>
      </c>
      <c r="K7" s="26">
        <v>57.5</v>
      </c>
      <c r="L7" s="7">
        <f t="shared" si="2"/>
        <v>944.232142857143</v>
      </c>
      <c r="M7" s="2"/>
    </row>
    <row r="8" spans="1:14" x14ac:dyDescent="0.25">
      <c r="A8" s="21" t="s">
        <v>84</v>
      </c>
      <c r="B8" s="22" t="s">
        <v>31</v>
      </c>
      <c r="C8" s="22" t="s">
        <v>57</v>
      </c>
      <c r="D8" s="26">
        <v>20</v>
      </c>
      <c r="E8" s="26">
        <v>53.57</v>
      </c>
      <c r="F8" s="7">
        <f t="shared" si="0"/>
        <v>1071.4000000000001</v>
      </c>
      <c r="G8" s="26">
        <v>85</v>
      </c>
      <c r="H8" s="26">
        <v>53.57</v>
      </c>
      <c r="I8" s="7">
        <f t="shared" si="1"/>
        <v>4553.45</v>
      </c>
      <c r="J8" s="26">
        <v>15.75</v>
      </c>
      <c r="K8" s="26">
        <v>57.5</v>
      </c>
      <c r="L8" s="7">
        <f t="shared" si="2"/>
        <v>905.625</v>
      </c>
      <c r="M8" s="2"/>
    </row>
    <row r="9" spans="1:14" x14ac:dyDescent="0.25">
      <c r="A9" s="21" t="s">
        <v>84</v>
      </c>
      <c r="B9" s="22" t="s">
        <v>32</v>
      </c>
      <c r="C9" s="21" t="s">
        <v>58</v>
      </c>
      <c r="D9" s="26">
        <v>103.67099567099568</v>
      </c>
      <c r="E9" s="26">
        <v>53.57</v>
      </c>
      <c r="F9" s="7">
        <f t="shared" si="0"/>
        <v>5553.6552380952389</v>
      </c>
      <c r="G9" s="26">
        <v>434.23718614718609</v>
      </c>
      <c r="H9" s="26">
        <v>53.57</v>
      </c>
      <c r="I9" s="7">
        <f t="shared" si="1"/>
        <v>23262.08606190476</v>
      </c>
      <c r="J9" s="26">
        <v>80.686227272727265</v>
      </c>
      <c r="K9" s="26">
        <v>57.5</v>
      </c>
      <c r="L9" s="7">
        <f t="shared" si="2"/>
        <v>4639.4580681818179</v>
      </c>
      <c r="M9" s="2"/>
    </row>
    <row r="10" spans="1:14" x14ac:dyDescent="0.25">
      <c r="A10" s="21" t="s">
        <v>84</v>
      </c>
      <c r="B10" s="22" t="s">
        <v>33</v>
      </c>
      <c r="C10" s="21" t="s">
        <v>59</v>
      </c>
      <c r="D10" s="26">
        <v>0</v>
      </c>
      <c r="E10" s="26">
        <v>53.57</v>
      </c>
      <c r="F10" s="7">
        <f t="shared" si="0"/>
        <v>0</v>
      </c>
      <c r="G10" s="26">
        <v>202.40000000000003</v>
      </c>
      <c r="H10" s="26">
        <v>53.57</v>
      </c>
      <c r="I10" s="7">
        <f t="shared" si="1"/>
        <v>10842.568000000001</v>
      </c>
      <c r="J10" s="26">
        <v>30.360000000000007</v>
      </c>
      <c r="K10" s="26">
        <v>57.5</v>
      </c>
      <c r="L10" s="7">
        <f t="shared" si="2"/>
        <v>1745.7000000000003</v>
      </c>
      <c r="M10" s="2"/>
    </row>
    <row r="11" spans="1:14" x14ac:dyDescent="0.25">
      <c r="A11" s="21" t="s">
        <v>84</v>
      </c>
      <c r="B11" s="21" t="s">
        <v>34</v>
      </c>
      <c r="C11" s="21" t="s">
        <v>60</v>
      </c>
      <c r="D11" s="26">
        <v>0</v>
      </c>
      <c r="E11" s="26">
        <v>53.57</v>
      </c>
      <c r="F11" s="7">
        <f t="shared" si="0"/>
        <v>0</v>
      </c>
      <c r="G11" s="26">
        <v>159.02999999999997</v>
      </c>
      <c r="H11" s="26">
        <v>53.57</v>
      </c>
      <c r="I11" s="7">
        <f t="shared" si="1"/>
        <v>8519.2370999999985</v>
      </c>
      <c r="J11" s="26">
        <v>23.854499999999994</v>
      </c>
      <c r="K11" s="26">
        <v>57.5</v>
      </c>
      <c r="L11" s="7">
        <f t="shared" si="2"/>
        <v>1371.6337499999997</v>
      </c>
      <c r="M11" s="2"/>
      <c r="N11" t="s">
        <v>103</v>
      </c>
    </row>
    <row r="12" spans="1:14" x14ac:dyDescent="0.25">
      <c r="A12" s="21" t="s">
        <v>84</v>
      </c>
      <c r="B12" s="22" t="s">
        <v>32</v>
      </c>
      <c r="C12" s="21" t="s">
        <v>61</v>
      </c>
      <c r="D12" s="26">
        <v>0</v>
      </c>
      <c r="E12" s="26">
        <v>53.57</v>
      </c>
      <c r="F12" s="7">
        <f t="shared" si="0"/>
        <v>0</v>
      </c>
      <c r="G12" s="26">
        <v>0</v>
      </c>
      <c r="H12" s="26">
        <v>53.57</v>
      </c>
      <c r="I12" s="7">
        <f t="shared" si="1"/>
        <v>0</v>
      </c>
      <c r="J12" s="26">
        <v>0</v>
      </c>
      <c r="K12" s="26">
        <v>57.5</v>
      </c>
      <c r="L12" s="7">
        <f t="shared" si="2"/>
        <v>0</v>
      </c>
      <c r="M12" s="2"/>
    </row>
    <row r="13" spans="1:14" x14ac:dyDescent="0.25">
      <c r="A13" s="21" t="s">
        <v>16</v>
      </c>
      <c r="B13" s="22" t="s">
        <v>24</v>
      </c>
      <c r="C13" s="21" t="s">
        <v>43</v>
      </c>
      <c r="D13" s="29">
        <v>288.60028860028859</v>
      </c>
      <c r="E13" s="26">
        <v>53.57</v>
      </c>
      <c r="F13" s="7">
        <f t="shared" si="0"/>
        <v>15460.317460317459</v>
      </c>
      <c r="G13" s="29">
        <v>649.35064935064941</v>
      </c>
      <c r="H13" s="26">
        <v>53.57</v>
      </c>
      <c r="I13" s="7">
        <f t="shared" si="1"/>
        <v>34785.71428571429</v>
      </c>
      <c r="J13" s="26">
        <v>140.69264069264071</v>
      </c>
      <c r="K13" s="26">
        <v>57.5</v>
      </c>
      <c r="L13" s="7">
        <f t="shared" si="2"/>
        <v>8089.826839826841</v>
      </c>
      <c r="M13" s="27">
        <v>43466</v>
      </c>
    </row>
    <row r="14" spans="1:14" x14ac:dyDescent="0.25">
      <c r="A14" s="9"/>
      <c r="B14" s="23"/>
      <c r="C14" s="23"/>
      <c r="D14" s="38">
        <f>SUM(D3:D13)</f>
        <v>1041.7599855699857</v>
      </c>
      <c r="E14" s="39"/>
      <c r="F14" s="40">
        <f>SUM(F3:F13)</f>
        <v>55807.082426984125</v>
      </c>
      <c r="G14" s="55">
        <f>SUM(G3:G13)</f>
        <v>3060.0013852813854</v>
      </c>
      <c r="H14" s="41"/>
      <c r="I14" s="41">
        <f t="shared" ref="I14:L14" si="3">SUM(I3:I13)</f>
        <v>163924.27420952381</v>
      </c>
      <c r="J14" s="38">
        <f t="shared" si="3"/>
        <v>615.26420562770568</v>
      </c>
      <c r="K14" s="41"/>
      <c r="L14" s="41">
        <f t="shared" si="3"/>
        <v>35377.691823593079</v>
      </c>
      <c r="M14" s="7"/>
      <c r="N14" s="2"/>
    </row>
    <row r="15" spans="1:14" x14ac:dyDescent="0.25">
      <c r="A15" s="9"/>
      <c r="B15" s="23"/>
      <c r="C15" s="23"/>
    </row>
    <row r="16" spans="1:14" x14ac:dyDescent="0.25">
      <c r="A16" s="9" t="s">
        <v>109</v>
      </c>
      <c r="B16" s="23"/>
      <c r="C16" s="23"/>
    </row>
    <row r="17" spans="1:18" ht="30" customHeight="1" x14ac:dyDescent="0.25">
      <c r="A17" s="5" t="s">
        <v>11</v>
      </c>
      <c r="B17" s="5" t="s">
        <v>0</v>
      </c>
      <c r="C17" s="5" t="s">
        <v>1</v>
      </c>
      <c r="D17" s="4" t="s">
        <v>3</v>
      </c>
      <c r="E17" s="4" t="s">
        <v>110</v>
      </c>
      <c r="F17" s="4" t="s">
        <v>108</v>
      </c>
      <c r="G17" s="4" t="s">
        <v>2</v>
      </c>
      <c r="H17" s="4" t="s">
        <v>14</v>
      </c>
      <c r="I17" s="4" t="s">
        <v>110</v>
      </c>
      <c r="J17" s="4" t="s">
        <v>108</v>
      </c>
      <c r="K17" s="4" t="s">
        <v>15</v>
      </c>
      <c r="L17" s="4" t="s">
        <v>8</v>
      </c>
      <c r="M17" s="4" t="s">
        <v>110</v>
      </c>
      <c r="N17" s="4" t="s">
        <v>108</v>
      </c>
      <c r="O17" s="4" t="s">
        <v>9</v>
      </c>
      <c r="P17" s="4" t="s">
        <v>10</v>
      </c>
    </row>
    <row r="18" spans="1:18" x14ac:dyDescent="0.25">
      <c r="A18" s="21" t="s">
        <v>84</v>
      </c>
      <c r="B18" s="21" t="s">
        <v>24</v>
      </c>
      <c r="C18" s="21" t="s">
        <v>52</v>
      </c>
      <c r="D18" s="26">
        <v>75.289999999999992</v>
      </c>
      <c r="E18" s="26">
        <f>D18/365*197.5</f>
        <v>40.739109589041092</v>
      </c>
      <c r="F18" s="26">
        <v>53.57</v>
      </c>
      <c r="G18" s="7">
        <f>E18*F18</f>
        <v>2182.3941006849313</v>
      </c>
      <c r="H18" s="26">
        <v>570</v>
      </c>
      <c r="I18" s="26">
        <f>H18/365*197.5</f>
        <v>308.42465753424659</v>
      </c>
      <c r="J18" s="26">
        <v>53.57</v>
      </c>
      <c r="K18" s="7">
        <f>I18*J18</f>
        <v>16522.308904109592</v>
      </c>
      <c r="L18" s="26">
        <v>96.793500000000009</v>
      </c>
      <c r="M18" s="26">
        <f>L18/365*197.5</f>
        <v>52.374565068493155</v>
      </c>
      <c r="N18" s="26">
        <v>57.5</v>
      </c>
      <c r="O18" s="7">
        <f>M18*N18</f>
        <v>3011.5374914383565</v>
      </c>
      <c r="P18" s="2"/>
    </row>
    <row r="19" spans="1:18" x14ac:dyDescent="0.25">
      <c r="A19" s="21" t="s">
        <v>84</v>
      </c>
      <c r="B19" s="21" t="s">
        <v>24</v>
      </c>
      <c r="C19" s="21" t="s">
        <v>53</v>
      </c>
      <c r="D19" s="26">
        <v>288.60028860028859</v>
      </c>
      <c r="E19" s="26">
        <f>D19/365*197.5</f>
        <v>156.16043013303286</v>
      </c>
      <c r="F19" s="26">
        <v>53.57</v>
      </c>
      <c r="G19" s="7">
        <f>E19*F19</f>
        <v>8365.5142422265708</v>
      </c>
      <c r="H19" s="26">
        <v>577.20057720057719</v>
      </c>
      <c r="I19" s="26">
        <f t="shared" ref="I19:I28" si="4">H19/365*197.5</f>
        <v>312.32086026606572</v>
      </c>
      <c r="J19" s="26">
        <v>53.57</v>
      </c>
      <c r="K19" s="7">
        <f t="shared" ref="K19:K28" si="5">I19*J19</f>
        <v>16731.028484453142</v>
      </c>
      <c r="L19" s="26">
        <v>129.87012987012989</v>
      </c>
      <c r="M19" s="26">
        <f t="shared" ref="M19:M28" si="6">L19/365*197.5</f>
        <v>70.272193559864803</v>
      </c>
      <c r="N19" s="26">
        <v>57.5</v>
      </c>
      <c r="O19" s="7">
        <f t="shared" ref="O19:O28" si="7">M19*N19</f>
        <v>4040.6511296922263</v>
      </c>
      <c r="P19" s="2"/>
    </row>
    <row r="20" spans="1:18" x14ac:dyDescent="0.25">
      <c r="A20" s="21" t="s">
        <v>84</v>
      </c>
      <c r="B20" s="21" t="s">
        <v>24</v>
      </c>
      <c r="C20" s="21" t="s">
        <v>54</v>
      </c>
      <c r="D20" s="26">
        <v>29.106349206349211</v>
      </c>
      <c r="E20" s="26">
        <f>D20/365*197.5</f>
        <v>15.749325940421835</v>
      </c>
      <c r="F20" s="26">
        <v>53.57</v>
      </c>
      <c r="G20" s="7">
        <f>E20*F20</f>
        <v>843.6913906283977</v>
      </c>
      <c r="H20" s="26">
        <v>89.798845598845602</v>
      </c>
      <c r="I20" s="26">
        <f t="shared" si="4"/>
        <v>48.589786317183574</v>
      </c>
      <c r="J20" s="26">
        <v>53.57</v>
      </c>
      <c r="K20" s="7">
        <f t="shared" si="5"/>
        <v>2602.9548530115239</v>
      </c>
      <c r="L20" s="26">
        <v>17.835779220779223</v>
      </c>
      <c r="M20" s="26">
        <f t="shared" si="6"/>
        <v>9.6508668386408125</v>
      </c>
      <c r="N20" s="26">
        <v>57.5</v>
      </c>
      <c r="O20" s="7">
        <f t="shared" si="7"/>
        <v>554.92484322184669</v>
      </c>
      <c r="P20" s="2"/>
    </row>
    <row r="21" spans="1:18" x14ac:dyDescent="0.25">
      <c r="A21" s="21" t="s">
        <v>84</v>
      </c>
      <c r="B21" s="22" t="s">
        <v>30</v>
      </c>
      <c r="C21" s="22" t="s">
        <v>55</v>
      </c>
      <c r="D21" s="26">
        <v>200</v>
      </c>
      <c r="E21" s="26">
        <f>D21/365*197.5</f>
        <v>108.21917808219177</v>
      </c>
      <c r="F21" s="26">
        <v>53.57</v>
      </c>
      <c r="G21" s="7">
        <f t="shared" ref="G21:G28" si="8">E21*F21</f>
        <v>5797.301369863013</v>
      </c>
      <c r="H21" s="26">
        <v>220.00000000000003</v>
      </c>
      <c r="I21" s="26">
        <f t="shared" si="4"/>
        <v>119.04109589041097</v>
      </c>
      <c r="J21" s="26">
        <v>53.57</v>
      </c>
      <c r="K21" s="7">
        <f t="shared" si="5"/>
        <v>6377.0315068493155</v>
      </c>
      <c r="L21" s="26">
        <v>63</v>
      </c>
      <c r="M21" s="26">
        <f t="shared" si="6"/>
        <v>34.089041095890416</v>
      </c>
      <c r="N21" s="26">
        <v>57.5</v>
      </c>
      <c r="O21" s="7">
        <f>M21*N21</f>
        <v>1960.1198630136989</v>
      </c>
      <c r="P21" s="2"/>
    </row>
    <row r="22" spans="1:18" x14ac:dyDescent="0.25">
      <c r="A22" s="21" t="s">
        <v>84</v>
      </c>
      <c r="B22" s="22" t="s">
        <v>30</v>
      </c>
      <c r="C22" s="22" t="s">
        <v>56</v>
      </c>
      <c r="D22" s="26">
        <v>36.492063492063494</v>
      </c>
      <c r="E22" s="26">
        <f t="shared" ref="E22:E28" si="9">D22/365*197.5</f>
        <v>19.745705588171344</v>
      </c>
      <c r="F22" s="26">
        <v>53.57</v>
      </c>
      <c r="G22" s="7">
        <f t="shared" si="8"/>
        <v>1057.7774483583389</v>
      </c>
      <c r="H22" s="26">
        <v>72.984126984126988</v>
      </c>
      <c r="I22" s="26">
        <f t="shared" si="4"/>
        <v>39.491411176342687</v>
      </c>
      <c r="J22" s="26">
        <v>53.57</v>
      </c>
      <c r="K22" s="7">
        <f t="shared" si="5"/>
        <v>2115.5548967166778</v>
      </c>
      <c r="L22" s="26">
        <v>16.421428571428574</v>
      </c>
      <c r="M22" s="26">
        <f t="shared" si="6"/>
        <v>8.8855675146771045</v>
      </c>
      <c r="N22" s="26">
        <v>57.5</v>
      </c>
      <c r="O22" s="7">
        <f t="shared" si="7"/>
        <v>510.92013209393349</v>
      </c>
      <c r="P22" s="2"/>
    </row>
    <row r="23" spans="1:18" x14ac:dyDescent="0.25">
      <c r="A23" s="21" t="s">
        <v>84</v>
      </c>
      <c r="B23" s="22" t="s">
        <v>31</v>
      </c>
      <c r="C23" s="22" t="s">
        <v>57</v>
      </c>
      <c r="D23" s="26">
        <v>20</v>
      </c>
      <c r="E23" s="26">
        <f t="shared" si="9"/>
        <v>10.821917808219178</v>
      </c>
      <c r="F23" s="26">
        <v>53.57</v>
      </c>
      <c r="G23" s="7">
        <f t="shared" si="8"/>
        <v>579.73013698630132</v>
      </c>
      <c r="H23" s="26">
        <v>85</v>
      </c>
      <c r="I23" s="26">
        <f t="shared" si="4"/>
        <v>45.993150684931507</v>
      </c>
      <c r="J23" s="26">
        <v>53.57</v>
      </c>
      <c r="K23" s="7">
        <f t="shared" si="5"/>
        <v>2463.8530821917807</v>
      </c>
      <c r="L23" s="26">
        <v>15.75</v>
      </c>
      <c r="M23" s="26">
        <f t="shared" si="6"/>
        <v>8.5222602739726039</v>
      </c>
      <c r="N23" s="26">
        <v>57.5</v>
      </c>
      <c r="O23" s="7">
        <f t="shared" si="7"/>
        <v>490.02996575342473</v>
      </c>
      <c r="P23" s="2"/>
    </row>
    <row r="24" spans="1:18" x14ac:dyDescent="0.25">
      <c r="A24" s="21" t="s">
        <v>84</v>
      </c>
      <c r="B24" s="22" t="s">
        <v>32</v>
      </c>
      <c r="C24" s="21" t="s">
        <v>58</v>
      </c>
      <c r="D24" s="26">
        <v>103.67099567099568</v>
      </c>
      <c r="E24" s="26">
        <f t="shared" si="9"/>
        <v>56.095949712388069</v>
      </c>
      <c r="F24" s="26">
        <v>53.57</v>
      </c>
      <c r="G24" s="7">
        <f t="shared" si="8"/>
        <v>3005.060026092629</v>
      </c>
      <c r="H24" s="26">
        <v>434.23718614718609</v>
      </c>
      <c r="I24" s="26">
        <f t="shared" si="4"/>
        <v>234.96395688786097</v>
      </c>
      <c r="J24" s="26">
        <v>53.57</v>
      </c>
      <c r="K24" s="7">
        <f t="shared" si="5"/>
        <v>12587.019170482712</v>
      </c>
      <c r="L24" s="26">
        <v>80.686227272727265</v>
      </c>
      <c r="M24" s="26">
        <f t="shared" si="6"/>
        <v>43.658985990037351</v>
      </c>
      <c r="N24" s="26">
        <v>57.5</v>
      </c>
      <c r="O24" s="7">
        <f t="shared" si="7"/>
        <v>2510.3916944271477</v>
      </c>
      <c r="P24" s="2"/>
    </row>
    <row r="25" spans="1:18" x14ac:dyDescent="0.25">
      <c r="A25" s="21" t="s">
        <v>84</v>
      </c>
      <c r="B25" s="22" t="s">
        <v>33</v>
      </c>
      <c r="C25" s="21" t="s">
        <v>59</v>
      </c>
      <c r="D25" s="26">
        <v>0</v>
      </c>
      <c r="E25" s="26">
        <f t="shared" si="9"/>
        <v>0</v>
      </c>
      <c r="F25" s="26">
        <v>53.57</v>
      </c>
      <c r="G25" s="7">
        <f t="shared" si="8"/>
        <v>0</v>
      </c>
      <c r="H25" s="26">
        <v>202.40000000000003</v>
      </c>
      <c r="I25" s="26">
        <f t="shared" si="4"/>
        <v>109.51780821917809</v>
      </c>
      <c r="J25" s="26">
        <v>53.57</v>
      </c>
      <c r="K25" s="7">
        <f t="shared" si="5"/>
        <v>5866.8689863013706</v>
      </c>
      <c r="L25" s="26">
        <v>30.360000000000007</v>
      </c>
      <c r="M25" s="26">
        <f t="shared" si="6"/>
        <v>16.427671232876715</v>
      </c>
      <c r="N25" s="26">
        <v>57.5</v>
      </c>
      <c r="O25" s="7">
        <f t="shared" si="7"/>
        <v>944.59109589041111</v>
      </c>
      <c r="P25" s="2"/>
    </row>
    <row r="26" spans="1:18" x14ac:dyDescent="0.25">
      <c r="A26" s="21" t="s">
        <v>84</v>
      </c>
      <c r="B26" s="21" t="s">
        <v>34</v>
      </c>
      <c r="C26" s="21" t="s">
        <v>60</v>
      </c>
      <c r="D26" s="26">
        <v>0</v>
      </c>
      <c r="E26" s="26">
        <f t="shared" si="9"/>
        <v>0</v>
      </c>
      <c r="F26" s="26">
        <v>53.57</v>
      </c>
      <c r="G26" s="7">
        <f t="shared" si="8"/>
        <v>0</v>
      </c>
      <c r="H26" s="26">
        <v>159.02999999999997</v>
      </c>
      <c r="I26" s="26">
        <f t="shared" si="4"/>
        <v>86.050479452054788</v>
      </c>
      <c r="J26" s="26">
        <v>53.57</v>
      </c>
      <c r="K26" s="7">
        <f t="shared" si="5"/>
        <v>4609.7241842465746</v>
      </c>
      <c r="L26" s="26">
        <v>23.854499999999994</v>
      </c>
      <c r="M26" s="26">
        <f t="shared" si="6"/>
        <v>12.907571917808216</v>
      </c>
      <c r="N26" s="26">
        <v>57.5</v>
      </c>
      <c r="O26" s="7">
        <f t="shared" si="7"/>
        <v>742.18538527397243</v>
      </c>
      <c r="P26" s="2"/>
      <c r="Q26" t="s">
        <v>103</v>
      </c>
    </row>
    <row r="27" spans="1:18" x14ac:dyDescent="0.25">
      <c r="A27" s="21" t="s">
        <v>84</v>
      </c>
      <c r="B27" s="22" t="s">
        <v>32</v>
      </c>
      <c r="C27" s="21" t="s">
        <v>61</v>
      </c>
      <c r="D27" s="26">
        <v>0</v>
      </c>
      <c r="E27" s="26">
        <f t="shared" si="9"/>
        <v>0</v>
      </c>
      <c r="F27" s="26">
        <v>53.57</v>
      </c>
      <c r="G27" s="7">
        <f t="shared" si="8"/>
        <v>0</v>
      </c>
      <c r="H27" s="26">
        <v>0</v>
      </c>
      <c r="I27" s="26">
        <f t="shared" si="4"/>
        <v>0</v>
      </c>
      <c r="J27" s="26">
        <v>53.57</v>
      </c>
      <c r="K27" s="7">
        <f t="shared" si="5"/>
        <v>0</v>
      </c>
      <c r="L27" s="26">
        <v>0</v>
      </c>
      <c r="M27" s="26">
        <f t="shared" si="6"/>
        <v>0</v>
      </c>
      <c r="N27" s="26">
        <v>57.5</v>
      </c>
      <c r="O27" s="7">
        <f t="shared" si="7"/>
        <v>0</v>
      </c>
      <c r="P27" s="2"/>
    </row>
    <row r="28" spans="1:18" x14ac:dyDescent="0.25">
      <c r="A28" s="21" t="s">
        <v>16</v>
      </c>
      <c r="B28" s="22" t="s">
        <v>24</v>
      </c>
      <c r="C28" s="21" t="s">
        <v>43</v>
      </c>
      <c r="D28" s="29">
        <v>288.60028860028859</v>
      </c>
      <c r="E28" s="26">
        <f t="shared" si="9"/>
        <v>156.16043013303286</v>
      </c>
      <c r="F28" s="26">
        <v>53.57</v>
      </c>
      <c r="G28" s="7">
        <f t="shared" si="8"/>
        <v>8365.5142422265708</v>
      </c>
      <c r="H28" s="29">
        <v>649.35064935064941</v>
      </c>
      <c r="I28" s="26">
        <f t="shared" si="4"/>
        <v>351.36096779932399</v>
      </c>
      <c r="J28" s="26">
        <v>53.57</v>
      </c>
      <c r="K28" s="7">
        <f t="shared" si="5"/>
        <v>18822.407045009786</v>
      </c>
      <c r="L28" s="26">
        <v>140.69264069264071</v>
      </c>
      <c r="M28" s="26">
        <f t="shared" si="6"/>
        <v>76.128209689853534</v>
      </c>
      <c r="N28" s="26">
        <v>57.5</v>
      </c>
      <c r="O28" s="7">
        <f t="shared" si="7"/>
        <v>4377.3720571665781</v>
      </c>
      <c r="P28" s="27">
        <v>43466</v>
      </c>
    </row>
    <row r="29" spans="1:18" x14ac:dyDescent="0.25">
      <c r="A29" s="9"/>
      <c r="B29" s="23"/>
      <c r="C29" s="23"/>
      <c r="D29" s="38"/>
      <c r="E29" s="55">
        <f>SUM(E18:E28)</f>
        <v>563.69204698649901</v>
      </c>
      <c r="F29" s="39"/>
      <c r="G29" s="40">
        <f>SUM(G18:G28)</f>
        <v>30196.98295706675</v>
      </c>
      <c r="H29" s="38"/>
      <c r="I29" s="38">
        <f>SUM(I18:I28)</f>
        <v>1655.7541742275989</v>
      </c>
      <c r="J29" s="41"/>
      <c r="K29" s="41">
        <f t="shared" ref="K29" si="10">SUM(K18:K28)</f>
        <v>88698.751113372477</v>
      </c>
      <c r="L29" s="38"/>
      <c r="M29" s="38">
        <f>SUM(M18:M28)</f>
        <v>332.91693318211469</v>
      </c>
      <c r="N29" s="41"/>
      <c r="O29" s="41">
        <f t="shared" ref="O29" si="11">SUM(O18:O28)</f>
        <v>19142.723657971597</v>
      </c>
      <c r="P29" s="7"/>
      <c r="Q29" s="2"/>
    </row>
    <row r="30" spans="1:18" ht="15.75" x14ac:dyDescent="0.25">
      <c r="A30" s="30" t="s">
        <v>107</v>
      </c>
      <c r="B30" s="30" t="s">
        <v>105</v>
      </c>
      <c r="C30" s="31">
        <v>321139.87245000002</v>
      </c>
      <c r="D30" s="31">
        <f>+C30*3</f>
        <v>963419.61735000007</v>
      </c>
      <c r="E30" s="31"/>
      <c r="F30" s="31"/>
      <c r="G30" s="31">
        <f t="shared" ref="G30" si="12">+D30/36*M30*0.25</f>
        <v>13380.82801875</v>
      </c>
      <c r="H30" s="31">
        <v>0</v>
      </c>
      <c r="I30" s="31"/>
      <c r="J30" s="32">
        <f t="shared" ref="J30" si="13">+D30+G30+H30</f>
        <v>976800.44536875002</v>
      </c>
      <c r="K30" s="33" t="s">
        <v>106</v>
      </c>
      <c r="L30" s="33"/>
      <c r="M30" s="34">
        <v>2</v>
      </c>
      <c r="N30" s="35">
        <v>43101</v>
      </c>
      <c r="O30" s="35">
        <v>43236</v>
      </c>
      <c r="P30" s="36">
        <v>43236</v>
      </c>
      <c r="Q30" s="36">
        <v>43297</v>
      </c>
      <c r="R30" s="37"/>
    </row>
    <row r="31" spans="1:18" ht="15.75" x14ac:dyDescent="0.25">
      <c r="A31" s="25"/>
      <c r="B31" s="25"/>
      <c r="C31" s="42"/>
      <c r="D31" s="42"/>
      <c r="E31" s="42"/>
      <c r="F31" s="42"/>
      <c r="G31" s="42"/>
      <c r="H31" s="42"/>
      <c r="I31" s="42"/>
      <c r="J31" s="43"/>
      <c r="K31" s="44"/>
      <c r="L31" s="44"/>
      <c r="M31" s="45"/>
      <c r="N31" s="46"/>
      <c r="O31" s="46"/>
      <c r="P31" s="47"/>
      <c r="Q31" s="47"/>
      <c r="R31" s="48"/>
    </row>
    <row r="32" spans="1:18" ht="15.75" x14ac:dyDescent="0.25">
      <c r="A32" s="25"/>
      <c r="B32" s="25"/>
      <c r="C32" s="42"/>
      <c r="D32" s="42"/>
      <c r="F32" s="50" t="s">
        <v>112</v>
      </c>
      <c r="G32" s="50" t="s">
        <v>113</v>
      </c>
      <c r="I32" s="42"/>
      <c r="J32" s="43"/>
      <c r="K32" s="44"/>
      <c r="L32" s="44"/>
      <c r="M32" s="45"/>
      <c r="N32" s="46"/>
      <c r="O32" s="46"/>
      <c r="P32" s="47"/>
      <c r="Q32" s="47"/>
      <c r="R32" s="48"/>
    </row>
    <row r="33" spans="1:18" ht="15.75" x14ac:dyDescent="0.25">
      <c r="A33" s="25"/>
      <c r="B33" s="25"/>
      <c r="C33" s="42"/>
      <c r="D33" s="42"/>
      <c r="E33" s="51">
        <v>2018</v>
      </c>
      <c r="F33" s="52">
        <f>G29+K29+O29</f>
        <v>138038.45772841084</v>
      </c>
      <c r="G33" s="52">
        <f>G30</f>
        <v>13380.82801875</v>
      </c>
      <c r="I33" s="42"/>
      <c r="J33" s="43"/>
      <c r="K33" s="44"/>
      <c r="L33" s="44"/>
      <c r="M33" s="45"/>
      <c r="N33" s="46"/>
      <c r="O33" s="46"/>
      <c r="P33" s="47"/>
      <c r="Q33" s="47"/>
      <c r="R33" s="48"/>
    </row>
    <row r="34" spans="1:18" ht="15.75" x14ac:dyDescent="0.25">
      <c r="A34" s="25"/>
      <c r="B34" s="25"/>
      <c r="C34" s="42"/>
      <c r="D34" s="42"/>
      <c r="E34" s="51">
        <v>2019</v>
      </c>
      <c r="F34" s="52">
        <f>F14+I14+L14</f>
        <v>255109.04846010101</v>
      </c>
      <c r="I34" s="42"/>
      <c r="J34" s="43"/>
      <c r="K34" s="44"/>
      <c r="L34" s="44"/>
      <c r="M34" s="45"/>
      <c r="N34" s="46"/>
      <c r="O34" s="46"/>
      <c r="P34" s="47"/>
      <c r="Q34" s="47"/>
      <c r="R34" s="48"/>
    </row>
    <row r="35" spans="1:18" ht="15.75" x14ac:dyDescent="0.25">
      <c r="A35" s="25"/>
      <c r="B35" s="25"/>
      <c r="C35" s="42"/>
      <c r="D35" s="42"/>
      <c r="E35" s="51">
        <v>2020</v>
      </c>
      <c r="F35" s="52">
        <f>F14+I14+L14</f>
        <v>255109.04846010101</v>
      </c>
      <c r="I35" s="42"/>
      <c r="J35" s="43"/>
      <c r="K35" s="44"/>
      <c r="L35" s="44"/>
      <c r="M35" s="45"/>
      <c r="N35" s="46"/>
      <c r="O35" s="46"/>
      <c r="P35" s="47"/>
      <c r="Q35" s="47"/>
      <c r="R35" s="48"/>
    </row>
    <row r="36" spans="1:18" ht="15.75" x14ac:dyDescent="0.25">
      <c r="A36" s="25"/>
      <c r="B36" s="25"/>
      <c r="C36" s="42"/>
      <c r="D36" s="42"/>
      <c r="E36" s="51">
        <v>2021</v>
      </c>
      <c r="F36" s="52">
        <f>F14+I14+L14</f>
        <v>255109.04846010101</v>
      </c>
      <c r="I36" s="42"/>
      <c r="J36" s="43"/>
      <c r="K36" s="44"/>
      <c r="L36" s="44"/>
      <c r="M36" s="45"/>
      <c r="N36" s="46"/>
      <c r="O36" s="46"/>
      <c r="P36" s="47"/>
      <c r="Q36" s="47"/>
      <c r="R36" s="48"/>
    </row>
    <row r="37" spans="1:18" ht="15.75" x14ac:dyDescent="0.25">
      <c r="A37" s="25"/>
      <c r="B37" s="25"/>
      <c r="C37" s="42"/>
      <c r="D37" s="42"/>
      <c r="F37" s="53">
        <f>SUM(F33:F36)</f>
        <v>903365.60310871387</v>
      </c>
      <c r="G37" s="53">
        <f>SUM(G33:G36)</f>
        <v>13380.82801875</v>
      </c>
      <c r="H37" s="54">
        <f>F37+G37</f>
        <v>916746.43112746382</v>
      </c>
      <c r="I37" s="42"/>
      <c r="J37" s="43"/>
      <c r="K37" s="44"/>
      <c r="L37" s="44"/>
      <c r="M37" s="45"/>
      <c r="N37" s="46"/>
      <c r="O37" s="46"/>
      <c r="P37" s="47"/>
      <c r="Q37" s="47"/>
      <c r="R37" s="48"/>
    </row>
    <row r="38" spans="1:18" ht="15.75" x14ac:dyDescent="0.25">
      <c r="A38" s="25"/>
      <c r="B38" s="25"/>
      <c r="C38" s="42"/>
      <c r="D38" s="42"/>
      <c r="E38" s="42"/>
      <c r="F38" s="42"/>
      <c r="G38" s="42"/>
      <c r="H38" s="42"/>
      <c r="I38" s="42"/>
      <c r="J38" s="43"/>
      <c r="K38" s="44"/>
      <c r="L38" s="44"/>
      <c r="M38" s="45"/>
      <c r="N38" s="46"/>
      <c r="O38" s="46"/>
      <c r="P38" s="47"/>
      <c r="Q38" s="47"/>
      <c r="R38" s="48"/>
    </row>
    <row r="39" spans="1:18" ht="15.75" x14ac:dyDescent="0.25">
      <c r="A39" s="15" t="s">
        <v>111</v>
      </c>
      <c r="B39" s="25"/>
      <c r="C39" s="42"/>
      <c r="D39" s="42"/>
      <c r="E39" s="42"/>
      <c r="F39" s="42"/>
      <c r="G39" s="42"/>
      <c r="H39" s="42"/>
      <c r="I39" s="42"/>
      <c r="J39" s="43"/>
      <c r="K39" s="44"/>
      <c r="L39" s="44"/>
      <c r="M39" s="45"/>
      <c r="N39" s="46"/>
      <c r="O39" s="46"/>
      <c r="P39" s="47"/>
      <c r="Q39" s="47"/>
      <c r="R39" s="48"/>
    </row>
    <row r="40" spans="1:18" ht="30" customHeight="1" x14ac:dyDescent="0.25">
      <c r="A40" s="5" t="s">
        <v>11</v>
      </c>
      <c r="B40" s="5" t="s">
        <v>0</v>
      </c>
      <c r="C40" s="5" t="s">
        <v>1</v>
      </c>
      <c r="D40" s="4" t="s">
        <v>3</v>
      </c>
      <c r="E40" s="4" t="s">
        <v>108</v>
      </c>
      <c r="F40" s="4" t="s">
        <v>2</v>
      </c>
      <c r="G40" s="4" t="s">
        <v>14</v>
      </c>
      <c r="H40" s="4" t="s">
        <v>108</v>
      </c>
      <c r="I40" s="4" t="s">
        <v>15</v>
      </c>
      <c r="J40" s="4" t="s">
        <v>8</v>
      </c>
      <c r="K40" s="4" t="s">
        <v>108</v>
      </c>
      <c r="L40" s="4" t="s">
        <v>9</v>
      </c>
      <c r="M40" s="4" t="s">
        <v>10</v>
      </c>
    </row>
    <row r="41" spans="1:18" x14ac:dyDescent="0.25">
      <c r="A41" s="14" t="s">
        <v>84</v>
      </c>
      <c r="B41" s="24" t="s">
        <v>29</v>
      </c>
      <c r="C41" s="14" t="s">
        <v>62</v>
      </c>
      <c r="D41" s="26">
        <v>209.254921505108</v>
      </c>
      <c r="E41" s="26">
        <v>46.59</v>
      </c>
      <c r="F41" s="7">
        <f>D41*E41</f>
        <v>9749.1867929229829</v>
      </c>
      <c r="G41" s="26">
        <v>982.79691004236224</v>
      </c>
      <c r="H41" s="26">
        <v>49.95</v>
      </c>
      <c r="I41" s="7">
        <f>G41*H41</f>
        <v>49090.705656615995</v>
      </c>
      <c r="J41" s="26">
        <v>178.80777473212058</v>
      </c>
      <c r="K41" s="26">
        <v>57.5</v>
      </c>
      <c r="L41" s="7">
        <f>J41*K41</f>
        <v>10281.447047096934</v>
      </c>
      <c r="M41" s="2"/>
    </row>
    <row r="42" spans="1:18" x14ac:dyDescent="0.25">
      <c r="A42" s="14" t="s">
        <v>84</v>
      </c>
      <c r="B42" s="24" t="s">
        <v>29</v>
      </c>
      <c r="C42" s="14" t="s">
        <v>63</v>
      </c>
      <c r="D42" s="26">
        <v>72.916666666666657</v>
      </c>
      <c r="E42" s="26">
        <v>46.59</v>
      </c>
      <c r="F42" s="7">
        <f t="shared" ref="F42:F63" si="14">D42*E42</f>
        <v>3397.1875</v>
      </c>
      <c r="G42" s="26">
        <v>853.57416666666654</v>
      </c>
      <c r="H42" s="26">
        <v>49.95</v>
      </c>
      <c r="I42" s="7">
        <f t="shared" ref="I42:I63" si="15">G42*H42</f>
        <v>42636.029624999996</v>
      </c>
      <c r="J42" s="26">
        <v>138.973625</v>
      </c>
      <c r="K42" s="26">
        <v>57.5</v>
      </c>
      <c r="L42" s="7">
        <f t="shared" ref="L42:L63" si="16">J42*K42</f>
        <v>7990.9834375</v>
      </c>
      <c r="M42" s="2"/>
    </row>
    <row r="43" spans="1:18" x14ac:dyDescent="0.25">
      <c r="A43" s="14" t="s">
        <v>84</v>
      </c>
      <c r="B43" s="24" t="s">
        <v>29</v>
      </c>
      <c r="C43" s="14" t="s">
        <v>64</v>
      </c>
      <c r="D43" s="26">
        <v>161.31323199601295</v>
      </c>
      <c r="E43" s="26">
        <v>46.59</v>
      </c>
      <c r="F43" s="7">
        <f t="shared" si="14"/>
        <v>7515.5834786942432</v>
      </c>
      <c r="G43" s="26">
        <v>739.83204585098429</v>
      </c>
      <c r="H43" s="26">
        <v>49.95</v>
      </c>
      <c r="I43" s="7">
        <f t="shared" si="15"/>
        <v>36954.610690256668</v>
      </c>
      <c r="J43" s="26">
        <v>135.17179167704955</v>
      </c>
      <c r="K43" s="26">
        <v>57.5</v>
      </c>
      <c r="L43" s="7">
        <f t="shared" si="16"/>
        <v>7772.3780214303497</v>
      </c>
      <c r="M43" s="2"/>
    </row>
    <row r="44" spans="1:18" x14ac:dyDescent="0.25">
      <c r="A44" s="14" t="s">
        <v>84</v>
      </c>
      <c r="B44" s="24" t="s">
        <v>35</v>
      </c>
      <c r="C44" s="24" t="s">
        <v>65</v>
      </c>
      <c r="D44" s="26">
        <v>43.75</v>
      </c>
      <c r="E44" s="26">
        <v>46.59</v>
      </c>
      <c r="F44" s="7">
        <f t="shared" si="14"/>
        <v>2038.3125000000002</v>
      </c>
      <c r="G44" s="26">
        <v>688.42666666666662</v>
      </c>
      <c r="H44" s="26">
        <v>49.95</v>
      </c>
      <c r="I44" s="7">
        <f t="shared" si="15"/>
        <v>34386.911999999997</v>
      </c>
      <c r="J44" s="26">
        <v>109.8265</v>
      </c>
      <c r="K44" s="26">
        <v>57.5</v>
      </c>
      <c r="L44" s="7">
        <f t="shared" si="16"/>
        <v>6315.0237499999994</v>
      </c>
      <c r="M44" s="2"/>
    </row>
    <row r="45" spans="1:18" x14ac:dyDescent="0.25">
      <c r="A45" s="14" t="s">
        <v>85</v>
      </c>
      <c r="B45" s="24" t="s">
        <v>29</v>
      </c>
      <c r="C45" s="14" t="s">
        <v>67</v>
      </c>
      <c r="D45" s="26">
        <v>63.135559431846495</v>
      </c>
      <c r="E45" s="26">
        <v>46.59</v>
      </c>
      <c r="F45" s="7">
        <f t="shared" si="14"/>
        <v>2941.4857139297283</v>
      </c>
      <c r="G45" s="26">
        <v>174.43309244953898</v>
      </c>
      <c r="H45" s="26">
        <v>49.95</v>
      </c>
      <c r="I45" s="7">
        <f t="shared" si="15"/>
        <v>8712.9329678544727</v>
      </c>
      <c r="J45" s="26">
        <v>35.635297782207829</v>
      </c>
      <c r="K45" s="26">
        <v>57.5</v>
      </c>
      <c r="L45" s="7">
        <f t="shared" si="16"/>
        <v>2049.02962247695</v>
      </c>
      <c r="M45" s="2"/>
    </row>
    <row r="46" spans="1:18" x14ac:dyDescent="0.25">
      <c r="A46" s="14" t="s">
        <v>85</v>
      </c>
      <c r="B46" s="24" t="s">
        <v>29</v>
      </c>
      <c r="C46" s="14" t="s">
        <v>68</v>
      </c>
      <c r="D46" s="26">
        <v>63.135559431846495</v>
      </c>
      <c r="E46" s="26">
        <v>46.59</v>
      </c>
      <c r="F46" s="7">
        <f t="shared" si="14"/>
        <v>2941.4857139297283</v>
      </c>
      <c r="G46" s="26">
        <v>174.43309244953898</v>
      </c>
      <c r="H46" s="26">
        <v>49.95</v>
      </c>
      <c r="I46" s="7">
        <f t="shared" si="15"/>
        <v>8712.9329678544727</v>
      </c>
      <c r="J46" s="26">
        <v>35.635297782207829</v>
      </c>
      <c r="K46" s="26">
        <v>57.5</v>
      </c>
      <c r="L46" s="7">
        <f t="shared" si="16"/>
        <v>2049.02962247695</v>
      </c>
      <c r="M46" s="2"/>
    </row>
    <row r="47" spans="1:18" x14ac:dyDescent="0.25">
      <c r="A47" s="14" t="s">
        <v>86</v>
      </c>
      <c r="B47" s="24" t="s">
        <v>29</v>
      </c>
      <c r="C47" s="14" t="s">
        <v>69</v>
      </c>
      <c r="D47" s="26">
        <v>201.75654124096684</v>
      </c>
      <c r="E47" s="26">
        <v>46.59</v>
      </c>
      <c r="F47" s="7">
        <f t="shared" si="14"/>
        <v>9399.8372564166457</v>
      </c>
      <c r="G47" s="26">
        <v>498.38026414153995</v>
      </c>
      <c r="H47" s="26">
        <v>49.95</v>
      </c>
      <c r="I47" s="7">
        <f t="shared" si="15"/>
        <v>24894.094193869922</v>
      </c>
      <c r="J47" s="26">
        <v>105.020520807376</v>
      </c>
      <c r="K47" s="26">
        <v>57.5</v>
      </c>
      <c r="L47" s="7">
        <f t="shared" si="16"/>
        <v>6038.6799464241203</v>
      </c>
      <c r="M47" s="2"/>
    </row>
    <row r="48" spans="1:18" x14ac:dyDescent="0.25">
      <c r="A48" s="14" t="s">
        <v>96</v>
      </c>
      <c r="B48" s="24" t="s">
        <v>29</v>
      </c>
      <c r="C48" s="14" t="s">
        <v>95</v>
      </c>
      <c r="D48" s="26">
        <v>199.35210565661598</v>
      </c>
      <c r="E48" s="26">
        <v>46.59</v>
      </c>
      <c r="F48" s="7">
        <f t="shared" si="14"/>
        <v>9287.8146025417391</v>
      </c>
      <c r="G48" s="26">
        <v>375.47096934961371</v>
      </c>
      <c r="H48" s="26">
        <v>49.95</v>
      </c>
      <c r="I48" s="7">
        <f t="shared" si="15"/>
        <v>18754.774919013205</v>
      </c>
      <c r="J48" s="26">
        <v>86.223461250934463</v>
      </c>
      <c r="K48" s="26">
        <v>57.5</v>
      </c>
      <c r="L48" s="7">
        <f t="shared" si="16"/>
        <v>4957.8490219287314</v>
      </c>
      <c r="M48" s="27"/>
    </row>
    <row r="49" spans="1:13" x14ac:dyDescent="0.25">
      <c r="A49" s="14" t="s">
        <v>97</v>
      </c>
      <c r="B49" s="24" t="s">
        <v>38</v>
      </c>
      <c r="C49" s="14" t="s">
        <v>94</v>
      </c>
      <c r="D49" s="26">
        <v>996.76052828307991</v>
      </c>
      <c r="E49" s="26">
        <v>46.59</v>
      </c>
      <c r="F49" s="7">
        <f t="shared" si="14"/>
        <v>46439.073012708694</v>
      </c>
      <c r="G49" s="26">
        <v>1993.5210565661598</v>
      </c>
      <c r="H49" s="26">
        <v>49.95</v>
      </c>
      <c r="I49" s="7">
        <f t="shared" si="15"/>
        <v>99576.376775479686</v>
      </c>
      <c r="J49" s="26">
        <v>448.54223772738595</v>
      </c>
      <c r="K49" s="26">
        <v>57.5</v>
      </c>
      <c r="L49" s="7">
        <f t="shared" si="16"/>
        <v>25791.178669324694</v>
      </c>
      <c r="M49" s="27">
        <v>43405</v>
      </c>
    </row>
    <row r="50" spans="1:13" x14ac:dyDescent="0.25">
      <c r="A50" s="14" t="s">
        <v>98</v>
      </c>
      <c r="B50" s="24"/>
      <c r="C50" s="14" t="s">
        <v>99</v>
      </c>
      <c r="D50" s="26">
        <v>249.19013207076998</v>
      </c>
      <c r="E50" s="26">
        <v>46.59</v>
      </c>
      <c r="F50" s="7">
        <f t="shared" si="14"/>
        <v>11609.768253177173</v>
      </c>
      <c r="G50" s="26">
        <v>747.5703962123099</v>
      </c>
      <c r="H50" s="26">
        <v>49.95</v>
      </c>
      <c r="I50" s="7">
        <f t="shared" si="15"/>
        <v>37341.141290804881</v>
      </c>
      <c r="J50" s="26">
        <v>149.514079242462</v>
      </c>
      <c r="K50" s="26">
        <v>57.5</v>
      </c>
      <c r="L50" s="7">
        <f t="shared" si="16"/>
        <v>8597.0595564415653</v>
      </c>
      <c r="M50" s="27">
        <v>43252</v>
      </c>
    </row>
    <row r="51" spans="1:13" x14ac:dyDescent="0.25">
      <c r="A51" s="14" t="s">
        <v>98</v>
      </c>
      <c r="B51" s="24"/>
      <c r="C51" s="14" t="s">
        <v>100</v>
      </c>
      <c r="D51" s="26">
        <v>124.59506603538499</v>
      </c>
      <c r="E51" s="26">
        <v>46.59</v>
      </c>
      <c r="F51" s="7">
        <f t="shared" si="14"/>
        <v>5804.8841265885867</v>
      </c>
      <c r="G51" s="26">
        <v>498.38026414153995</v>
      </c>
      <c r="H51" s="26">
        <v>49.95</v>
      </c>
      <c r="I51" s="7">
        <f t="shared" si="15"/>
        <v>24894.094193869922</v>
      </c>
      <c r="J51" s="26">
        <v>93.446299526538738</v>
      </c>
      <c r="K51" s="26">
        <v>57.5</v>
      </c>
      <c r="L51" s="7">
        <f t="shared" si="16"/>
        <v>5373.1622227759772</v>
      </c>
      <c r="M51" s="27">
        <v>43252</v>
      </c>
    </row>
    <row r="52" spans="1:13" x14ac:dyDescent="0.25">
      <c r="A52" s="14" t="s">
        <v>98</v>
      </c>
      <c r="B52" s="24"/>
      <c r="C52" s="14" t="s">
        <v>101</v>
      </c>
      <c r="D52" s="26">
        <v>124.59506603538499</v>
      </c>
      <c r="E52" s="26">
        <v>46.59</v>
      </c>
      <c r="F52" s="7">
        <f t="shared" si="14"/>
        <v>5804.8841265885867</v>
      </c>
      <c r="G52" s="26">
        <v>498.38026414153995</v>
      </c>
      <c r="H52" s="26">
        <v>49.95</v>
      </c>
      <c r="I52" s="7">
        <f t="shared" si="15"/>
        <v>24894.094193869922</v>
      </c>
      <c r="J52" s="26">
        <v>93.446299526538738</v>
      </c>
      <c r="K52" s="26">
        <v>57.5</v>
      </c>
      <c r="L52" s="7">
        <f t="shared" si="16"/>
        <v>5373.1622227759772</v>
      </c>
      <c r="M52" s="27">
        <v>43252</v>
      </c>
    </row>
    <row r="53" spans="1:13" x14ac:dyDescent="0.25">
      <c r="B53" s="25"/>
      <c r="C53" s="9"/>
      <c r="D53" s="26"/>
      <c r="E53" s="26"/>
      <c r="F53" s="7"/>
      <c r="G53" s="26"/>
      <c r="H53" s="26"/>
      <c r="I53" s="7"/>
      <c r="J53" s="26"/>
      <c r="K53" s="26"/>
      <c r="L53" s="7"/>
      <c r="M53" s="2"/>
    </row>
    <row r="54" spans="1:13" x14ac:dyDescent="0.25">
      <c r="A54" s="15" t="s">
        <v>85</v>
      </c>
      <c r="B54" s="18" t="s">
        <v>29</v>
      </c>
      <c r="C54" s="15" t="s">
        <v>66</v>
      </c>
      <c r="D54" s="26">
        <v>10.601544978818838</v>
      </c>
      <c r="E54" s="26">
        <v>46.59</v>
      </c>
      <c r="F54" s="7">
        <f t="shared" si="14"/>
        <v>493.92598056316967</v>
      </c>
      <c r="G54" s="26">
        <v>0</v>
      </c>
      <c r="H54" s="26">
        <v>49.95</v>
      </c>
      <c r="I54" s="7">
        <f t="shared" si="15"/>
        <v>0</v>
      </c>
      <c r="J54" s="26">
        <v>1.5902317468228255</v>
      </c>
      <c r="K54" s="26">
        <v>57.5</v>
      </c>
      <c r="L54" s="7">
        <f t="shared" si="16"/>
        <v>91.438325442312461</v>
      </c>
      <c r="M54" s="2"/>
    </row>
    <row r="55" spans="1:13" x14ac:dyDescent="0.25">
      <c r="A55" s="15" t="s">
        <v>85</v>
      </c>
      <c r="B55" s="18" t="s">
        <v>36</v>
      </c>
      <c r="C55" s="16" t="s">
        <v>70</v>
      </c>
      <c r="D55" s="26">
        <v>85.016197358584591</v>
      </c>
      <c r="E55" s="26">
        <v>46.59</v>
      </c>
      <c r="F55" s="7">
        <f t="shared" si="14"/>
        <v>3960.9046349364562</v>
      </c>
      <c r="G55" s="26">
        <v>0</v>
      </c>
      <c r="H55" s="26">
        <v>49.95</v>
      </c>
      <c r="I55" s="7">
        <f t="shared" si="15"/>
        <v>0</v>
      </c>
      <c r="J55" s="26">
        <v>12.752429603787688</v>
      </c>
      <c r="K55" s="26">
        <v>57.5</v>
      </c>
      <c r="L55" s="7">
        <f t="shared" si="16"/>
        <v>733.26470221779209</v>
      </c>
      <c r="M55" s="2"/>
    </row>
    <row r="56" spans="1:13" x14ac:dyDescent="0.25">
      <c r="A56" s="16" t="s">
        <v>21</v>
      </c>
      <c r="B56" s="18" t="s">
        <v>36</v>
      </c>
      <c r="C56" s="16" t="s">
        <v>71</v>
      </c>
      <c r="D56" s="26">
        <v>28.842262646399202</v>
      </c>
      <c r="E56" s="26">
        <v>46.59</v>
      </c>
      <c r="F56" s="7">
        <f t="shared" si="14"/>
        <v>1343.761016695739</v>
      </c>
      <c r="G56" s="26">
        <v>0</v>
      </c>
      <c r="H56" s="26">
        <v>49.95</v>
      </c>
      <c r="I56" s="7">
        <f t="shared" si="15"/>
        <v>0</v>
      </c>
      <c r="J56" s="26">
        <v>4.3263393969598809</v>
      </c>
      <c r="K56" s="26">
        <v>57.5</v>
      </c>
      <c r="L56" s="7">
        <f t="shared" si="16"/>
        <v>248.76451532519314</v>
      </c>
      <c r="M56" s="2"/>
    </row>
    <row r="57" spans="1:13" x14ac:dyDescent="0.25">
      <c r="A57" s="15" t="s">
        <v>85</v>
      </c>
      <c r="B57" s="17" t="s">
        <v>26</v>
      </c>
      <c r="C57" s="17" t="s">
        <v>72</v>
      </c>
      <c r="D57" s="26">
        <v>0</v>
      </c>
      <c r="E57" s="26">
        <v>46.59</v>
      </c>
      <c r="F57" s="7">
        <f t="shared" si="14"/>
        <v>0</v>
      </c>
      <c r="G57" s="26">
        <v>0</v>
      </c>
      <c r="H57" s="26">
        <v>49.95</v>
      </c>
      <c r="I57" s="7">
        <f t="shared" si="15"/>
        <v>0</v>
      </c>
      <c r="J57" s="26">
        <v>0</v>
      </c>
      <c r="K57" s="26">
        <v>57.5</v>
      </c>
      <c r="L57" s="7">
        <f t="shared" si="16"/>
        <v>0</v>
      </c>
      <c r="M57" s="2"/>
    </row>
    <row r="58" spans="1:13" x14ac:dyDescent="0.25">
      <c r="A58" s="15" t="s">
        <v>85</v>
      </c>
      <c r="B58" s="18" t="s">
        <v>37</v>
      </c>
      <c r="C58" s="18" t="s">
        <v>73</v>
      </c>
      <c r="D58" s="26">
        <v>0</v>
      </c>
      <c r="E58" s="26">
        <v>46.59</v>
      </c>
      <c r="F58" s="7">
        <f t="shared" si="14"/>
        <v>0</v>
      </c>
      <c r="G58" s="26">
        <v>121.44256167455768</v>
      </c>
      <c r="H58" s="26">
        <v>49.95</v>
      </c>
      <c r="I58" s="7">
        <f t="shared" si="15"/>
        <v>6066.0559556441567</v>
      </c>
      <c r="J58" s="26">
        <v>18.216384251183648</v>
      </c>
      <c r="K58" s="26">
        <v>57.5</v>
      </c>
      <c r="L58" s="7">
        <f t="shared" si="16"/>
        <v>1047.4420944430597</v>
      </c>
      <c r="M58" s="2"/>
    </row>
    <row r="59" spans="1:13" x14ac:dyDescent="0.25">
      <c r="A59" s="15" t="s">
        <v>85</v>
      </c>
      <c r="B59" s="18" t="s">
        <v>37</v>
      </c>
      <c r="C59" s="18" t="s">
        <v>74</v>
      </c>
      <c r="D59" s="26">
        <v>0</v>
      </c>
      <c r="E59" s="26">
        <v>46.59</v>
      </c>
      <c r="F59" s="7">
        <f t="shared" si="14"/>
        <v>0</v>
      </c>
      <c r="G59" s="26">
        <v>0</v>
      </c>
      <c r="H59" s="26">
        <v>49.95</v>
      </c>
      <c r="I59" s="7">
        <f t="shared" si="15"/>
        <v>0</v>
      </c>
      <c r="J59" s="26">
        <v>0</v>
      </c>
      <c r="K59" s="26">
        <v>57.5</v>
      </c>
      <c r="L59" s="7">
        <f t="shared" si="16"/>
        <v>0</v>
      </c>
      <c r="M59" s="2"/>
    </row>
    <row r="60" spans="1:13" x14ac:dyDescent="0.25">
      <c r="A60" s="15" t="s">
        <v>85</v>
      </c>
      <c r="B60" s="18" t="s">
        <v>37</v>
      </c>
      <c r="C60" s="18" t="s">
        <v>75</v>
      </c>
      <c r="D60" s="26">
        <v>0</v>
      </c>
      <c r="E60" s="26">
        <v>46.59</v>
      </c>
      <c r="F60" s="7">
        <f t="shared" si="14"/>
        <v>0</v>
      </c>
      <c r="G60" s="26">
        <v>0</v>
      </c>
      <c r="H60" s="26">
        <v>49.95</v>
      </c>
      <c r="I60" s="7">
        <f t="shared" si="15"/>
        <v>0</v>
      </c>
      <c r="J60" s="26">
        <v>0</v>
      </c>
      <c r="K60" s="26">
        <v>57.5</v>
      </c>
      <c r="L60" s="7">
        <f t="shared" si="16"/>
        <v>0</v>
      </c>
      <c r="M60" s="2"/>
    </row>
    <row r="61" spans="1:13" x14ac:dyDescent="0.25">
      <c r="A61" s="15" t="s">
        <v>85</v>
      </c>
      <c r="B61" s="18" t="s">
        <v>37</v>
      </c>
      <c r="C61" s="18" t="s">
        <v>76</v>
      </c>
      <c r="D61" s="26">
        <v>0</v>
      </c>
      <c r="E61" s="26">
        <v>46.59</v>
      </c>
      <c r="F61" s="7">
        <f t="shared" si="14"/>
        <v>0</v>
      </c>
      <c r="G61" s="26">
        <v>0</v>
      </c>
      <c r="H61" s="26">
        <v>49.95</v>
      </c>
      <c r="I61" s="7">
        <f t="shared" si="15"/>
        <v>0</v>
      </c>
      <c r="J61" s="26">
        <v>0</v>
      </c>
      <c r="K61" s="26">
        <v>57.5</v>
      </c>
      <c r="L61" s="7">
        <f t="shared" si="16"/>
        <v>0</v>
      </c>
      <c r="M61" s="2"/>
    </row>
    <row r="62" spans="1:13" x14ac:dyDescent="0.25">
      <c r="A62" s="15" t="s">
        <v>85</v>
      </c>
      <c r="B62" s="18" t="s">
        <v>38</v>
      </c>
      <c r="C62" s="18" t="s">
        <v>78</v>
      </c>
      <c r="D62" s="26">
        <v>654.49264889110384</v>
      </c>
      <c r="E62" s="26">
        <v>46.59</v>
      </c>
      <c r="F62" s="7">
        <f t="shared" si="14"/>
        <v>30492.812511836531</v>
      </c>
      <c r="G62" s="26">
        <v>747.5703962123099</v>
      </c>
      <c r="H62" s="26">
        <v>49.95</v>
      </c>
      <c r="I62" s="7">
        <f t="shared" si="15"/>
        <v>37341.141290804881</v>
      </c>
      <c r="J62" s="26">
        <v>210.30945676551204</v>
      </c>
      <c r="K62" s="26">
        <v>57.5</v>
      </c>
      <c r="L62" s="7">
        <f t="shared" si="16"/>
        <v>12092.793764016942</v>
      </c>
      <c r="M62" s="2"/>
    </row>
    <row r="63" spans="1:13" x14ac:dyDescent="0.25">
      <c r="A63" s="18" t="s">
        <v>21</v>
      </c>
      <c r="B63" s="18" t="s">
        <v>38</v>
      </c>
      <c r="C63" s="18" t="s">
        <v>77</v>
      </c>
      <c r="D63" s="26">
        <v>25.732369798155993</v>
      </c>
      <c r="E63" s="26">
        <v>46.59</v>
      </c>
      <c r="F63" s="7">
        <f t="shared" si="14"/>
        <v>1198.8711088960879</v>
      </c>
      <c r="G63" s="26">
        <v>0</v>
      </c>
      <c r="H63" s="26">
        <v>49.95</v>
      </c>
      <c r="I63" s="7">
        <f t="shared" si="15"/>
        <v>0</v>
      </c>
      <c r="J63" s="26">
        <v>3.8598554697233989</v>
      </c>
      <c r="K63" s="26">
        <v>57.5</v>
      </c>
      <c r="L63" s="7">
        <f t="shared" si="16"/>
        <v>221.94168950909543</v>
      </c>
      <c r="M63" s="2"/>
    </row>
    <row r="64" spans="1:13" x14ac:dyDescent="0.25">
      <c r="D64" s="38">
        <f>SUM(D41:D63)</f>
        <v>3314.4404020267457</v>
      </c>
      <c r="E64" s="38"/>
      <c r="F64" s="49">
        <f t="shared" ref="F64:L64" si="17">SUM(F41:F63)</f>
        <v>154419.77833042611</v>
      </c>
      <c r="G64" s="38">
        <f t="shared" si="17"/>
        <v>9094.2121465653272</v>
      </c>
      <c r="H64" s="38"/>
      <c r="I64" s="49">
        <f t="shared" si="17"/>
        <v>454255.89672093815</v>
      </c>
      <c r="J64" s="38">
        <f t="shared" si="17"/>
        <v>1861.2978822888113</v>
      </c>
      <c r="K64" s="38"/>
      <c r="L64" s="49">
        <f t="shared" si="17"/>
        <v>107024.62823160666</v>
      </c>
      <c r="M64" s="28"/>
    </row>
    <row r="66" spans="1:16" x14ac:dyDescent="0.25">
      <c r="A66" s="9" t="s">
        <v>109</v>
      </c>
      <c r="B66" s="23"/>
      <c r="C66" s="23"/>
    </row>
    <row r="67" spans="1:16" ht="30" customHeight="1" x14ac:dyDescent="0.25">
      <c r="A67" s="5" t="s">
        <v>11</v>
      </c>
      <c r="B67" s="5" t="s">
        <v>0</v>
      </c>
      <c r="C67" s="5" t="s">
        <v>1</v>
      </c>
      <c r="D67" s="4" t="s">
        <v>3</v>
      </c>
      <c r="E67" s="4" t="s">
        <v>110</v>
      </c>
      <c r="F67" s="4" t="s">
        <v>108</v>
      </c>
      <c r="G67" s="4" t="s">
        <v>2</v>
      </c>
      <c r="H67" s="4" t="s">
        <v>14</v>
      </c>
      <c r="I67" s="4" t="s">
        <v>110</v>
      </c>
      <c r="J67" s="4" t="s">
        <v>108</v>
      </c>
      <c r="K67" s="4" t="s">
        <v>15</v>
      </c>
      <c r="L67" s="4" t="s">
        <v>8</v>
      </c>
      <c r="M67" s="4" t="s">
        <v>110</v>
      </c>
      <c r="N67" s="4" t="s">
        <v>108</v>
      </c>
      <c r="O67" s="4" t="s">
        <v>9</v>
      </c>
      <c r="P67" s="4" t="s">
        <v>10</v>
      </c>
    </row>
    <row r="68" spans="1:16" x14ac:dyDescent="0.25">
      <c r="A68" s="14" t="s">
        <v>84</v>
      </c>
      <c r="B68" s="24" t="s">
        <v>29</v>
      </c>
      <c r="C68" s="14" t="s">
        <v>62</v>
      </c>
      <c r="D68" s="26">
        <v>209.25492150510837</v>
      </c>
      <c r="E68" s="26">
        <f>D68/365*197.5</f>
        <v>113.22697807468192</v>
      </c>
      <c r="F68" s="26">
        <v>46.59</v>
      </c>
      <c r="G68" s="7">
        <f>E68*F68</f>
        <v>5275.2449084994314</v>
      </c>
      <c r="H68" s="26">
        <v>982.79691004236224</v>
      </c>
      <c r="I68" s="26">
        <f>H68/365*197.5</f>
        <v>531.787369132511</v>
      </c>
      <c r="J68" s="26">
        <v>49.95</v>
      </c>
      <c r="K68" s="7">
        <f>I68*J68</f>
        <v>26562.779088168925</v>
      </c>
      <c r="L68" s="26">
        <v>178.80777473212058</v>
      </c>
      <c r="M68" s="26">
        <f>L68/365*197.5</f>
        <v>96.752152081078933</v>
      </c>
      <c r="N68" s="26">
        <v>57.5</v>
      </c>
      <c r="O68" s="7">
        <f>M68*N68</f>
        <v>5563.2487446620389</v>
      </c>
      <c r="P68" s="2"/>
    </row>
    <row r="69" spans="1:16" x14ac:dyDescent="0.25">
      <c r="A69" s="14" t="s">
        <v>84</v>
      </c>
      <c r="B69" s="24" t="s">
        <v>29</v>
      </c>
      <c r="C69" s="14" t="s">
        <v>63</v>
      </c>
      <c r="D69" s="26">
        <v>72.916666666666657</v>
      </c>
      <c r="E69" s="26">
        <f t="shared" ref="E69:E90" si="18">D69/365*197.5</f>
        <v>39.454908675799082</v>
      </c>
      <c r="F69" s="26">
        <v>46.59</v>
      </c>
      <c r="G69" s="7">
        <f t="shared" ref="G69:G90" si="19">E69*F69</f>
        <v>1838.2041952054794</v>
      </c>
      <c r="H69" s="26">
        <v>853.57416666666654</v>
      </c>
      <c r="I69" s="26">
        <f t="shared" ref="I69:I90" si="20">H69/365*197.5</f>
        <v>461.86547374429222</v>
      </c>
      <c r="J69" s="26">
        <v>49.95</v>
      </c>
      <c r="K69" s="7">
        <f>I69*J69</f>
        <v>23070.180413527396</v>
      </c>
      <c r="L69" s="26">
        <v>138.973625</v>
      </c>
      <c r="M69" s="26">
        <f t="shared" ref="M69:M90" si="21">L69/365*197.5</f>
        <v>75.198057363013689</v>
      </c>
      <c r="N69" s="26">
        <v>57.5</v>
      </c>
      <c r="O69" s="7">
        <f t="shared" ref="O69:O90" si="22">M69*N69</f>
        <v>4323.8882983732874</v>
      </c>
      <c r="P69" s="2"/>
    </row>
    <row r="70" spans="1:16" x14ac:dyDescent="0.25">
      <c r="A70" s="14" t="s">
        <v>84</v>
      </c>
      <c r="B70" s="24" t="s">
        <v>29</v>
      </c>
      <c r="C70" s="14" t="s">
        <v>64</v>
      </c>
      <c r="D70" s="26">
        <v>161.31323199601295</v>
      </c>
      <c r="E70" s="26">
        <f t="shared" si="18"/>
        <v>87.285926901952209</v>
      </c>
      <c r="F70" s="26">
        <v>46.59</v>
      </c>
      <c r="G70" s="7">
        <f t="shared" si="19"/>
        <v>4066.6513343619536</v>
      </c>
      <c r="H70" s="26">
        <v>739.83204585098429</v>
      </c>
      <c r="I70" s="26">
        <f t="shared" si="20"/>
        <v>400.32007960429974</v>
      </c>
      <c r="J70" s="26">
        <v>49.95</v>
      </c>
      <c r="K70" s="7">
        <f>I70*J70</f>
        <v>19995.987976234774</v>
      </c>
      <c r="L70" s="26">
        <v>135.17179167704955</v>
      </c>
      <c r="M70" s="26">
        <f t="shared" si="21"/>
        <v>73.140900975937768</v>
      </c>
      <c r="N70" s="26">
        <v>57.5</v>
      </c>
      <c r="O70" s="7">
        <f t="shared" si="22"/>
        <v>4205.6018061164214</v>
      </c>
      <c r="P70" s="2"/>
    </row>
    <row r="71" spans="1:16" x14ac:dyDescent="0.25">
      <c r="A71" s="14" t="s">
        <v>84</v>
      </c>
      <c r="B71" s="24" t="s">
        <v>35</v>
      </c>
      <c r="C71" s="24" t="s">
        <v>65</v>
      </c>
      <c r="D71" s="26">
        <v>43.75</v>
      </c>
      <c r="E71" s="26">
        <f t="shared" si="18"/>
        <v>23.672945205479451</v>
      </c>
      <c r="F71" s="26">
        <v>46.59</v>
      </c>
      <c r="G71" s="7">
        <f t="shared" si="19"/>
        <v>1102.9225171232877</v>
      </c>
      <c r="H71" s="26">
        <v>688.42666666666662</v>
      </c>
      <c r="I71" s="26">
        <f t="shared" si="20"/>
        <v>372.50484018264837</v>
      </c>
      <c r="J71" s="26">
        <v>49.95</v>
      </c>
      <c r="K71" s="7">
        <f t="shared" ref="K71:K90" si="23">I71*J71</f>
        <v>18606.616767123287</v>
      </c>
      <c r="L71" s="26">
        <v>109.8265</v>
      </c>
      <c r="M71" s="26">
        <f t="shared" si="21"/>
        <v>59.426667808219172</v>
      </c>
      <c r="N71" s="26">
        <v>57.5</v>
      </c>
      <c r="O71" s="7">
        <f t="shared" si="22"/>
        <v>3417.0333989726023</v>
      </c>
      <c r="P71" s="2"/>
    </row>
    <row r="72" spans="1:16" x14ac:dyDescent="0.25">
      <c r="A72" s="14" t="s">
        <v>85</v>
      </c>
      <c r="B72" s="24" t="s">
        <v>29</v>
      </c>
      <c r="C72" s="14" t="s">
        <v>67</v>
      </c>
      <c r="D72" s="26">
        <v>63.135559431846495</v>
      </c>
      <c r="E72" s="26">
        <f t="shared" si="18"/>
        <v>34.162391747368993</v>
      </c>
      <c r="F72" s="26">
        <v>46.59</v>
      </c>
      <c r="G72" s="7">
        <f t="shared" si="19"/>
        <v>1591.6258315099215</v>
      </c>
      <c r="H72" s="26">
        <v>174.43309244953898</v>
      </c>
      <c r="I72" s="26">
        <f t="shared" si="20"/>
        <v>94.385029476120394</v>
      </c>
      <c r="J72" s="26">
        <v>49.95</v>
      </c>
      <c r="K72" s="7">
        <f t="shared" si="23"/>
        <v>4714.5322223322137</v>
      </c>
      <c r="L72" s="26">
        <v>35.635297782207829</v>
      </c>
      <c r="M72" s="26">
        <f t="shared" si="21"/>
        <v>19.282113183523414</v>
      </c>
      <c r="N72" s="26">
        <v>57.5</v>
      </c>
      <c r="O72" s="7">
        <f t="shared" si="22"/>
        <v>1108.7215080525964</v>
      </c>
      <c r="P72" s="2"/>
    </row>
    <row r="73" spans="1:16" x14ac:dyDescent="0.25">
      <c r="A73" s="14" t="s">
        <v>85</v>
      </c>
      <c r="B73" s="24" t="s">
        <v>29</v>
      </c>
      <c r="C73" s="14" t="s">
        <v>68</v>
      </c>
      <c r="D73" s="26">
        <v>63.135559431846495</v>
      </c>
      <c r="E73" s="26">
        <f t="shared" si="18"/>
        <v>34.162391747368993</v>
      </c>
      <c r="F73" s="26">
        <v>46.59</v>
      </c>
      <c r="G73" s="7">
        <f t="shared" si="19"/>
        <v>1591.6258315099215</v>
      </c>
      <c r="H73" s="26">
        <v>174.43309244953898</v>
      </c>
      <c r="I73" s="26">
        <f t="shared" si="20"/>
        <v>94.385029476120394</v>
      </c>
      <c r="J73" s="26">
        <v>49.95</v>
      </c>
      <c r="K73" s="7">
        <f t="shared" si="23"/>
        <v>4714.5322223322137</v>
      </c>
      <c r="L73" s="26">
        <v>35.635297782207829</v>
      </c>
      <c r="M73" s="26">
        <f t="shared" si="21"/>
        <v>19.282113183523414</v>
      </c>
      <c r="N73" s="26">
        <v>57.5</v>
      </c>
      <c r="O73" s="7">
        <f t="shared" si="22"/>
        <v>1108.7215080525964</v>
      </c>
      <c r="P73" s="2"/>
    </row>
    <row r="74" spans="1:16" x14ac:dyDescent="0.25">
      <c r="A74" s="14" t="s">
        <v>86</v>
      </c>
      <c r="B74" s="24" t="s">
        <v>29</v>
      </c>
      <c r="C74" s="14" t="s">
        <v>69</v>
      </c>
      <c r="D74" s="26">
        <v>201.75654124096684</v>
      </c>
      <c r="E74" s="26">
        <f t="shared" si="18"/>
        <v>109.1696353290163</v>
      </c>
      <c r="F74" s="26">
        <v>46.59</v>
      </c>
      <c r="G74" s="7">
        <f t="shared" si="19"/>
        <v>5086.2133099788698</v>
      </c>
      <c r="H74" s="26">
        <v>498.38026414153995</v>
      </c>
      <c r="I74" s="26">
        <f t="shared" si="20"/>
        <v>269.67151278891549</v>
      </c>
      <c r="J74" s="26">
        <v>49.95</v>
      </c>
      <c r="K74" s="7">
        <f t="shared" si="23"/>
        <v>13470.092063806329</v>
      </c>
      <c r="L74" s="26">
        <v>105.020520807376</v>
      </c>
      <c r="M74" s="26">
        <f t="shared" si="21"/>
        <v>56.826172217689759</v>
      </c>
      <c r="N74" s="26">
        <v>57.5</v>
      </c>
      <c r="O74" s="7">
        <f t="shared" si="22"/>
        <v>3267.5049025171611</v>
      </c>
      <c r="P74" s="2"/>
    </row>
    <row r="75" spans="1:16" x14ac:dyDescent="0.25">
      <c r="A75" s="14" t="s">
        <v>96</v>
      </c>
      <c r="B75" s="24" t="s">
        <v>29</v>
      </c>
      <c r="C75" s="14" t="s">
        <v>95</v>
      </c>
      <c r="D75" s="26">
        <v>199.35210565661598</v>
      </c>
      <c r="E75" s="26">
        <f t="shared" si="18"/>
        <v>107.86860511556617</v>
      </c>
      <c r="F75" s="26">
        <v>46.59</v>
      </c>
      <c r="G75" s="7">
        <f t="shared" si="19"/>
        <v>5025.5983123342285</v>
      </c>
      <c r="H75" s="26">
        <v>375.47096934961371</v>
      </c>
      <c r="I75" s="26">
        <f t="shared" si="20"/>
        <v>203.16579848369508</v>
      </c>
      <c r="J75" s="26">
        <v>49.95</v>
      </c>
      <c r="K75" s="7">
        <f t="shared" si="23"/>
        <v>10148.13163426057</v>
      </c>
      <c r="L75" s="26">
        <v>86.223461250934463</v>
      </c>
      <c r="M75" s="26">
        <f t="shared" si="21"/>
        <v>46.655160539889195</v>
      </c>
      <c r="N75" s="26">
        <v>57.5</v>
      </c>
      <c r="O75" s="7">
        <f t="shared" si="22"/>
        <v>2682.6717310436288</v>
      </c>
      <c r="P75" s="27"/>
    </row>
    <row r="76" spans="1:16" x14ac:dyDescent="0.25">
      <c r="A76" s="14" t="s">
        <v>97</v>
      </c>
      <c r="B76" s="24" t="s">
        <v>38</v>
      </c>
      <c r="C76" s="14" t="s">
        <v>94</v>
      </c>
      <c r="D76" s="26">
        <v>996.76052828307991</v>
      </c>
      <c r="E76" s="26">
        <f t="shared" si="18"/>
        <v>539.34302557783099</v>
      </c>
      <c r="F76" s="26">
        <v>46.59</v>
      </c>
      <c r="G76" s="7">
        <f t="shared" si="19"/>
        <v>25127.991561671148</v>
      </c>
      <c r="H76" s="26">
        <v>1993.5210565661598</v>
      </c>
      <c r="I76" s="26">
        <f t="shared" si="20"/>
        <v>1078.686051155662</v>
      </c>
      <c r="J76" s="26">
        <v>49.95</v>
      </c>
      <c r="K76" s="7">
        <f t="shared" si="23"/>
        <v>53880.368255225316</v>
      </c>
      <c r="L76" s="26">
        <v>448.54223772738595</v>
      </c>
      <c r="M76" s="26">
        <f t="shared" si="21"/>
        <v>242.70436151002392</v>
      </c>
      <c r="N76" s="26">
        <v>57.5</v>
      </c>
      <c r="O76" s="7">
        <f t="shared" si="22"/>
        <v>13955.500786826375</v>
      </c>
      <c r="P76" s="27">
        <v>43405</v>
      </c>
    </row>
    <row r="77" spans="1:16" x14ac:dyDescent="0.25">
      <c r="A77" s="14" t="s">
        <v>98</v>
      </c>
      <c r="B77" s="24"/>
      <c r="C77" s="14" t="s">
        <v>99</v>
      </c>
      <c r="D77" s="26">
        <v>249.19013207076998</v>
      </c>
      <c r="E77" s="26">
        <f t="shared" si="18"/>
        <v>134.83575639445775</v>
      </c>
      <c r="F77" s="26">
        <v>46.59</v>
      </c>
      <c r="G77" s="7">
        <f t="shared" si="19"/>
        <v>6281.9978904177869</v>
      </c>
      <c r="H77" s="26">
        <v>747.5703962123099</v>
      </c>
      <c r="I77" s="26">
        <f t="shared" si="20"/>
        <v>404.50726918337318</v>
      </c>
      <c r="J77" s="26">
        <v>49.95</v>
      </c>
      <c r="K77" s="7">
        <f t="shared" si="23"/>
        <v>20205.138095709492</v>
      </c>
      <c r="L77" s="26">
        <v>149.514079242462</v>
      </c>
      <c r="M77" s="26">
        <f t="shared" si="21"/>
        <v>80.901453836674648</v>
      </c>
      <c r="N77" s="26">
        <v>57.5</v>
      </c>
      <c r="O77" s="7">
        <f t="shared" si="22"/>
        <v>4651.8335956087922</v>
      </c>
      <c r="P77" s="27">
        <v>43252</v>
      </c>
    </row>
    <row r="78" spans="1:16" x14ac:dyDescent="0.25">
      <c r="A78" s="14" t="s">
        <v>98</v>
      </c>
      <c r="B78" s="24"/>
      <c r="C78" s="14" t="s">
        <v>100</v>
      </c>
      <c r="D78" s="26">
        <v>124.59506603538499</v>
      </c>
      <c r="E78" s="26">
        <f t="shared" si="18"/>
        <v>67.417878197228873</v>
      </c>
      <c r="F78" s="26">
        <v>46.59</v>
      </c>
      <c r="G78" s="7">
        <f t="shared" si="19"/>
        <v>3140.9989452088935</v>
      </c>
      <c r="H78" s="26">
        <v>498.38026414153995</v>
      </c>
      <c r="I78" s="26">
        <f t="shared" si="20"/>
        <v>269.67151278891549</v>
      </c>
      <c r="J78" s="26">
        <v>49.95</v>
      </c>
      <c r="K78" s="7">
        <f t="shared" si="23"/>
        <v>13470.092063806329</v>
      </c>
      <c r="L78" s="26">
        <v>93.446299526538738</v>
      </c>
      <c r="M78" s="26">
        <f t="shared" si="21"/>
        <v>50.563408647921648</v>
      </c>
      <c r="N78" s="26">
        <v>57.5</v>
      </c>
      <c r="O78" s="7">
        <f t="shared" si="22"/>
        <v>2907.3959972554949</v>
      </c>
      <c r="P78" s="27">
        <v>43252</v>
      </c>
    </row>
    <row r="79" spans="1:16" x14ac:dyDescent="0.25">
      <c r="A79" s="14" t="s">
        <v>98</v>
      </c>
      <c r="B79" s="24"/>
      <c r="C79" s="14" t="s">
        <v>101</v>
      </c>
      <c r="D79" s="26">
        <v>124.59506603538499</v>
      </c>
      <c r="E79" s="26">
        <f t="shared" si="18"/>
        <v>67.417878197228873</v>
      </c>
      <c r="F79" s="26">
        <v>46.59</v>
      </c>
      <c r="G79" s="7">
        <f t="shared" si="19"/>
        <v>3140.9989452088935</v>
      </c>
      <c r="H79" s="26">
        <v>498.38026414153995</v>
      </c>
      <c r="I79" s="26">
        <f t="shared" si="20"/>
        <v>269.67151278891549</v>
      </c>
      <c r="J79" s="26">
        <v>49.95</v>
      </c>
      <c r="K79" s="7">
        <f t="shared" si="23"/>
        <v>13470.092063806329</v>
      </c>
      <c r="L79" s="26">
        <v>93.446299526538738</v>
      </c>
      <c r="M79" s="26">
        <f t="shared" si="21"/>
        <v>50.563408647921648</v>
      </c>
      <c r="N79" s="26">
        <v>57.5</v>
      </c>
      <c r="O79" s="7">
        <f t="shared" si="22"/>
        <v>2907.3959972554949</v>
      </c>
      <c r="P79" s="27">
        <v>43252</v>
      </c>
    </row>
    <row r="80" spans="1:16" x14ac:dyDescent="0.25">
      <c r="B80" s="25"/>
      <c r="C80" s="9"/>
      <c r="D80" s="26"/>
      <c r="E80" s="26"/>
      <c r="F80" s="26"/>
      <c r="G80" s="7"/>
      <c r="H80" s="26"/>
      <c r="I80" s="26"/>
      <c r="K80" s="7"/>
      <c r="L80" s="26"/>
      <c r="M80" s="26"/>
      <c r="N80" s="26"/>
      <c r="O80" s="7"/>
      <c r="P80" s="2"/>
    </row>
    <row r="81" spans="1:18" x14ac:dyDescent="0.25">
      <c r="A81" s="15" t="s">
        <v>85</v>
      </c>
      <c r="B81" s="18" t="s">
        <v>29</v>
      </c>
      <c r="C81" s="15" t="s">
        <v>66</v>
      </c>
      <c r="D81" s="26">
        <v>10.601544978818838</v>
      </c>
      <c r="E81" s="26">
        <f t="shared" si="18"/>
        <v>5.7364524200458096</v>
      </c>
      <c r="F81" s="26">
        <v>46.59</v>
      </c>
      <c r="G81" s="7">
        <f t="shared" si="19"/>
        <v>267.26131824993428</v>
      </c>
      <c r="H81" s="26">
        <v>0</v>
      </c>
      <c r="I81" s="26">
        <f t="shared" si="20"/>
        <v>0</v>
      </c>
      <c r="J81" s="26">
        <v>49.95</v>
      </c>
      <c r="K81" s="7">
        <f t="shared" si="23"/>
        <v>0</v>
      </c>
      <c r="L81" s="26">
        <v>1.5902317468228255</v>
      </c>
      <c r="M81" s="26">
        <f t="shared" si="21"/>
        <v>0.86046786300687128</v>
      </c>
      <c r="N81" s="26">
        <v>57.5</v>
      </c>
      <c r="O81" s="7">
        <f t="shared" si="22"/>
        <v>49.476902122895098</v>
      </c>
      <c r="P81" s="2"/>
    </row>
    <row r="82" spans="1:18" x14ac:dyDescent="0.25">
      <c r="A82" s="15" t="s">
        <v>85</v>
      </c>
      <c r="B82" s="18" t="s">
        <v>36</v>
      </c>
      <c r="C82" s="16" t="s">
        <v>70</v>
      </c>
      <c r="D82" s="26">
        <v>85.016197358584591</v>
      </c>
      <c r="E82" s="26">
        <f t="shared" si="18"/>
        <v>46.001915009097139</v>
      </c>
      <c r="F82" s="26">
        <v>46.59</v>
      </c>
      <c r="G82" s="7">
        <f t="shared" si="19"/>
        <v>2143.2292202738358</v>
      </c>
      <c r="H82" s="26">
        <v>0</v>
      </c>
      <c r="I82" s="26">
        <f t="shared" si="20"/>
        <v>0</v>
      </c>
      <c r="J82" s="26">
        <v>49.95</v>
      </c>
      <c r="K82" s="7">
        <f t="shared" si="23"/>
        <v>0</v>
      </c>
      <c r="L82" s="26">
        <v>12.752429603787688</v>
      </c>
      <c r="M82" s="26">
        <f t="shared" si="21"/>
        <v>6.9002872513645714</v>
      </c>
      <c r="N82" s="26">
        <v>57.5</v>
      </c>
      <c r="O82" s="7">
        <f t="shared" si="22"/>
        <v>396.76651695346288</v>
      </c>
      <c r="P82" s="2"/>
    </row>
    <row r="83" spans="1:18" x14ac:dyDescent="0.25">
      <c r="A83" s="16" t="s">
        <v>21</v>
      </c>
      <c r="B83" s="18" t="s">
        <v>36</v>
      </c>
      <c r="C83" s="16" t="s">
        <v>71</v>
      </c>
      <c r="D83" s="26">
        <v>28.842262646399202</v>
      </c>
      <c r="E83" s="26">
        <f t="shared" si="18"/>
        <v>15.606429788120115</v>
      </c>
      <c r="F83" s="26">
        <v>46.59</v>
      </c>
      <c r="G83" s="7">
        <f t="shared" si="19"/>
        <v>727.10356382851626</v>
      </c>
      <c r="H83" s="26">
        <v>0</v>
      </c>
      <c r="I83" s="26">
        <f t="shared" si="20"/>
        <v>0</v>
      </c>
      <c r="J83" s="26">
        <v>49.95</v>
      </c>
      <c r="K83" s="7">
        <f t="shared" si="23"/>
        <v>0</v>
      </c>
      <c r="L83" s="26">
        <v>4.3263393969598809</v>
      </c>
      <c r="M83" s="26">
        <f t="shared" si="21"/>
        <v>2.3409644682180177</v>
      </c>
      <c r="N83" s="26">
        <v>57.5</v>
      </c>
      <c r="O83" s="7">
        <f t="shared" si="22"/>
        <v>134.60545692253601</v>
      </c>
      <c r="P83" s="2"/>
    </row>
    <row r="84" spans="1:18" x14ac:dyDescent="0.25">
      <c r="A84" s="15" t="s">
        <v>85</v>
      </c>
      <c r="B84" s="17" t="s">
        <v>26</v>
      </c>
      <c r="C84" s="17" t="s">
        <v>72</v>
      </c>
      <c r="D84" s="26">
        <v>0</v>
      </c>
      <c r="E84" s="26">
        <f t="shared" si="18"/>
        <v>0</v>
      </c>
      <c r="F84" s="26">
        <v>46.59</v>
      </c>
      <c r="G84" s="7">
        <f t="shared" si="19"/>
        <v>0</v>
      </c>
      <c r="H84" s="26">
        <v>0</v>
      </c>
      <c r="I84" s="26">
        <f t="shared" si="20"/>
        <v>0</v>
      </c>
      <c r="J84" s="26">
        <v>49.95</v>
      </c>
      <c r="K84" s="7">
        <f t="shared" si="23"/>
        <v>0</v>
      </c>
      <c r="L84" s="26">
        <v>0</v>
      </c>
      <c r="M84" s="26">
        <f t="shared" si="21"/>
        <v>0</v>
      </c>
      <c r="N84" s="26">
        <v>57.5</v>
      </c>
      <c r="O84" s="7">
        <f t="shared" si="22"/>
        <v>0</v>
      </c>
      <c r="P84" s="2"/>
    </row>
    <row r="85" spans="1:18" x14ac:dyDescent="0.25">
      <c r="A85" s="15" t="s">
        <v>85</v>
      </c>
      <c r="B85" s="18" t="s">
        <v>37</v>
      </c>
      <c r="C85" s="18" t="s">
        <v>73</v>
      </c>
      <c r="D85" s="26">
        <v>0</v>
      </c>
      <c r="E85" s="26">
        <f t="shared" si="18"/>
        <v>0</v>
      </c>
      <c r="F85" s="26">
        <v>46.59</v>
      </c>
      <c r="G85" s="7">
        <f t="shared" si="19"/>
        <v>0</v>
      </c>
      <c r="H85" s="26">
        <v>121.44256167455768</v>
      </c>
      <c r="I85" s="26">
        <f t="shared" si="20"/>
        <v>65.712071043082588</v>
      </c>
      <c r="J85" s="26">
        <v>49.95</v>
      </c>
      <c r="K85" s="7">
        <f t="shared" si="23"/>
        <v>3282.3179486019753</v>
      </c>
      <c r="L85" s="26">
        <v>18.216384251183648</v>
      </c>
      <c r="M85" s="26">
        <f t="shared" si="21"/>
        <v>9.8568106564623843</v>
      </c>
      <c r="N85" s="26">
        <v>57.5</v>
      </c>
      <c r="O85" s="7">
        <f t="shared" si="22"/>
        <v>566.76661274658704</v>
      </c>
      <c r="P85" s="2"/>
    </row>
    <row r="86" spans="1:18" x14ac:dyDescent="0.25">
      <c r="A86" s="15" t="s">
        <v>85</v>
      </c>
      <c r="B86" s="18" t="s">
        <v>37</v>
      </c>
      <c r="C86" s="18" t="s">
        <v>74</v>
      </c>
      <c r="D86" s="26">
        <v>0</v>
      </c>
      <c r="E86" s="26">
        <f t="shared" si="18"/>
        <v>0</v>
      </c>
      <c r="F86" s="26">
        <v>46.59</v>
      </c>
      <c r="G86" s="7">
        <f t="shared" si="19"/>
        <v>0</v>
      </c>
      <c r="H86" s="26">
        <v>0</v>
      </c>
      <c r="I86" s="26">
        <f t="shared" si="20"/>
        <v>0</v>
      </c>
      <c r="J86" s="26">
        <v>49.95</v>
      </c>
      <c r="K86" s="7">
        <f t="shared" si="23"/>
        <v>0</v>
      </c>
      <c r="L86" s="26">
        <v>0</v>
      </c>
      <c r="M86" s="26">
        <f t="shared" si="21"/>
        <v>0</v>
      </c>
      <c r="N86" s="26">
        <v>57.5</v>
      </c>
      <c r="O86" s="7">
        <f t="shared" si="22"/>
        <v>0</v>
      </c>
      <c r="P86" s="2"/>
    </row>
    <row r="87" spans="1:18" x14ac:dyDescent="0.25">
      <c r="A87" s="15" t="s">
        <v>85</v>
      </c>
      <c r="B87" s="18" t="s">
        <v>37</v>
      </c>
      <c r="C87" s="18" t="s">
        <v>75</v>
      </c>
      <c r="D87" s="26">
        <v>0</v>
      </c>
      <c r="E87" s="26">
        <f t="shared" si="18"/>
        <v>0</v>
      </c>
      <c r="F87" s="26">
        <v>46.59</v>
      </c>
      <c r="G87" s="7">
        <f t="shared" si="19"/>
        <v>0</v>
      </c>
      <c r="H87" s="26">
        <v>0</v>
      </c>
      <c r="I87" s="26">
        <f t="shared" si="20"/>
        <v>0</v>
      </c>
      <c r="J87" s="26">
        <v>49.95</v>
      </c>
      <c r="K87" s="7">
        <f t="shared" si="23"/>
        <v>0</v>
      </c>
      <c r="L87" s="26">
        <v>0</v>
      </c>
      <c r="M87" s="26">
        <f t="shared" si="21"/>
        <v>0</v>
      </c>
      <c r="N87" s="26">
        <v>57.5</v>
      </c>
      <c r="O87" s="7">
        <f t="shared" si="22"/>
        <v>0</v>
      </c>
      <c r="P87" s="2"/>
    </row>
    <row r="88" spans="1:18" x14ac:dyDescent="0.25">
      <c r="A88" s="15" t="s">
        <v>85</v>
      </c>
      <c r="B88" s="18" t="s">
        <v>37</v>
      </c>
      <c r="C88" s="18" t="s">
        <v>76</v>
      </c>
      <c r="D88" s="26">
        <v>0</v>
      </c>
      <c r="E88" s="26">
        <f t="shared" si="18"/>
        <v>0</v>
      </c>
      <c r="F88" s="26">
        <v>46.59</v>
      </c>
      <c r="G88" s="7">
        <f t="shared" si="19"/>
        <v>0</v>
      </c>
      <c r="H88" s="26">
        <v>0</v>
      </c>
      <c r="I88" s="26">
        <f t="shared" si="20"/>
        <v>0</v>
      </c>
      <c r="J88" s="26">
        <v>49.95</v>
      </c>
      <c r="K88" s="7">
        <f t="shared" si="23"/>
        <v>0</v>
      </c>
      <c r="L88" s="26">
        <v>0</v>
      </c>
      <c r="M88" s="26">
        <f t="shared" si="21"/>
        <v>0</v>
      </c>
      <c r="N88" s="26">
        <v>57.5</v>
      </c>
      <c r="O88" s="7">
        <f t="shared" si="22"/>
        <v>0</v>
      </c>
      <c r="P88" s="2"/>
    </row>
    <row r="89" spans="1:18" x14ac:dyDescent="0.25">
      <c r="A89" s="15" t="s">
        <v>85</v>
      </c>
      <c r="B89" s="18" t="s">
        <v>38</v>
      </c>
      <c r="C89" s="18" t="s">
        <v>78</v>
      </c>
      <c r="D89" s="26">
        <v>654.49264889110384</v>
      </c>
      <c r="E89" s="26">
        <f t="shared" si="18"/>
        <v>354.14328261915892</v>
      </c>
      <c r="F89" s="26">
        <v>46.59</v>
      </c>
      <c r="G89" s="7">
        <f t="shared" si="19"/>
        <v>16499.535537226617</v>
      </c>
      <c r="H89" s="26">
        <v>747.5703962123099</v>
      </c>
      <c r="I89" s="26">
        <f t="shared" si="20"/>
        <v>404.50726918337318</v>
      </c>
      <c r="J89" s="26">
        <v>49.95</v>
      </c>
      <c r="K89" s="7">
        <f t="shared" si="23"/>
        <v>20205.138095709492</v>
      </c>
      <c r="L89" s="26">
        <v>210.30945676551204</v>
      </c>
      <c r="M89" s="26">
        <f t="shared" si="21"/>
        <v>113.7975827703798</v>
      </c>
      <c r="N89" s="26">
        <v>57.5</v>
      </c>
      <c r="O89" s="7">
        <f t="shared" si="22"/>
        <v>6543.3610092968383</v>
      </c>
      <c r="P89" s="2"/>
    </row>
    <row r="90" spans="1:18" x14ac:dyDescent="0.25">
      <c r="A90" s="18" t="s">
        <v>21</v>
      </c>
      <c r="B90" s="18" t="s">
        <v>38</v>
      </c>
      <c r="C90" s="18" t="s">
        <v>77</v>
      </c>
      <c r="D90" s="26">
        <v>25.732369798155993</v>
      </c>
      <c r="E90" s="26">
        <f t="shared" si="18"/>
        <v>13.923679548317285</v>
      </c>
      <c r="F90" s="26">
        <v>46.59</v>
      </c>
      <c r="G90" s="7">
        <f t="shared" si="19"/>
        <v>648.70423015610231</v>
      </c>
      <c r="H90" s="26">
        <v>0</v>
      </c>
      <c r="I90" s="26">
        <f t="shared" si="20"/>
        <v>0</v>
      </c>
      <c r="J90" s="26">
        <v>49.95</v>
      </c>
      <c r="K90" s="7">
        <f t="shared" si="23"/>
        <v>0</v>
      </c>
      <c r="L90" s="26">
        <v>3.8598554697233989</v>
      </c>
      <c r="M90" s="26">
        <f t="shared" si="21"/>
        <v>2.0885519322475923</v>
      </c>
      <c r="N90" s="26">
        <v>57.5</v>
      </c>
      <c r="O90" s="7">
        <f t="shared" si="22"/>
        <v>120.09173610423656</v>
      </c>
      <c r="P90" s="2"/>
    </row>
    <row r="91" spans="1:18" x14ac:dyDescent="0.25">
      <c r="D91" s="38"/>
      <c r="E91" s="38">
        <f t="shared" ref="E91:O91" si="24">SUM(E68:E90)</f>
        <v>1793.4300805487189</v>
      </c>
      <c r="F91" s="38"/>
      <c r="G91" s="49">
        <f t="shared" si="24"/>
        <v>83555.907452764804</v>
      </c>
      <c r="H91" s="38"/>
      <c r="I91" s="38">
        <f t="shared" si="24"/>
        <v>4920.8408190319251</v>
      </c>
      <c r="J91" s="38"/>
      <c r="K91" s="49">
        <f t="shared" si="24"/>
        <v>245795.99891064467</v>
      </c>
      <c r="L91" s="38"/>
      <c r="M91" s="38">
        <f t="shared" si="24"/>
        <v>1007.1406349370964</v>
      </c>
      <c r="N91" s="38"/>
      <c r="O91" s="49">
        <f t="shared" si="24"/>
        <v>57910.58650888304</v>
      </c>
    </row>
    <row r="92" spans="1:18" ht="15.75" x14ac:dyDescent="0.25">
      <c r="A92" s="30" t="s">
        <v>104</v>
      </c>
      <c r="B92" s="30" t="s">
        <v>105</v>
      </c>
      <c r="C92" s="31">
        <v>582484.78279125004</v>
      </c>
      <c r="D92" s="31">
        <f>+C92*3</f>
        <v>1747454.3483737502</v>
      </c>
      <c r="E92" s="31"/>
      <c r="F92" s="31"/>
      <c r="G92" s="31">
        <f t="shared" ref="G92" si="25">+D92/36*M92*0.25</f>
        <v>24270.199282968752</v>
      </c>
      <c r="H92" s="31">
        <v>0</v>
      </c>
      <c r="I92" s="31"/>
      <c r="J92" s="32">
        <f t="shared" ref="J92" si="26">+D92+G92+H92</f>
        <v>1771724.5476567189</v>
      </c>
      <c r="K92" s="33" t="s">
        <v>106</v>
      </c>
      <c r="L92" s="33"/>
      <c r="M92" s="34">
        <v>2</v>
      </c>
      <c r="N92" s="35">
        <v>43101</v>
      </c>
      <c r="O92" s="35">
        <v>43236</v>
      </c>
      <c r="P92" s="36">
        <v>43236</v>
      </c>
      <c r="Q92" s="36">
        <v>43297</v>
      </c>
      <c r="R92" s="37"/>
    </row>
    <row r="93" spans="1:18" ht="15.75" x14ac:dyDescent="0.25">
      <c r="A93" s="25"/>
      <c r="B93" s="25"/>
      <c r="C93" s="42"/>
      <c r="D93" s="42"/>
      <c r="E93" s="42"/>
      <c r="F93" s="42"/>
      <c r="G93" s="42"/>
      <c r="H93" s="42"/>
      <c r="I93" s="42"/>
      <c r="J93" s="43"/>
      <c r="K93" s="44"/>
      <c r="L93" s="44"/>
      <c r="M93" s="45"/>
      <c r="N93" s="46"/>
      <c r="O93" s="46"/>
      <c r="P93" s="47"/>
      <c r="Q93" s="47"/>
      <c r="R93" s="48"/>
    </row>
    <row r="94" spans="1:18" ht="15.75" x14ac:dyDescent="0.25">
      <c r="A94" s="25"/>
      <c r="B94" s="25"/>
      <c r="C94" s="42"/>
      <c r="D94" s="42"/>
      <c r="F94" s="50" t="s">
        <v>112</v>
      </c>
      <c r="G94" s="50" t="s">
        <v>113</v>
      </c>
      <c r="I94" s="42"/>
      <c r="J94" s="43"/>
      <c r="K94" s="44"/>
      <c r="L94" s="44"/>
      <c r="M94" s="45"/>
      <c r="N94" s="46"/>
      <c r="O94" s="46"/>
      <c r="P94" s="47"/>
      <c r="Q94" s="47"/>
      <c r="R94" s="48"/>
    </row>
    <row r="95" spans="1:18" ht="15.75" x14ac:dyDescent="0.25">
      <c r="A95" s="25"/>
      <c r="B95" s="25"/>
      <c r="C95" s="42"/>
      <c r="D95" s="42"/>
      <c r="E95" s="51">
        <v>2018</v>
      </c>
      <c r="F95" s="52">
        <f>G91+K91+O91</f>
        <v>387262.49287229253</v>
      </c>
      <c r="G95" s="52">
        <f>G92</f>
        <v>24270.199282968752</v>
      </c>
      <c r="I95" s="42"/>
      <c r="J95" s="43"/>
      <c r="K95" s="44"/>
      <c r="L95" s="44"/>
      <c r="M95" s="45"/>
      <c r="N95" s="46"/>
      <c r="O95" s="46"/>
      <c r="P95" s="47"/>
      <c r="Q95" s="47"/>
      <c r="R95" s="48"/>
    </row>
    <row r="96" spans="1:18" ht="15.75" x14ac:dyDescent="0.25">
      <c r="A96" s="25"/>
      <c r="B96" s="25"/>
      <c r="C96" s="42"/>
      <c r="D96" s="42"/>
      <c r="E96" s="51">
        <v>2019</v>
      </c>
      <c r="F96" s="52">
        <f>F64+I64+L64</f>
        <v>715700.30328297091</v>
      </c>
      <c r="I96" s="42"/>
      <c r="J96" s="43"/>
      <c r="K96" s="44"/>
      <c r="L96" s="44"/>
      <c r="M96" s="45"/>
      <c r="N96" s="46"/>
      <c r="O96" s="46"/>
      <c r="P96" s="47"/>
      <c r="Q96" s="47"/>
      <c r="R96" s="48"/>
    </row>
    <row r="97" spans="1:18" ht="15.75" x14ac:dyDescent="0.25">
      <c r="A97" s="25"/>
      <c r="B97" s="25"/>
      <c r="C97" s="42"/>
      <c r="D97" s="42"/>
      <c r="E97" s="51">
        <v>2020</v>
      </c>
      <c r="F97" s="52">
        <f>F64+I64+L64</f>
        <v>715700.30328297091</v>
      </c>
      <c r="I97" s="42"/>
      <c r="J97" s="43"/>
      <c r="K97" s="44"/>
      <c r="L97" s="44"/>
      <c r="M97" s="45"/>
      <c r="N97" s="46"/>
      <c r="O97" s="46"/>
      <c r="P97" s="47"/>
      <c r="Q97" s="47"/>
      <c r="R97" s="48"/>
    </row>
    <row r="98" spans="1:18" ht="15.75" x14ac:dyDescent="0.25">
      <c r="A98" s="25"/>
      <c r="B98" s="25"/>
      <c r="C98" s="42"/>
      <c r="D98" s="42"/>
      <c r="E98" s="51">
        <v>2021</v>
      </c>
      <c r="F98" s="52">
        <f>F64+I64+L64</f>
        <v>715700.30328297091</v>
      </c>
      <c r="I98" s="42"/>
      <c r="J98" s="43"/>
      <c r="K98" s="44"/>
      <c r="L98" s="44"/>
      <c r="M98" s="45"/>
      <c r="N98" s="46"/>
      <c r="O98" s="46"/>
      <c r="P98" s="47"/>
      <c r="Q98" s="47"/>
      <c r="R98" s="48"/>
    </row>
    <row r="99" spans="1:18" ht="15.75" x14ac:dyDescent="0.25">
      <c r="A99" s="25"/>
      <c r="B99" s="25"/>
      <c r="C99" s="42"/>
      <c r="D99" s="42"/>
      <c r="F99" s="53">
        <f>SUM(F95:F98)</f>
        <v>2534363.4027212053</v>
      </c>
      <c r="G99" s="53">
        <f>SUM(G95:G98)</f>
        <v>24270.199282968752</v>
      </c>
      <c r="H99" s="54">
        <f>F99+G99</f>
        <v>2558633.6020041741</v>
      </c>
      <c r="I99" s="42"/>
      <c r="J99" s="43"/>
      <c r="K99" s="44"/>
      <c r="L99" s="44"/>
      <c r="M99" s="45"/>
      <c r="N99" s="46"/>
      <c r="O99" s="46"/>
      <c r="P99" s="47"/>
      <c r="Q99" s="47"/>
      <c r="R99" s="48"/>
    </row>
    <row r="100" spans="1:18" ht="15.75" x14ac:dyDescent="0.25">
      <c r="A100" s="25"/>
      <c r="B100" s="25"/>
      <c r="C100" s="42"/>
      <c r="D100" s="42"/>
      <c r="E100" s="42"/>
      <c r="F100" s="42"/>
      <c r="G100" s="42"/>
      <c r="H100" s="42"/>
      <c r="I100" s="42"/>
      <c r="J100" s="43"/>
      <c r="K100" s="44"/>
      <c r="L100" s="44"/>
      <c r="M100" s="45"/>
      <c r="N100" s="46"/>
      <c r="O100" s="46"/>
      <c r="P100" s="47"/>
      <c r="Q100" s="47"/>
      <c r="R100" s="48"/>
    </row>
    <row r="101" spans="1:18" ht="15.75" x14ac:dyDescent="0.25">
      <c r="A101" s="25"/>
      <c r="B101" s="25"/>
      <c r="C101" s="42"/>
      <c r="D101" s="42"/>
      <c r="E101" s="42"/>
      <c r="F101" s="42"/>
      <c r="G101" s="42"/>
      <c r="H101" s="42"/>
      <c r="I101" s="42"/>
      <c r="J101" s="43"/>
      <c r="K101" s="44"/>
      <c r="L101" s="44"/>
      <c r="M101" s="45"/>
      <c r="N101" s="46"/>
      <c r="O101" s="46"/>
      <c r="P101" s="47"/>
      <c r="Q101" s="47"/>
      <c r="R101" s="48"/>
    </row>
    <row r="102" spans="1:18" ht="15.75" x14ac:dyDescent="0.25">
      <c r="A102" s="25"/>
      <c r="B102" s="25"/>
      <c r="C102" s="42"/>
      <c r="D102" s="42"/>
      <c r="E102" s="42"/>
      <c r="F102" s="42"/>
      <c r="G102" s="42"/>
      <c r="H102" s="42"/>
      <c r="I102" s="42"/>
      <c r="J102" s="43"/>
      <c r="K102" s="44"/>
      <c r="L102" s="44"/>
      <c r="M102" s="45"/>
      <c r="N102" s="46"/>
      <c r="O102" s="46"/>
      <c r="P102" s="47"/>
      <c r="Q102" s="47"/>
      <c r="R102" s="48"/>
    </row>
    <row r="103" spans="1:18" ht="15.75" x14ac:dyDescent="0.25">
      <c r="A103" s="25"/>
      <c r="B103" s="25"/>
      <c r="C103" s="42"/>
      <c r="D103" s="42"/>
      <c r="E103" s="42"/>
      <c r="F103" s="42"/>
      <c r="G103" s="42"/>
      <c r="H103" s="42"/>
      <c r="I103" s="42"/>
      <c r="J103" s="43"/>
      <c r="K103" s="44"/>
      <c r="L103" s="44"/>
      <c r="M103" s="45"/>
      <c r="N103" s="46"/>
      <c r="O103" s="46"/>
      <c r="P103" s="47"/>
      <c r="Q103" s="47"/>
      <c r="R103" s="48"/>
    </row>
    <row r="104" spans="1:18" x14ac:dyDescent="0.25">
      <c r="A104" t="s">
        <v>92</v>
      </c>
    </row>
    <row r="105" spans="1:18" x14ac:dyDescent="0.25">
      <c r="A105" s="8" t="s">
        <v>16</v>
      </c>
      <c r="B105" s="19" t="s">
        <v>23</v>
      </c>
      <c r="C105" s="8" t="s">
        <v>40</v>
      </c>
      <c r="D105" s="2"/>
      <c r="E105" s="2"/>
      <c r="F105" s="2"/>
      <c r="G105" s="7">
        <v>6000</v>
      </c>
      <c r="H105" s="2"/>
      <c r="I105" s="2"/>
      <c r="J105" s="7"/>
      <c r="K105" s="2"/>
      <c r="L105" s="2"/>
      <c r="M105" s="7"/>
      <c r="N105" s="2"/>
    </row>
    <row r="106" spans="1:18" x14ac:dyDescent="0.25">
      <c r="A106" s="8" t="s">
        <v>16</v>
      </c>
      <c r="B106" s="19" t="s">
        <v>23</v>
      </c>
      <c r="C106" s="8" t="s">
        <v>41</v>
      </c>
      <c r="D106" s="2"/>
      <c r="E106" s="2"/>
      <c r="F106" s="2"/>
      <c r="G106" s="7">
        <v>11459.83</v>
      </c>
      <c r="H106" s="2"/>
      <c r="I106" s="2"/>
      <c r="J106" s="7"/>
      <c r="K106" s="2"/>
      <c r="L106" s="2"/>
      <c r="M106" s="7"/>
      <c r="N106" s="2"/>
    </row>
    <row r="107" spans="1:18" x14ac:dyDescent="0.25">
      <c r="A107" s="8" t="s">
        <v>16</v>
      </c>
      <c r="B107" s="19" t="s">
        <v>23</v>
      </c>
      <c r="C107" s="8" t="s">
        <v>42</v>
      </c>
      <c r="D107" s="2"/>
      <c r="E107" s="2"/>
      <c r="F107" s="2"/>
      <c r="G107" s="7">
        <v>21244.99</v>
      </c>
      <c r="H107" s="2"/>
      <c r="I107" s="2"/>
      <c r="J107" s="7"/>
      <c r="K107" s="2"/>
      <c r="L107" s="2"/>
      <c r="M107" s="7"/>
      <c r="N107" s="2"/>
    </row>
    <row r="108" spans="1:18" x14ac:dyDescent="0.25">
      <c r="A108" s="8" t="s">
        <v>16</v>
      </c>
      <c r="B108" s="20" t="s">
        <v>24</v>
      </c>
      <c r="C108" s="20" t="s">
        <v>43</v>
      </c>
      <c r="D108" s="2"/>
      <c r="E108" s="2"/>
      <c r="F108" s="2"/>
      <c r="G108" s="7">
        <v>60000</v>
      </c>
      <c r="H108" s="2"/>
      <c r="I108" s="2"/>
      <c r="J108" s="7"/>
      <c r="K108" s="2"/>
      <c r="L108" s="2"/>
      <c r="M108" s="7"/>
      <c r="N108" s="2"/>
    </row>
    <row r="109" spans="1:18" x14ac:dyDescent="0.25">
      <c r="A109" s="8" t="s">
        <v>16</v>
      </c>
      <c r="B109" s="8" t="s">
        <v>81</v>
      </c>
      <c r="C109" s="20"/>
      <c r="D109" s="2"/>
      <c r="E109" s="2"/>
      <c r="F109" s="2"/>
      <c r="G109" s="7">
        <v>170000</v>
      </c>
      <c r="H109" s="2"/>
      <c r="I109" s="2"/>
      <c r="J109" s="7"/>
      <c r="K109" s="2"/>
      <c r="L109" s="2"/>
      <c r="M109" s="7"/>
      <c r="N109" s="2"/>
    </row>
    <row r="110" spans="1:18" x14ac:dyDescent="0.25">
      <c r="A110" s="8" t="s">
        <v>16</v>
      </c>
      <c r="B110" s="8" t="s">
        <v>82</v>
      </c>
      <c r="C110" s="20"/>
      <c r="D110" s="2"/>
      <c r="E110" s="2"/>
      <c r="F110" s="2"/>
      <c r="G110" s="7">
        <v>44000</v>
      </c>
      <c r="H110" s="2"/>
      <c r="I110" s="2"/>
      <c r="J110" s="7"/>
      <c r="K110" s="2"/>
      <c r="L110" s="2"/>
      <c r="M110" s="7"/>
      <c r="N110" s="2"/>
    </row>
    <row r="111" spans="1:18" x14ac:dyDescent="0.25">
      <c r="A111" s="8" t="s">
        <v>16</v>
      </c>
      <c r="B111" s="8" t="s">
        <v>83</v>
      </c>
      <c r="C111" s="20"/>
      <c r="D111" s="2"/>
      <c r="E111" s="2"/>
      <c r="F111" s="2"/>
      <c r="G111" s="7">
        <v>6000</v>
      </c>
      <c r="H111" s="2"/>
      <c r="I111" s="2"/>
      <c r="J111" s="7"/>
      <c r="K111" s="2"/>
      <c r="L111" s="2"/>
      <c r="M111" s="7"/>
      <c r="N111" s="2"/>
    </row>
    <row r="113" spans="1:15" x14ac:dyDescent="0.25">
      <c r="A113" s="10" t="s">
        <v>17</v>
      </c>
      <c r="B113" s="10" t="s">
        <v>23</v>
      </c>
      <c r="C113" s="11" t="s">
        <v>44</v>
      </c>
      <c r="D113" s="2"/>
      <c r="E113" s="2"/>
      <c r="F113" s="2"/>
      <c r="G113" s="7">
        <v>20000</v>
      </c>
      <c r="H113" s="2"/>
      <c r="I113" s="2"/>
      <c r="J113" s="7"/>
      <c r="K113" s="2"/>
      <c r="L113" s="2"/>
      <c r="M113" s="7"/>
      <c r="N113" s="2"/>
    </row>
    <row r="114" spans="1:15" x14ac:dyDescent="0.25">
      <c r="A114" s="11" t="s">
        <v>87</v>
      </c>
      <c r="B114" s="10" t="s">
        <v>25</v>
      </c>
      <c r="C114" s="10" t="s">
        <v>45</v>
      </c>
      <c r="D114" s="2"/>
      <c r="E114" s="2"/>
      <c r="F114" s="2"/>
      <c r="G114" s="7">
        <v>122345.23</v>
      </c>
      <c r="H114" s="2"/>
      <c r="I114" s="2"/>
      <c r="J114" s="7"/>
      <c r="K114" s="2"/>
      <c r="L114" s="2"/>
      <c r="M114" s="7"/>
      <c r="N114" s="2"/>
    </row>
    <row r="115" spans="1:15" x14ac:dyDescent="0.25">
      <c r="A115" s="10" t="s">
        <v>18</v>
      </c>
      <c r="B115" s="10" t="s">
        <v>26</v>
      </c>
      <c r="C115" s="10" t="s">
        <v>46</v>
      </c>
      <c r="D115" s="2"/>
      <c r="E115" s="2"/>
      <c r="F115" s="2"/>
      <c r="G115" s="7">
        <f>28261.97/2</f>
        <v>14130.985000000001</v>
      </c>
      <c r="H115" s="2"/>
      <c r="I115" s="2"/>
      <c r="J115" s="7"/>
      <c r="K115" s="2"/>
      <c r="L115" s="2"/>
      <c r="M115" s="7"/>
      <c r="N115" s="2"/>
      <c r="O115" t="s">
        <v>91</v>
      </c>
    </row>
    <row r="116" spans="1:15" x14ac:dyDescent="0.25">
      <c r="A116" s="12" t="s">
        <v>18</v>
      </c>
      <c r="B116" s="12" t="s">
        <v>26</v>
      </c>
      <c r="C116" s="12" t="s">
        <v>47</v>
      </c>
      <c r="D116" s="2"/>
      <c r="E116" s="2"/>
      <c r="F116" s="2"/>
      <c r="G116" s="7">
        <f>28261.97/2</f>
        <v>14130.985000000001</v>
      </c>
      <c r="H116" s="2"/>
      <c r="I116" s="2"/>
      <c r="J116" s="7"/>
      <c r="K116" s="2"/>
      <c r="L116" s="2"/>
      <c r="M116" s="7"/>
      <c r="N116" s="2"/>
    </row>
    <row r="117" spans="1:15" x14ac:dyDescent="0.25">
      <c r="A117" s="11" t="s">
        <v>19</v>
      </c>
      <c r="B117" s="12" t="s">
        <v>27</v>
      </c>
      <c r="C117" s="12" t="s">
        <v>48</v>
      </c>
      <c r="D117" s="2"/>
      <c r="E117" s="2"/>
      <c r="F117" s="2"/>
      <c r="G117" s="7">
        <v>10841.6</v>
      </c>
      <c r="H117" s="2"/>
      <c r="I117" s="2"/>
      <c r="J117" s="7"/>
      <c r="K117" s="2"/>
      <c r="L117" s="2"/>
      <c r="M117" s="7"/>
      <c r="N117" s="2"/>
    </row>
    <row r="118" spans="1:15" x14ac:dyDescent="0.25">
      <c r="A118" s="11" t="s">
        <v>19</v>
      </c>
      <c r="B118" s="10" t="s">
        <v>28</v>
      </c>
      <c r="C118" s="10" t="s">
        <v>49</v>
      </c>
      <c r="D118" s="2"/>
      <c r="E118" s="2"/>
      <c r="F118" s="2"/>
      <c r="G118" s="7">
        <v>10841.6</v>
      </c>
      <c r="H118" s="2"/>
      <c r="I118" s="2"/>
      <c r="J118" s="7"/>
      <c r="K118" s="2"/>
      <c r="L118" s="2"/>
      <c r="M118" s="7"/>
      <c r="N118" s="2"/>
    </row>
    <row r="119" spans="1:15" x14ac:dyDescent="0.25">
      <c r="A119" s="13" t="s">
        <v>22</v>
      </c>
      <c r="B119" s="13"/>
      <c r="C119" s="13" t="s">
        <v>50</v>
      </c>
      <c r="D119" s="2"/>
      <c r="E119" s="2"/>
      <c r="F119" s="2"/>
      <c r="G119" s="7" t="s">
        <v>22</v>
      </c>
      <c r="H119" s="2"/>
      <c r="I119" s="2"/>
      <c r="J119" s="7"/>
      <c r="K119" s="2"/>
      <c r="L119" s="2"/>
      <c r="M119" s="7"/>
      <c r="N119" s="2"/>
    </row>
    <row r="120" spans="1:15" x14ac:dyDescent="0.25">
      <c r="A120" s="11" t="s">
        <v>20</v>
      </c>
      <c r="B120" s="10" t="s">
        <v>29</v>
      </c>
      <c r="C120" s="11" t="s">
        <v>51</v>
      </c>
      <c r="D120" s="2"/>
      <c r="E120" s="2"/>
      <c r="F120" s="2"/>
      <c r="G120" s="7" t="s">
        <v>22</v>
      </c>
      <c r="H120" s="2"/>
      <c r="I120" s="2"/>
      <c r="J120" s="7"/>
      <c r="K120" s="2"/>
      <c r="L120" s="2"/>
      <c r="M120" s="7"/>
      <c r="N120" s="2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sqref="A1:XFD1048576"/>
    </sheetView>
  </sheetViews>
  <sheetFormatPr defaultColWidth="11.42578125" defaultRowHeight="15" x14ac:dyDescent="0.25"/>
  <sheetData>
    <row r="1" spans="1:6" ht="15.75" thickBot="1" x14ac:dyDescent="0.3">
      <c r="A1" s="156"/>
      <c r="B1" s="157"/>
      <c r="C1" s="158"/>
      <c r="D1" s="159"/>
      <c r="E1" s="160"/>
      <c r="F1" s="160"/>
    </row>
    <row r="2" spans="1:6" ht="15.75" thickBot="1" x14ac:dyDescent="0.3">
      <c r="A2" s="161"/>
      <c r="B2" s="162"/>
      <c r="C2" s="163"/>
      <c r="D2" s="163"/>
      <c r="E2" s="162"/>
      <c r="F2" s="162"/>
    </row>
    <row r="3" spans="1:6" ht="15.75" thickBot="1" x14ac:dyDescent="0.3">
      <c r="A3" s="164"/>
      <c r="B3" s="165"/>
      <c r="C3" s="165"/>
      <c r="D3" s="167"/>
      <c r="E3" s="167"/>
      <c r="F3" s="167"/>
    </row>
    <row r="4" spans="1:6" ht="15.75" thickBot="1" x14ac:dyDescent="0.3">
      <c r="A4" s="164"/>
      <c r="B4" s="165"/>
      <c r="C4" s="165"/>
      <c r="D4" s="167"/>
      <c r="E4" s="167"/>
      <c r="F4" s="167"/>
    </row>
    <row r="5" spans="1:6" ht="15.75" thickBot="1" x14ac:dyDescent="0.3">
      <c r="A5" s="164"/>
      <c r="B5" s="165"/>
      <c r="C5" s="165"/>
      <c r="D5" s="167"/>
      <c r="E5" s="167"/>
      <c r="F5" s="167"/>
    </row>
    <row r="6" spans="1:6" ht="15.75" thickBot="1" x14ac:dyDescent="0.3">
      <c r="A6" s="164"/>
      <c r="B6" s="165"/>
      <c r="C6" s="165"/>
      <c r="D6" s="167"/>
      <c r="E6" s="167"/>
      <c r="F6" s="167"/>
    </row>
    <row r="7" spans="1:6" ht="15.75" thickBot="1" x14ac:dyDescent="0.3">
      <c r="A7" s="164"/>
      <c r="B7" s="165"/>
      <c r="C7" s="165"/>
      <c r="D7" s="167"/>
      <c r="E7" s="167"/>
      <c r="F7" s="167"/>
    </row>
    <row r="8" spans="1:6" ht="15.75" thickBot="1" x14ac:dyDescent="0.3">
      <c r="A8" s="164"/>
      <c r="B8" s="168"/>
      <c r="C8" s="168"/>
      <c r="D8" s="169"/>
      <c r="E8" s="170"/>
      <c r="F8" s="171"/>
    </row>
    <row r="9" spans="1:6" x14ac:dyDescent="0.25">
      <c r="A9" s="172"/>
    </row>
    <row r="10" spans="1:6" x14ac:dyDescent="0.25">
      <c r="D10" s="166"/>
      <c r="E10" s="166"/>
      <c r="F10" s="166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4637414-62AD-4AF9-BC13-C26022AEB901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7</vt:i4>
      </vt:variant>
    </vt:vector>
  </HeadingPairs>
  <TitlesOfParts>
    <vt:vector size="7" baseType="lpstr">
      <vt:lpstr>Càlcul pressupost </vt:lpstr>
      <vt:lpstr>Perfils</vt:lpstr>
      <vt:lpstr>Taules IJ</vt:lpstr>
      <vt:lpstr>Costos Indirectes</vt:lpstr>
      <vt:lpstr>Taula LOT-SERV-APP</vt:lpstr>
      <vt:lpstr>Taula Estimació de dades</vt:lpstr>
      <vt:lpstr>Hoja2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Ripoll Sánchez</dc:creator>
  <cp:lastModifiedBy>Ajuntament de Barcelona</cp:lastModifiedBy>
  <dcterms:created xsi:type="dcterms:W3CDTF">2017-03-09T17:46:58Z</dcterms:created>
  <dcterms:modified xsi:type="dcterms:W3CDTF">2021-04-13T16:27:40Z</dcterms:modified>
</cp:coreProperties>
</file>