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8635" windowHeight="12735"/>
  </bookViews>
  <sheets>
    <sheet name="InformeJustificatiu" sheetId="1" r:id="rId1"/>
    <sheet name="QuadrePreu" sheetId="2" r:id="rId2"/>
  </sheets>
  <definedNames>
    <definedName name="M_Bossa_hores">#REF!</definedName>
    <definedName name="M_Garantia">#REF!</definedName>
    <definedName name="M_Hores">#REF!</definedName>
    <definedName name="M_Hores_addicionals">#REF!</definedName>
    <definedName name="M_Reduccio_Terminis">#REF!</definedName>
    <definedName name="Subjectiu_1">#REF!</definedName>
    <definedName name="Subjectiu_2">#REF!</definedName>
    <definedName name="Subjectiu_3">#REF!</definedName>
    <definedName name="Subjectiu_4">#REF!</definedName>
    <definedName name="Subjectiu_5">#REF!</definedName>
  </definedNames>
  <calcPr calcId="145621"/>
</workbook>
</file>

<file path=xl/calcChain.xml><?xml version="1.0" encoding="utf-8"?>
<calcChain xmlns="http://schemas.openxmlformats.org/spreadsheetml/2006/main">
  <c r="K38" i="1" l="1"/>
  <c r="C14" i="2" l="1"/>
  <c r="C15" i="2" s="1"/>
  <c r="I23" i="2" s="1"/>
  <c r="K41" i="2" s="1"/>
  <c r="K25" i="2"/>
  <c r="B12" i="2"/>
  <c r="D11" i="2"/>
  <c r="L22" i="2" s="1"/>
  <c r="I38" i="1"/>
  <c r="I37" i="1"/>
  <c r="M37" i="1" s="1"/>
  <c r="N37" i="1" s="1"/>
  <c r="I36" i="1"/>
  <c r="I35" i="1"/>
  <c r="I34" i="1"/>
  <c r="M34" i="1" s="1"/>
  <c r="N34" i="1" s="1"/>
  <c r="I33" i="1"/>
  <c r="M33" i="1" s="1"/>
  <c r="N33" i="1" s="1"/>
  <c r="I32" i="1"/>
  <c r="M32" i="1" s="1"/>
  <c r="N32" i="1" s="1"/>
  <c r="I31" i="1"/>
  <c r="C19" i="1"/>
  <c r="C18" i="1"/>
  <c r="C16" i="1" s="1"/>
  <c r="C17" i="1" s="1"/>
  <c r="L21" i="2" l="1"/>
  <c r="L23" i="2"/>
  <c r="K14" i="2"/>
  <c r="C21" i="2"/>
  <c r="C62" i="2" s="1"/>
  <c r="C23" i="2"/>
  <c r="F23" i="2" s="1"/>
  <c r="C22" i="2"/>
  <c r="I20" i="2"/>
  <c r="I22" i="2"/>
  <c r="I41" i="2" s="1"/>
  <c r="L20" i="2"/>
  <c r="C20" i="2" s="1"/>
  <c r="C37" i="2"/>
  <c r="I21" i="2"/>
  <c r="F41" i="2" s="1"/>
  <c r="G34" i="1"/>
  <c r="K34" i="1" s="1"/>
  <c r="G36" i="1"/>
  <c r="K36" i="1" s="1"/>
  <c r="G38" i="1"/>
  <c r="G31" i="1"/>
  <c r="K31" i="1" s="1"/>
  <c r="G33" i="1"/>
  <c r="K33" i="1" s="1"/>
  <c r="G37" i="1"/>
  <c r="K37" i="1" s="1"/>
  <c r="G32" i="1"/>
  <c r="K32" i="1" s="1"/>
  <c r="G35" i="1"/>
  <c r="K35" i="1" s="1"/>
  <c r="K39" i="1" l="1"/>
  <c r="P37" i="1"/>
  <c r="C64" i="2"/>
  <c r="F21" i="2"/>
  <c r="C61" i="2"/>
  <c r="C25" i="2"/>
  <c r="F20" i="2"/>
  <c r="C41" i="2"/>
  <c r="C24" i="2"/>
  <c r="C34" i="2"/>
  <c r="C33" i="2"/>
  <c r="F22" i="2"/>
  <c r="C63" i="2"/>
  <c r="F65" i="2"/>
  <c r="K65" i="2" s="1"/>
  <c r="F64" i="2"/>
  <c r="F66" i="2"/>
  <c r="K66" i="2" s="1"/>
  <c r="O34" i="1"/>
  <c r="C20" i="1"/>
  <c r="F67" i="2" l="1"/>
  <c r="O38" i="1"/>
  <c r="C67" i="2"/>
  <c r="B50" i="2" s="1"/>
  <c r="G50" i="2" s="1"/>
  <c r="C35" i="2"/>
  <c r="C30" i="2" s="1"/>
  <c r="C28" i="2" s="1"/>
  <c r="C29" i="2" s="1"/>
  <c r="K64" i="2"/>
  <c r="F25" i="2"/>
  <c r="I25" i="2" s="1"/>
  <c r="C23" i="1"/>
  <c r="C21" i="1"/>
  <c r="K63" i="2" l="1"/>
  <c r="K62" i="2" l="1"/>
  <c r="K61" i="2"/>
  <c r="K67" i="2" s="1"/>
  <c r="F56" i="2" l="1"/>
  <c r="N67" i="2"/>
  <c r="O67" i="2" s="1"/>
</calcChain>
</file>

<file path=xl/sharedStrings.xml><?xml version="1.0" encoding="utf-8"?>
<sst xmlns="http://schemas.openxmlformats.org/spreadsheetml/2006/main" count="75" uniqueCount="67">
  <si>
    <t>Institut Municipal d’Informàtica</t>
  </si>
  <si>
    <t>Direcció d’Estratègia i Nous Projectes</t>
  </si>
  <si>
    <t>QUADRE DE CARACTERÍSITIQUES DEL CONTRACTE</t>
  </si>
  <si>
    <t>Ocultar les cel·les ombrejades en groc per a generar el document definitiu. Són només per calcular les hores i import del contracte</t>
  </si>
  <si>
    <t>Data d'inici prevista</t>
  </si>
  <si>
    <t>Data de fi prevista</t>
  </si>
  <si>
    <t>Dies festius entre setmana</t>
  </si>
  <si>
    <t>Dies laborables naturals</t>
  </si>
  <si>
    <t>Duració del projecte en mesos</t>
  </si>
  <si>
    <t>Hores laborables contracte</t>
  </si>
  <si>
    <t>Cost total del projecte (Sense IVA)</t>
  </si>
  <si>
    <t>Cost del projecte per mes (Sense IVA)</t>
  </si>
  <si>
    <r>
      <t xml:space="preserve">La determinació del preu que justifica el pressupost del contracte s’ha establert a partir de l’estimació del cost que suposaria l’efectiu compliment del contracte d’acord amb les condicions que consten en els documents que s’annexen a aquest informe (plec de prescripcions tècniques) per a la realització del mateix, establint els perfils necessaris i les dedicacions en % (FTE), prenent com a referència l’experiència prèvia en projectes similars.
</t>
    </r>
    <r>
      <rPr>
        <sz val="12"/>
        <color rgb="FFC00000"/>
        <rFont val="Calibri"/>
        <family val="2"/>
        <scheme val="minor"/>
      </rPr>
      <t>El preu/h del perfil correspon al determinat per l'Acord Marc. Aquest preu/h conté tota despesa asociada al perfil (marge benefici, seg. social, i altres costos associats al perfil que li suposa a l'empresa adjudicatària).</t>
    </r>
    <r>
      <rPr>
        <sz val="12"/>
        <color theme="1"/>
        <rFont val="Calibri"/>
        <family val="2"/>
        <scheme val="minor"/>
      </rPr>
      <t xml:space="preserve">
La taula següent detalla el càlcul del preu de licitació:</t>
    </r>
  </si>
  <si>
    <t>Ocultar els perfils no requerits al contracte.
En cas que un mateix perfil tingui dues persones amb % dedicació diferent, s'ha d'escriure en dues files diferents per claredat.</t>
  </si>
  <si>
    <t xml:space="preserve">Perfils </t>
  </si>
  <si>
    <t>Número de persones</t>
  </si>
  <si>
    <t>Dedicació (%)</t>
  </si>
  <si>
    <t>Hores estimades</t>
  </si>
  <si>
    <t>Preu/Hora (€/hora)
IVA exclòs</t>
  </si>
  <si>
    <t>Cost total</t>
  </si>
  <si>
    <t>Cap Oficina GRC</t>
  </si>
  <si>
    <t>Consultor GRC</t>
  </si>
  <si>
    <t>Auditor GRC</t>
  </si>
  <si>
    <t>Divulgador GRC</t>
  </si>
  <si>
    <t>Responsable Seguretat en Projectes</t>
  </si>
  <si>
    <t>Tècnic sèrnior arquitecte seguretat</t>
  </si>
  <si>
    <t>Tècnic sènior consultoria seguretat</t>
  </si>
  <si>
    <t>Responsable de contracte</t>
  </si>
  <si>
    <t>TOTAL</t>
  </si>
  <si>
    <t>La durada del present contracte serà de</t>
  </si>
  <si>
    <t xml:space="preserve">mesos, a partir del dia següent a la seva formalització fins al: </t>
  </si>
  <si>
    <t>L'import total del contracte serà</t>
  </si>
  <si>
    <t xml:space="preserve">, IVA exclòs, que aplicant l’IVA del 21% vigent </t>
  </si>
  <si>
    <t>suposa un import total de</t>
  </si>
  <si>
    <t>850 GRC + 477 Proj a 26 mesos (facturació trimestral)</t>
  </si>
  <si>
    <t>Aquest import anirà a càrrec dels pressupostos d’inversió de l’IMI dels exercicis indicats a la taula següent i amb la següent distribució:</t>
  </si>
  <si>
    <t>Any</t>
  </si>
  <si>
    <t>Pressupost net</t>
  </si>
  <si>
    <t>IVA</t>
  </si>
  <si>
    <t>Import total</t>
  </si>
  <si>
    <t>mesos</t>
  </si>
  <si>
    <t>Costos directes i indirectes (IVA exclòs)</t>
  </si>
  <si>
    <t>Costos directes:</t>
  </si>
  <si>
    <t>Costos salarials - Salari Brut</t>
  </si>
  <si>
    <t>Costos salarials - Seguretat Social (34%)</t>
  </si>
  <si>
    <t>Costos indirectes:</t>
  </si>
  <si>
    <t>Despeses generals d’estructura (6,4%)</t>
  </si>
  <si>
    <t>Benefici industrial (20%)</t>
  </si>
  <si>
    <t>TOTAL DE COSTOS (directes + indirectes):</t>
  </si>
  <si>
    <t>La partides pressupostària on s’aplicarà aquest total és la següent:</t>
  </si>
  <si>
    <t>Pressupost IVA inclòs</t>
  </si>
  <si>
    <t>C II</t>
  </si>
  <si>
    <t>P.11.6178.01 Pla tecnològic i evolutius IMI</t>
  </si>
  <si>
    <t xml:space="preserve">El sistema de determinació del preu és a tant alçat.
L’import total d’adjudicació serà l’import de l’oferta del licitador (IVA exclòs), afegint a aquest import la quantitat corresponent al 21% d’IVA.
</t>
  </si>
  <si>
    <t xml:space="preserve">· El  percentatge màxim d’ampliació és del 20% de l’import del contracte. Els imports màxims definitius, admesos a modificació, s’obtindran desprès d’aplicar la possible baixa licitatòria que l’adjudicatari efectuï en la seva oferta. </t>
  </si>
  <si>
    <t>Import del contracte</t>
  </si>
  <si>
    <t>Percentatge d'ampliació</t>
  </si>
  <si>
    <t>Import total d'ampliació</t>
  </si>
  <si>
    <t>5. Valor econòmic del contracte</t>
  </si>
  <si>
    <t xml:space="preserve">El Valor Econòmic del Contracte (V.E.C) és, IVA exclòs: </t>
  </si>
  <si>
    <t>Aquest import inclou les possibles ampliacions i disminucions que s’han previst.</t>
  </si>
  <si>
    <t>VE prestació</t>
  </si>
  <si>
    <t>VE eventuals pròrrogues</t>
  </si>
  <si>
    <t>VE modificacions amb increment del cost econòmic</t>
  </si>
  <si>
    <t>Total</t>
  </si>
  <si>
    <t>VEC anual * 1.5</t>
  </si>
  <si>
    <t>Durada i càlcul de l'import de licitació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</si>
</sst>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.0"/>
    <numFmt numFmtId="165" formatCode="#,##0.00\ &quot;€&quot;"/>
    <numFmt numFmtId="166" formatCode="_-* #,##0.00\ [$€-403]_-;\-* #,##0.00\ [$€-403]_-;_-* &quot;-&quot;??\ [$€-403]_-;_-@_-"/>
    <numFmt numFmtId="167" formatCode="#,##0.00\ [$€-403]"/>
    <numFmt numFmtId="168" formatCode="0.000000000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2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i/>
      <sz val="14"/>
      <color rgb="FFC00000"/>
      <name val="Calibri"/>
      <family val="2"/>
      <scheme val="minor"/>
    </font>
    <font>
      <sz val="14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FFFFFF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theme="1"/>
      <name val="Times New Roman"/>
      <family val="1"/>
    </font>
    <font>
      <b/>
      <sz val="12"/>
      <color rgb="FFFFFFFF"/>
      <name val="Calibri"/>
      <family val="2"/>
    </font>
    <font>
      <sz val="12"/>
      <color rgb="FFFF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2499465926084170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43634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9" fillId="0" borderId="0"/>
  </cellStyleXfs>
  <cellXfs count="155">
    <xf numFmtId="0" fontId="0" fillId="0" borderId="0" xfId="0"/>
    <xf numFmtId="0" fontId="4" fillId="0" borderId="0" xfId="0" applyFont="1"/>
    <xf numFmtId="0" fontId="6" fillId="0" borderId="0" xfId="0" applyFont="1" applyAlignment="1">
      <alignment vertical="top"/>
    </xf>
    <xf numFmtId="0" fontId="7" fillId="2" borderId="1" xfId="0" applyFont="1" applyFill="1" applyBorder="1"/>
    <xf numFmtId="0" fontId="7" fillId="2" borderId="2" xfId="0" applyFont="1" applyFill="1" applyBorder="1"/>
    <xf numFmtId="0" fontId="8" fillId="2" borderId="2" xfId="0" applyFont="1" applyFill="1" applyBorder="1" applyAlignment="1" applyProtection="1">
      <alignment vertical="center"/>
      <protection hidden="1"/>
    </xf>
    <xf numFmtId="0" fontId="7" fillId="2" borderId="3" xfId="0" applyFont="1" applyFill="1" applyBorder="1"/>
    <xf numFmtId="0" fontId="8" fillId="2" borderId="4" xfId="0" applyFont="1" applyFill="1" applyBorder="1" applyAlignment="1" applyProtection="1">
      <alignment vertical="center"/>
      <protection hidden="1"/>
    </xf>
    <xf numFmtId="0" fontId="8" fillId="2" borderId="0" xfId="0" applyFont="1" applyFill="1" applyBorder="1" applyAlignment="1" applyProtection="1">
      <alignment vertical="center"/>
      <protection hidden="1"/>
    </xf>
    <xf numFmtId="0" fontId="9" fillId="2" borderId="0" xfId="0" applyFont="1" applyFill="1" applyBorder="1" applyAlignment="1" applyProtection="1">
      <alignment vertical="center"/>
      <protection hidden="1"/>
    </xf>
    <xf numFmtId="0" fontId="7" fillId="2" borderId="0" xfId="0" applyFont="1" applyFill="1" applyBorder="1"/>
    <xf numFmtId="0" fontId="7" fillId="2" borderId="5" xfId="0" applyFont="1" applyFill="1" applyBorder="1"/>
    <xf numFmtId="0" fontId="8" fillId="2" borderId="6" xfId="0" applyFont="1" applyFill="1" applyBorder="1" applyAlignment="1" applyProtection="1">
      <alignment vertical="center"/>
      <protection hidden="1"/>
    </xf>
    <xf numFmtId="0" fontId="8" fillId="2" borderId="7" xfId="0" applyFont="1" applyFill="1" applyBorder="1" applyAlignment="1" applyProtection="1">
      <alignment vertical="center"/>
      <protection hidden="1"/>
    </xf>
    <xf numFmtId="0" fontId="7" fillId="2" borderId="7" xfId="0" applyFont="1" applyFill="1" applyBorder="1"/>
    <xf numFmtId="0" fontId="7" fillId="2" borderId="8" xfId="0" applyFont="1" applyFill="1" applyBorder="1"/>
    <xf numFmtId="0" fontId="7" fillId="0" borderId="0" xfId="0" applyFont="1"/>
    <xf numFmtId="0" fontId="10" fillId="0" borderId="0" xfId="0" applyFont="1" applyAlignment="1"/>
    <xf numFmtId="0" fontId="12" fillId="0" borderId="0" xfId="0" applyFont="1" applyBorder="1" applyAlignment="1">
      <alignment vertical="center" wrapText="1"/>
    </xf>
    <xf numFmtId="0" fontId="0" fillId="0" borderId="10" xfId="0" applyBorder="1"/>
    <xf numFmtId="0" fontId="0" fillId="0" borderId="11" xfId="0" applyBorder="1"/>
    <xf numFmtId="0" fontId="10" fillId="0" borderId="0" xfId="0" applyFont="1" applyBorder="1" applyAlignment="1"/>
    <xf numFmtId="0" fontId="13" fillId="3" borderId="0" xfId="0" applyFont="1" applyFill="1" applyBorder="1" applyAlignment="1"/>
    <xf numFmtId="0" fontId="14" fillId="3" borderId="0" xfId="0" applyFont="1" applyFill="1"/>
    <xf numFmtId="0" fontId="12" fillId="3" borderId="0" xfId="0" applyFont="1" applyFill="1" applyAlignment="1"/>
    <xf numFmtId="0" fontId="0" fillId="3" borderId="0" xfId="0" applyFill="1"/>
    <xf numFmtId="0" fontId="16" fillId="3" borderId="0" xfId="0" applyFont="1" applyFill="1" applyAlignment="1"/>
    <xf numFmtId="0" fontId="10" fillId="3" borderId="0" xfId="0" applyFont="1" applyFill="1" applyAlignment="1"/>
    <xf numFmtId="0" fontId="12" fillId="0" borderId="0" xfId="0" applyFont="1" applyBorder="1" applyAlignment="1">
      <alignment vertical="center"/>
    </xf>
    <xf numFmtId="0" fontId="0" fillId="0" borderId="0" xfId="0" applyBorder="1" applyAlignment="1">
      <alignment horizontal="center"/>
    </xf>
    <xf numFmtId="0" fontId="5" fillId="4" borderId="14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66" fontId="17" fillId="0" borderId="0" xfId="0" applyNumberFormat="1" applyFont="1" applyBorder="1" applyAlignment="1">
      <alignment horizontal="center" vertical="center"/>
    </xf>
    <xf numFmtId="44" fontId="0" fillId="0" borderId="0" xfId="1" applyFont="1" applyAlignment="1">
      <alignment vertical="center"/>
    </xf>
    <xf numFmtId="0" fontId="18" fillId="0" borderId="0" xfId="0" applyFont="1" applyFill="1" applyBorder="1" applyAlignment="1">
      <alignment horizontal="left" vertical="center" wrapText="1"/>
    </xf>
    <xf numFmtId="166" fontId="0" fillId="0" borderId="0" xfId="0" applyNumberFormat="1" applyAlignment="1">
      <alignment vertical="center"/>
    </xf>
    <xf numFmtId="0" fontId="12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1" fontId="10" fillId="7" borderId="0" xfId="0" applyNumberFormat="1" applyFont="1" applyFill="1" applyBorder="1" applyAlignment="1">
      <alignment horizontal="center" vertical="center"/>
    </xf>
    <xf numFmtId="0" fontId="7" fillId="7" borderId="0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7" fillId="0" borderId="0" xfId="0" applyFont="1" applyBorder="1"/>
    <xf numFmtId="0" fontId="21" fillId="0" borderId="0" xfId="0" applyFont="1" applyBorder="1" applyAlignment="1">
      <alignment horizontal="center" vertical="center"/>
    </xf>
    <xf numFmtId="0" fontId="20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22" fillId="0" borderId="14" xfId="0" applyFont="1" applyBorder="1" applyAlignment="1">
      <alignment horizontal="center"/>
    </xf>
    <xf numFmtId="0" fontId="0" fillId="0" borderId="0" xfId="0" applyBorder="1" applyAlignment="1"/>
    <xf numFmtId="168" fontId="0" fillId="0" borderId="0" xfId="0" applyNumberFormat="1"/>
    <xf numFmtId="0" fontId="0" fillId="0" borderId="0" xfId="0" applyFill="1" applyBorder="1" applyAlignment="1"/>
    <xf numFmtId="0" fontId="10" fillId="0" borderId="14" xfId="0" applyFont="1" applyBorder="1" applyAlignment="1">
      <alignment horizontal="right"/>
    </xf>
    <xf numFmtId="0" fontId="12" fillId="0" borderId="0" xfId="0" applyFont="1" applyAlignment="1"/>
    <xf numFmtId="0" fontId="23" fillId="8" borderId="14" xfId="0" applyFont="1" applyFill="1" applyBorder="1" applyAlignment="1">
      <alignment horizontal="center" vertical="center"/>
    </xf>
    <xf numFmtId="0" fontId="25" fillId="0" borderId="14" xfId="0" applyFont="1" applyBorder="1" applyAlignment="1">
      <alignment horizontal="left" vertical="center"/>
    </xf>
    <xf numFmtId="167" fontId="0" fillId="0" borderId="0" xfId="0" applyNumberFormat="1" applyBorder="1" applyAlignment="1">
      <alignment horizontal="right"/>
    </xf>
    <xf numFmtId="0" fontId="0" fillId="0" borderId="0" xfId="0" applyBorder="1"/>
    <xf numFmtId="0" fontId="24" fillId="0" borderId="14" xfId="0" applyFont="1" applyBorder="1" applyAlignment="1">
      <alignment horizontal="left" vertical="center"/>
    </xf>
    <xf numFmtId="0" fontId="26" fillId="0" borderId="0" xfId="0" applyFont="1" applyBorder="1"/>
    <xf numFmtId="0" fontId="23" fillId="8" borderId="14" xfId="0" applyFont="1" applyFill="1" applyBorder="1" applyAlignment="1">
      <alignment horizontal="left" vertical="center"/>
    </xf>
    <xf numFmtId="0" fontId="2" fillId="4" borderId="14" xfId="0" applyFont="1" applyFill="1" applyBorder="1" applyAlignment="1">
      <alignment horizontal="center" vertical="center"/>
    </xf>
    <xf numFmtId="8" fontId="0" fillId="0" borderId="0" xfId="0" applyNumberFormat="1"/>
    <xf numFmtId="0" fontId="12" fillId="0" borderId="0" xfId="0" applyFont="1" applyBorder="1" applyAlignment="1">
      <alignment horizontal="left"/>
    </xf>
    <xf numFmtId="0" fontId="29" fillId="0" borderId="0" xfId="0" applyFont="1" applyBorder="1" applyAlignment="1">
      <alignment horizontal="left" vertical="center" indent="1"/>
    </xf>
    <xf numFmtId="0" fontId="29" fillId="0" borderId="0" xfId="0" applyFont="1" applyBorder="1" applyAlignment="1">
      <alignment vertical="center"/>
    </xf>
    <xf numFmtId="0" fontId="12" fillId="0" borderId="0" xfId="0" applyFont="1" applyBorder="1"/>
    <xf numFmtId="167" fontId="3" fillId="0" borderId="12" xfId="0" applyNumberFormat="1" applyFont="1" applyBorder="1" applyAlignment="1">
      <alignment horizontal="center"/>
    </xf>
    <xf numFmtId="167" fontId="3" fillId="0" borderId="16" xfId="0" applyNumberFormat="1" applyFont="1" applyBorder="1" applyAlignment="1">
      <alignment horizontal="center"/>
    </xf>
    <xf numFmtId="167" fontId="3" fillId="0" borderId="13" xfId="0" applyNumberFormat="1" applyFont="1" applyBorder="1" applyAlignment="1">
      <alignment horizontal="center"/>
    </xf>
    <xf numFmtId="0" fontId="30" fillId="0" borderId="14" xfId="0" applyFont="1" applyBorder="1" applyAlignment="1">
      <alignment horizontal="center"/>
    </xf>
    <xf numFmtId="165" fontId="0" fillId="0" borderId="0" xfId="0" applyNumberFormat="1"/>
    <xf numFmtId="0" fontId="26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0" fontId="28" fillId="0" borderId="14" xfId="0" applyFont="1" applyFill="1" applyBorder="1" applyAlignment="1">
      <alignment horizontal="left" wrapText="1"/>
    </xf>
    <xf numFmtId="0" fontId="2" fillId="4" borderId="0" xfId="0" applyFont="1" applyFill="1" applyAlignment="1">
      <alignment horizontal="right"/>
    </xf>
    <xf numFmtId="166" fontId="2" fillId="4" borderId="0" xfId="0" applyNumberFormat="1" applyFont="1" applyFill="1" applyAlignment="1">
      <alignment horizontal="center"/>
    </xf>
    <xf numFmtId="0" fontId="17" fillId="6" borderId="0" xfId="0" applyFont="1" applyFill="1" applyBorder="1" applyAlignment="1">
      <alignment horizontal="center" vertical="center"/>
    </xf>
    <xf numFmtId="9" fontId="17" fillId="6" borderId="0" xfId="2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2" fontId="17" fillId="0" borderId="0" xfId="0" applyNumberFormat="1" applyFont="1" applyBorder="1" applyAlignment="1">
      <alignment horizontal="center" vertical="center"/>
    </xf>
    <xf numFmtId="166" fontId="17" fillId="0" borderId="0" xfId="0" applyNumberFormat="1" applyFont="1" applyBorder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2" fontId="17" fillId="0" borderId="2" xfId="0" applyNumberFormat="1" applyFont="1" applyBorder="1" applyAlignment="1">
      <alignment horizontal="center" vertical="center"/>
    </xf>
    <xf numFmtId="165" fontId="16" fillId="3" borderId="12" xfId="0" applyNumberFormat="1" applyFont="1" applyFill="1" applyBorder="1" applyAlignment="1">
      <alignment horizontal="center"/>
    </xf>
    <xf numFmtId="165" fontId="16" fillId="3" borderId="13" xfId="0" applyNumberFormat="1" applyFont="1" applyFill="1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 wrapText="1"/>
    </xf>
    <xf numFmtId="0" fontId="13" fillId="3" borderId="7" xfId="0" applyFont="1" applyFill="1" applyBorder="1" applyAlignment="1">
      <alignment horizontal="center" wrapText="1"/>
    </xf>
    <xf numFmtId="0" fontId="2" fillId="5" borderId="14" xfId="0" applyFont="1" applyFill="1" applyBorder="1" applyAlignment="1">
      <alignment horizontal="center" vertical="center" wrapText="1"/>
    </xf>
    <xf numFmtId="14" fontId="15" fillId="3" borderId="12" xfId="0" applyNumberFormat="1" applyFont="1" applyFill="1" applyBorder="1" applyAlignment="1">
      <alignment horizontal="center"/>
    </xf>
    <xf numFmtId="0" fontId="15" fillId="3" borderId="13" xfId="0" applyFont="1" applyFill="1" applyBorder="1" applyAlignment="1">
      <alignment horizontal="center"/>
    </xf>
    <xf numFmtId="1" fontId="15" fillId="3" borderId="12" xfId="0" applyNumberFormat="1" applyFont="1" applyFill="1" applyBorder="1" applyAlignment="1">
      <alignment horizontal="center"/>
    </xf>
    <xf numFmtId="1" fontId="15" fillId="3" borderId="13" xfId="0" applyNumberFormat="1" applyFont="1" applyFill="1" applyBorder="1" applyAlignment="1">
      <alignment horizontal="center"/>
    </xf>
    <xf numFmtId="1" fontId="12" fillId="3" borderId="12" xfId="0" applyNumberFormat="1" applyFont="1" applyFill="1" applyBorder="1" applyAlignment="1">
      <alignment horizontal="center"/>
    </xf>
    <xf numFmtId="1" fontId="12" fillId="3" borderId="13" xfId="0" applyNumberFormat="1" applyFont="1" applyFill="1" applyBorder="1" applyAlignment="1">
      <alignment horizontal="center"/>
    </xf>
    <xf numFmtId="164" fontId="12" fillId="3" borderId="12" xfId="0" applyNumberFormat="1" applyFont="1" applyFill="1" applyBorder="1" applyAlignment="1">
      <alignment horizontal="center"/>
    </xf>
    <xf numFmtId="164" fontId="12" fillId="3" borderId="13" xfId="0" applyNumberFormat="1" applyFont="1" applyFill="1" applyBorder="1" applyAlignment="1">
      <alignment horizontal="center"/>
    </xf>
    <xf numFmtId="0" fontId="12" fillId="3" borderId="12" xfId="0" applyFont="1" applyFill="1" applyBorder="1" applyAlignment="1">
      <alignment horizontal="center"/>
    </xf>
    <xf numFmtId="0" fontId="12" fillId="3" borderId="13" xfId="0" applyFont="1" applyFill="1" applyBorder="1" applyAlignment="1">
      <alignment horizontal="center"/>
    </xf>
    <xf numFmtId="0" fontId="10" fillId="0" borderId="9" xfId="0" applyFont="1" applyBorder="1" applyAlignment="1">
      <alignment horizontal="left"/>
    </xf>
    <xf numFmtId="0" fontId="10" fillId="0" borderId="10" xfId="0" applyFont="1" applyBorder="1" applyAlignment="1">
      <alignment horizontal="left"/>
    </xf>
    <xf numFmtId="14" fontId="15" fillId="3" borderId="13" xfId="0" applyNumberFormat="1" applyFont="1" applyFill="1" applyBorder="1" applyAlignment="1">
      <alignment horizontal="center"/>
    </xf>
    <xf numFmtId="167" fontId="17" fillId="0" borderId="14" xfId="0" applyNumberFormat="1" applyFont="1" applyBorder="1" applyAlignment="1">
      <alignment horizontal="center"/>
    </xf>
    <xf numFmtId="167" fontId="17" fillId="0" borderId="12" xfId="0" applyNumberFormat="1" applyFont="1" applyBorder="1" applyAlignment="1">
      <alignment horizontal="center"/>
    </xf>
    <xf numFmtId="167" fontId="17" fillId="0" borderId="16" xfId="0" applyNumberFormat="1" applyFont="1" applyBorder="1" applyAlignment="1">
      <alignment horizontal="center"/>
    </xf>
    <xf numFmtId="167" fontId="17" fillId="0" borderId="13" xfId="0" applyNumberFormat="1" applyFont="1" applyBorder="1" applyAlignment="1">
      <alignment horizontal="center"/>
    </xf>
    <xf numFmtId="167" fontId="30" fillId="0" borderId="12" xfId="0" applyNumberFormat="1" applyFont="1" applyBorder="1" applyAlignment="1">
      <alignment horizontal="center"/>
    </xf>
    <xf numFmtId="167" fontId="30" fillId="0" borderId="16" xfId="0" applyNumberFormat="1" applyFont="1" applyBorder="1" applyAlignment="1">
      <alignment horizontal="center"/>
    </xf>
    <xf numFmtId="167" fontId="30" fillId="0" borderId="13" xfId="0" applyNumberFormat="1" applyFont="1" applyBorder="1" applyAlignment="1">
      <alignment horizontal="center"/>
    </xf>
    <xf numFmtId="167" fontId="4" fillId="0" borderId="14" xfId="0" applyNumberFormat="1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165" fontId="4" fillId="0" borderId="12" xfId="0" applyNumberFormat="1" applyFont="1" applyBorder="1" applyAlignment="1">
      <alignment horizontal="center"/>
    </xf>
    <xf numFmtId="165" fontId="4" fillId="0" borderId="13" xfId="0" applyNumberFormat="1" applyFont="1" applyBorder="1" applyAlignment="1">
      <alignment horizontal="center"/>
    </xf>
    <xf numFmtId="0" fontId="10" fillId="0" borderId="11" xfId="0" applyFont="1" applyBorder="1" applyAlignment="1">
      <alignment horizontal="left"/>
    </xf>
    <xf numFmtId="165" fontId="4" fillId="7" borderId="0" xfId="0" applyNumberFormat="1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 vertical="center" wrapText="1"/>
    </xf>
    <xf numFmtId="165" fontId="0" fillId="0" borderId="14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9" fontId="14" fillId="0" borderId="14" xfId="2" applyFont="1" applyBorder="1" applyAlignment="1">
      <alignment horizontal="center" vertical="center"/>
    </xf>
    <xf numFmtId="8" fontId="12" fillId="0" borderId="14" xfId="0" applyNumberFormat="1" applyFont="1" applyBorder="1" applyAlignment="1">
      <alignment horizontal="center" wrapText="1"/>
    </xf>
    <xf numFmtId="0" fontId="2" fillId="4" borderId="12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12" fillId="0" borderId="17" xfId="0" applyFont="1" applyBorder="1" applyAlignment="1">
      <alignment horizontal="left" wrapText="1"/>
    </xf>
    <xf numFmtId="166" fontId="27" fillId="8" borderId="14" xfId="0" applyNumberFormat="1" applyFont="1" applyFill="1" applyBorder="1" applyAlignment="1">
      <alignment horizontal="center" vertical="center"/>
    </xf>
    <xf numFmtId="8" fontId="27" fillId="8" borderId="14" xfId="0" applyNumberFormat="1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8" fontId="24" fillId="0" borderId="14" xfId="0" applyNumberFormat="1" applyFont="1" applyBorder="1" applyAlignment="1">
      <alignment horizontal="right" vertical="center"/>
    </xf>
    <xf numFmtId="165" fontId="4" fillId="0" borderId="12" xfId="0" applyNumberFormat="1" applyFont="1" applyBorder="1" applyAlignment="1">
      <alignment horizontal="right"/>
    </xf>
    <xf numFmtId="0" fontId="4" fillId="0" borderId="16" xfId="0" applyFont="1" applyBorder="1" applyAlignment="1">
      <alignment horizontal="right"/>
    </xf>
    <xf numFmtId="0" fontId="4" fillId="0" borderId="13" xfId="0" applyFont="1" applyBorder="1" applyAlignment="1">
      <alignment horizontal="right"/>
    </xf>
    <xf numFmtId="165" fontId="0" fillId="0" borderId="2" xfId="0" applyNumberFormat="1" applyBorder="1" applyAlignment="1">
      <alignment horizontal="right"/>
    </xf>
    <xf numFmtId="167" fontId="0" fillId="0" borderId="2" xfId="0" applyNumberFormat="1" applyBorder="1" applyAlignment="1">
      <alignment horizontal="right"/>
    </xf>
    <xf numFmtId="165" fontId="0" fillId="0" borderId="2" xfId="0" applyNumberFormat="1" applyBorder="1" applyAlignment="1">
      <alignment horizontal="center"/>
    </xf>
    <xf numFmtId="0" fontId="24" fillId="8" borderId="14" xfId="0" applyFont="1" applyFill="1" applyBorder="1" applyAlignment="1">
      <alignment horizontal="center" vertical="center"/>
    </xf>
    <xf numFmtId="8" fontId="25" fillId="0" borderId="14" xfId="0" applyNumberFormat="1" applyFont="1" applyBorder="1" applyAlignment="1">
      <alignment horizontal="right" vertical="center"/>
    </xf>
    <xf numFmtId="0" fontId="24" fillId="8" borderId="14" xfId="0" applyFont="1" applyFill="1" applyBorder="1" applyAlignment="1">
      <alignment horizontal="right" vertical="center"/>
    </xf>
    <xf numFmtId="165" fontId="14" fillId="0" borderId="14" xfId="0" applyNumberFormat="1" applyFont="1" applyBorder="1" applyAlignment="1">
      <alignment horizontal="right"/>
    </xf>
    <xf numFmtId="167" fontId="0" fillId="0" borderId="14" xfId="0" applyNumberFormat="1" applyBorder="1" applyAlignment="1">
      <alignment horizontal="right"/>
    </xf>
    <xf numFmtId="167" fontId="0" fillId="0" borderId="12" xfId="0" applyNumberFormat="1" applyBorder="1" applyAlignment="1">
      <alignment horizontal="right"/>
    </xf>
    <xf numFmtId="167" fontId="0" fillId="0" borderId="16" xfId="0" applyNumberFormat="1" applyBorder="1" applyAlignment="1">
      <alignment horizontal="right"/>
    </xf>
    <xf numFmtId="167" fontId="0" fillId="0" borderId="13" xfId="0" applyNumberFormat="1" applyBorder="1" applyAlignment="1">
      <alignment horizontal="right"/>
    </xf>
    <xf numFmtId="0" fontId="7" fillId="0" borderId="0" xfId="0" applyFont="1" applyBorder="1" applyAlignment="1">
      <alignment horizontal="left" vertical="center"/>
    </xf>
    <xf numFmtId="166" fontId="10" fillId="7" borderId="0" xfId="0" applyNumberFormat="1" applyFont="1" applyFill="1" applyBorder="1" applyAlignment="1">
      <alignment horizontal="center" vertical="center"/>
    </xf>
    <xf numFmtId="165" fontId="11" fillId="7" borderId="0" xfId="0" applyNumberFormat="1" applyFont="1" applyFill="1" applyBorder="1" applyAlignment="1">
      <alignment horizontal="left" vertical="center"/>
    </xf>
    <xf numFmtId="165" fontId="11" fillId="7" borderId="0" xfId="0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</cellXfs>
  <cellStyles count="4">
    <cellStyle name="Moneda" xfId="1" builtinId="4"/>
    <cellStyle name="Normal" xfId="0" builtinId="0"/>
    <cellStyle name="Normal 2" xfId="3"/>
    <cellStyle name="Percentatge" xfId="2" builtinId="5"/>
  </cellStyles>
  <dxfs count="65">
    <dxf>
      <font>
        <color rgb="FF9C0006"/>
      </font>
      <fill>
        <patternFill>
          <bgColor rgb="FFFFC7CE"/>
        </patternFill>
      </fill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154783</xdr:colOff>
      <xdr:row>0</xdr:row>
      <xdr:rowOff>82298</xdr:rowOff>
    </xdr:from>
    <xdr:to>
      <xdr:col>1</xdr:col>
      <xdr:colOff>1881189</xdr:colOff>
      <xdr:row>2</xdr:row>
      <xdr:rowOff>258420</xdr:rowOff>
    </xdr:to>
    <xdr:pic>
      <xdr:nvPicPr>
        <xdr:cNvPr id="2" name="Imat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783" y="82298"/>
          <a:ext cx="1907381" cy="55712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154783</xdr:colOff>
      <xdr:row>0</xdr:row>
      <xdr:rowOff>82298</xdr:rowOff>
    </xdr:from>
    <xdr:to>
      <xdr:col>1</xdr:col>
      <xdr:colOff>1881189</xdr:colOff>
      <xdr:row>2</xdr:row>
      <xdr:rowOff>258420</xdr:rowOff>
    </xdr:to>
    <xdr:pic>
      <xdr:nvPicPr>
        <xdr:cNvPr id="2" name="Imat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783" y="82298"/>
          <a:ext cx="1907381" cy="5571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R40"/>
  <sheetViews>
    <sheetView showGridLines="0" tabSelected="1" zoomScale="90" zoomScaleNormal="90" workbookViewId="0">
      <selection activeCell="H47" sqref="H47"/>
    </sheetView>
  </sheetViews>
  <sheetFormatPr defaultColWidth="9.140625" defaultRowHeight="15" x14ac:dyDescent="0.25"/>
  <cols>
    <col min="1" max="1" width="2.7109375" customWidth="1"/>
    <col min="2" max="2" width="38.85546875" customWidth="1"/>
    <col min="4" max="4" width="7.42578125" customWidth="1"/>
    <col min="5" max="5" width="5.5703125" customWidth="1"/>
    <col min="6" max="6" width="12.85546875" bestFit="1" customWidth="1"/>
    <col min="7" max="8" width="7" customWidth="1"/>
    <col min="9" max="9" width="11.42578125" customWidth="1"/>
    <col min="10" max="10" width="9.5703125" customWidth="1"/>
    <col min="11" max="11" width="11" customWidth="1"/>
    <col min="13" max="14" width="18.140625" customWidth="1"/>
    <col min="15" max="15" width="11" customWidth="1"/>
    <col min="16" max="16" width="14.140625" bestFit="1" customWidth="1"/>
    <col min="18" max="18" width="13.85546875" bestFit="1" customWidth="1"/>
  </cols>
  <sheetData>
    <row r="3" spans="2:12" ht="43.5" customHeight="1" x14ac:dyDescent="0.25">
      <c r="B3" s="1" t="s">
        <v>0</v>
      </c>
    </row>
    <row r="4" spans="2:12" ht="20.45" customHeight="1" x14ac:dyDescent="0.25">
      <c r="B4" s="2" t="s">
        <v>1</v>
      </c>
    </row>
    <row r="5" spans="2:12" ht="18.75" customHeight="1" x14ac:dyDescent="0.3">
      <c r="B5" s="3"/>
      <c r="C5" s="4"/>
      <c r="D5" s="4"/>
      <c r="E5" s="4"/>
      <c r="F5" s="4"/>
      <c r="G5" s="5"/>
      <c r="H5" s="4"/>
      <c r="I5" s="4"/>
      <c r="J5" s="4"/>
      <c r="K5" s="4"/>
      <c r="L5" s="6"/>
    </row>
    <row r="6" spans="2:12" ht="18.75" customHeight="1" x14ac:dyDescent="0.3">
      <c r="B6" s="7" t="s">
        <v>2</v>
      </c>
      <c r="C6" s="8"/>
      <c r="D6" s="8"/>
      <c r="E6" s="8"/>
      <c r="F6" s="9">
        <v>21000112</v>
      </c>
      <c r="G6" s="8"/>
      <c r="H6" s="10"/>
      <c r="I6" s="10"/>
      <c r="J6" s="10"/>
      <c r="K6" s="10"/>
      <c r="L6" s="11"/>
    </row>
    <row r="7" spans="2:12" ht="18.75" customHeight="1" x14ac:dyDescent="0.3">
      <c r="B7" s="12"/>
      <c r="C7" s="13"/>
      <c r="D7" s="13"/>
      <c r="E7" s="13"/>
      <c r="F7" s="13"/>
      <c r="G7" s="13"/>
      <c r="H7" s="14"/>
      <c r="I7" s="14"/>
      <c r="J7" s="14"/>
      <c r="K7" s="14"/>
      <c r="L7" s="15"/>
    </row>
    <row r="8" spans="2:12" ht="18.75" x14ac:dyDescent="0.3"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</row>
    <row r="9" spans="2:12" ht="18.75" x14ac:dyDescent="0.3"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</row>
    <row r="10" spans="2:12" ht="15" customHeight="1" thickBot="1" x14ac:dyDescent="0.3"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</row>
    <row r="11" spans="2:12" ht="19.5" thickBot="1" x14ac:dyDescent="0.35">
      <c r="B11" s="105" t="s">
        <v>66</v>
      </c>
      <c r="C11" s="106"/>
      <c r="D11" s="19"/>
      <c r="E11" s="19"/>
      <c r="F11" s="19"/>
      <c r="G11" s="19"/>
      <c r="H11" s="19"/>
      <c r="I11" s="19"/>
      <c r="J11" s="19"/>
      <c r="K11" s="19"/>
      <c r="L11" s="20"/>
    </row>
    <row r="12" spans="2:12" ht="18.75" x14ac:dyDescent="0.3">
      <c r="B12" s="21"/>
    </row>
    <row r="13" spans="2:12" ht="15.75" x14ac:dyDescent="0.25">
      <c r="B13" s="22" t="s">
        <v>3</v>
      </c>
      <c r="C13" s="23"/>
      <c r="D13" s="23"/>
      <c r="E13" s="23"/>
      <c r="F13" s="23"/>
      <c r="G13" s="23"/>
      <c r="H13" s="23"/>
      <c r="I13" s="23"/>
      <c r="J13" s="23"/>
      <c r="K13" s="23"/>
      <c r="L13" s="23"/>
    </row>
    <row r="14" spans="2:12" ht="15.75" x14ac:dyDescent="0.25">
      <c r="B14" s="24" t="s">
        <v>4</v>
      </c>
      <c r="C14" s="95">
        <v>44545</v>
      </c>
      <c r="D14" s="107"/>
      <c r="E14" s="25"/>
      <c r="F14" s="25"/>
      <c r="G14" s="25"/>
      <c r="H14" s="25"/>
      <c r="I14" s="25"/>
      <c r="J14" s="25"/>
      <c r="K14" s="25"/>
      <c r="L14" s="25"/>
    </row>
    <row r="15" spans="2:12" ht="15.75" x14ac:dyDescent="0.25">
      <c r="B15" s="24" t="s">
        <v>5</v>
      </c>
      <c r="C15" s="95">
        <v>45337</v>
      </c>
      <c r="D15" s="96"/>
      <c r="E15" s="25"/>
      <c r="F15" s="25"/>
      <c r="G15" s="25"/>
      <c r="H15" s="25"/>
      <c r="I15" s="25"/>
      <c r="J15" s="25"/>
      <c r="K15" s="25"/>
      <c r="L15" s="25"/>
    </row>
    <row r="16" spans="2:12" ht="15.75" x14ac:dyDescent="0.25">
      <c r="B16" s="24" t="s">
        <v>6</v>
      </c>
      <c r="C16" s="97">
        <f>12*C18/12</f>
        <v>26</v>
      </c>
      <c r="D16" s="98"/>
      <c r="E16" s="25"/>
      <c r="F16" s="25"/>
      <c r="G16" s="25"/>
      <c r="H16" s="25"/>
      <c r="I16" s="25"/>
      <c r="J16" s="25"/>
      <c r="K16" s="25"/>
      <c r="L16" s="25"/>
    </row>
    <row r="17" spans="2:18" ht="15.75" x14ac:dyDescent="0.25">
      <c r="B17" s="24" t="s">
        <v>7</v>
      </c>
      <c r="C17" s="99">
        <f>NETWORKDAYS.INTL(C14,C15,1,0)-C16</f>
        <v>541</v>
      </c>
      <c r="D17" s="100"/>
      <c r="E17" s="25"/>
      <c r="F17" s="25"/>
      <c r="G17" s="25"/>
      <c r="H17" s="25"/>
      <c r="I17" s="25"/>
      <c r="J17" s="25"/>
      <c r="K17" s="25"/>
      <c r="L17" s="25"/>
    </row>
    <row r="18" spans="2:18" ht="15.75" x14ac:dyDescent="0.25">
      <c r="B18" s="24" t="s">
        <v>8</v>
      </c>
      <c r="C18" s="101">
        <f>(YEAR(C15)-YEAR(C14))*12+MONTH(C15)-MONTH(C14)+(DAY(C15)-DAY(C14))/30</f>
        <v>26</v>
      </c>
      <c r="D18" s="102"/>
      <c r="E18" s="25"/>
      <c r="F18" s="25"/>
      <c r="G18" s="25"/>
      <c r="H18" s="25"/>
      <c r="I18" s="25"/>
      <c r="J18" s="25"/>
      <c r="K18" s="25"/>
      <c r="L18" s="25"/>
    </row>
    <row r="19" spans="2:18" ht="15.75" x14ac:dyDescent="0.25">
      <c r="B19" s="24" t="s">
        <v>9</v>
      </c>
      <c r="C19" s="103">
        <f>1800*26/12</f>
        <v>3900</v>
      </c>
      <c r="D19" s="104"/>
      <c r="E19" s="25"/>
      <c r="F19" s="25"/>
      <c r="G19" s="25"/>
      <c r="H19" s="25"/>
      <c r="I19" s="25"/>
      <c r="J19" s="25"/>
      <c r="K19" s="25"/>
      <c r="L19" s="25"/>
    </row>
    <row r="20" spans="2:18" ht="15.75" x14ac:dyDescent="0.25">
      <c r="B20" s="26" t="s">
        <v>10</v>
      </c>
      <c r="C20" s="89">
        <f>ROUND(SUM(K31:L38),2)</f>
        <v>1095178.5900000001</v>
      </c>
      <c r="D20" s="90"/>
      <c r="E20" s="25"/>
      <c r="F20" s="25"/>
      <c r="G20" s="25"/>
      <c r="H20" s="25"/>
      <c r="I20" s="25"/>
      <c r="J20" s="25"/>
      <c r="K20" s="25"/>
      <c r="L20" s="25"/>
    </row>
    <row r="21" spans="2:18" ht="15.75" x14ac:dyDescent="0.25">
      <c r="B21" s="26" t="s">
        <v>11</v>
      </c>
      <c r="C21" s="89">
        <f>C20/C18</f>
        <v>42122.253461538465</v>
      </c>
      <c r="D21" s="90"/>
      <c r="E21" s="25"/>
      <c r="F21" s="25"/>
      <c r="G21" s="25"/>
      <c r="H21" s="25"/>
      <c r="I21" s="25"/>
      <c r="J21" s="25"/>
      <c r="K21" s="25"/>
      <c r="L21" s="25"/>
    </row>
    <row r="22" spans="2:18" ht="18.75" x14ac:dyDescent="0.3">
      <c r="B22" s="27"/>
      <c r="C22" s="25"/>
      <c r="D22" s="25"/>
      <c r="E22" s="25"/>
      <c r="F22" s="25"/>
      <c r="G22" s="25"/>
      <c r="H22" s="25"/>
      <c r="I22" s="25"/>
      <c r="J22" s="25"/>
      <c r="K22" s="25"/>
      <c r="L22" s="25"/>
    </row>
    <row r="23" spans="2:18" ht="18.75" customHeight="1" x14ac:dyDescent="0.25">
      <c r="B23" s="28"/>
      <c r="C23" s="91">
        <f>C20*1.21</f>
        <v>1325166.0939</v>
      </c>
      <c r="D23" s="91"/>
      <c r="E23" s="28"/>
      <c r="F23" s="28"/>
      <c r="G23" s="28"/>
      <c r="H23" s="28"/>
      <c r="I23" s="28"/>
      <c r="J23" s="28"/>
      <c r="K23" s="28"/>
      <c r="L23" s="28"/>
    </row>
    <row r="24" spans="2:18" ht="15.75" customHeight="1" x14ac:dyDescent="0.25">
      <c r="B24" s="92" t="s">
        <v>12</v>
      </c>
      <c r="C24" s="92"/>
      <c r="D24" s="92"/>
      <c r="E24" s="92"/>
      <c r="F24" s="92"/>
      <c r="G24" s="92"/>
      <c r="H24" s="92"/>
      <c r="I24" s="92"/>
      <c r="J24" s="92"/>
      <c r="K24" s="92"/>
      <c r="L24" s="92"/>
    </row>
    <row r="25" spans="2:18" ht="15" customHeight="1" x14ac:dyDescent="0.25"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</row>
    <row r="26" spans="2:18" ht="32.25" customHeight="1" x14ac:dyDescent="0.25"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</row>
    <row r="27" spans="2:18" ht="84.95" customHeight="1" x14ac:dyDescent="0.25"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</row>
    <row r="28" spans="2:18" ht="18.75" x14ac:dyDescent="0.3">
      <c r="B28" s="17"/>
      <c r="C28" s="29"/>
      <c r="D28" s="29"/>
    </row>
    <row r="29" spans="2:18" ht="36.75" customHeight="1" x14ac:dyDescent="0.25">
      <c r="B29" s="93" t="s">
        <v>13</v>
      </c>
      <c r="C29" s="93"/>
      <c r="D29" s="93"/>
      <c r="E29" s="93"/>
      <c r="F29" s="93"/>
      <c r="G29" s="93"/>
      <c r="H29" s="93"/>
      <c r="I29" s="93"/>
      <c r="J29" s="93"/>
      <c r="K29" s="93"/>
      <c r="L29" s="93"/>
    </row>
    <row r="30" spans="2:18" ht="33" customHeight="1" x14ac:dyDescent="0.25">
      <c r="B30" s="30" t="s">
        <v>14</v>
      </c>
      <c r="C30" s="94" t="s">
        <v>15</v>
      </c>
      <c r="D30" s="94"/>
      <c r="E30" s="94" t="s">
        <v>16</v>
      </c>
      <c r="F30" s="94"/>
      <c r="G30" s="94" t="s">
        <v>17</v>
      </c>
      <c r="H30" s="94"/>
      <c r="I30" s="94" t="s">
        <v>18</v>
      </c>
      <c r="J30" s="94"/>
      <c r="K30" s="94" t="s">
        <v>19</v>
      </c>
      <c r="L30" s="94"/>
    </row>
    <row r="31" spans="2:18" ht="25.7" customHeight="1" x14ac:dyDescent="0.25">
      <c r="B31" s="31" t="s">
        <v>20</v>
      </c>
      <c r="C31" s="79">
        <v>1</v>
      </c>
      <c r="D31" s="79"/>
      <c r="E31" s="80">
        <v>0.1</v>
      </c>
      <c r="F31" s="80"/>
      <c r="G31" s="81">
        <f t="shared" ref="G31:G38" si="0">$C$19*E31*C31</f>
        <v>390</v>
      </c>
      <c r="H31" s="81"/>
      <c r="I31" s="88">
        <f>#REF!</f>
        <v>75.688016528925615</v>
      </c>
      <c r="J31" s="88"/>
      <c r="K31" s="83">
        <f t="shared" ref="K31:K37" si="1">ROUND(G31*I31,2)</f>
        <v>29518.33</v>
      </c>
      <c r="L31" s="83"/>
      <c r="M31" s="31"/>
      <c r="N31" s="31"/>
      <c r="O31" s="31"/>
      <c r="P31" s="31"/>
      <c r="R31" s="32">
        <v>32636.67</v>
      </c>
    </row>
    <row r="32" spans="2:18" ht="25.7" customHeight="1" x14ac:dyDescent="0.25">
      <c r="B32" s="31" t="s">
        <v>21</v>
      </c>
      <c r="C32" s="79">
        <v>1.7</v>
      </c>
      <c r="D32" s="79"/>
      <c r="E32" s="80">
        <v>1</v>
      </c>
      <c r="F32" s="80"/>
      <c r="G32" s="81">
        <f t="shared" si="0"/>
        <v>6630</v>
      </c>
      <c r="H32" s="81"/>
      <c r="I32" s="82">
        <f>#REF!</f>
        <v>56.888429752066124</v>
      </c>
      <c r="J32" s="82"/>
      <c r="K32" s="83">
        <f t="shared" si="1"/>
        <v>377170.29</v>
      </c>
      <c r="L32" s="83"/>
      <c r="M32" s="33">
        <f>I32*1992</f>
        <v>113321.75206611572</v>
      </c>
      <c r="N32" s="33">
        <f>M32*0.0235</f>
        <v>2663.0611735537195</v>
      </c>
      <c r="O32" s="31"/>
      <c r="P32" s="31"/>
      <c r="R32" s="32">
        <v>367954.36</v>
      </c>
    </row>
    <row r="33" spans="2:18" ht="25.7" customHeight="1" x14ac:dyDescent="0.25">
      <c r="B33" s="31" t="s">
        <v>22</v>
      </c>
      <c r="C33" s="79">
        <v>1</v>
      </c>
      <c r="D33" s="79"/>
      <c r="E33" s="80">
        <v>0.7</v>
      </c>
      <c r="F33" s="80"/>
      <c r="G33" s="81">
        <f t="shared" si="0"/>
        <v>2730</v>
      </c>
      <c r="H33" s="81"/>
      <c r="I33" s="82">
        <f>#REF!</f>
        <v>52.826446280991739</v>
      </c>
      <c r="J33" s="82"/>
      <c r="K33" s="83">
        <f t="shared" si="1"/>
        <v>144216.20000000001</v>
      </c>
      <c r="L33" s="83"/>
      <c r="M33" s="33">
        <f>I33*1992</f>
        <v>105230.28099173555</v>
      </c>
      <c r="N33" s="33">
        <f>M33*0.0075</f>
        <v>789.22710743801656</v>
      </c>
      <c r="O33" s="31"/>
      <c r="P33" s="31"/>
      <c r="R33" s="32">
        <v>159451.35</v>
      </c>
    </row>
    <row r="34" spans="2:18" ht="25.7" customHeight="1" x14ac:dyDescent="0.25">
      <c r="B34" s="31" t="s">
        <v>23</v>
      </c>
      <c r="C34" s="79">
        <v>1</v>
      </c>
      <c r="D34" s="79"/>
      <c r="E34" s="80">
        <v>0.52</v>
      </c>
      <c r="F34" s="80"/>
      <c r="G34" s="81">
        <f t="shared" si="0"/>
        <v>2028</v>
      </c>
      <c r="H34" s="81"/>
      <c r="I34" s="82">
        <f>#REF!</f>
        <v>55.095041322314053</v>
      </c>
      <c r="J34" s="82"/>
      <c r="K34" s="83">
        <f t="shared" si="1"/>
        <v>111732.74</v>
      </c>
      <c r="L34" s="83"/>
      <c r="M34" s="33">
        <f>I34*1992</f>
        <v>109749.3223140496</v>
      </c>
      <c r="N34" s="33">
        <f>M34*0.04</f>
        <v>4389.9728925619838</v>
      </c>
      <c r="O34" s="86">
        <f>SUM(K31:L34)*1.21</f>
        <v>801791.44760000007</v>
      </c>
      <c r="P34" s="87"/>
      <c r="R34" s="32">
        <v>135414.79999999999</v>
      </c>
    </row>
    <row r="35" spans="2:18" ht="25.7" customHeight="1" x14ac:dyDescent="0.25">
      <c r="B35" s="31" t="s">
        <v>24</v>
      </c>
      <c r="C35" s="79">
        <v>1</v>
      </c>
      <c r="D35" s="79"/>
      <c r="E35" s="80">
        <v>0.1</v>
      </c>
      <c r="F35" s="80"/>
      <c r="G35" s="81">
        <f t="shared" si="0"/>
        <v>390</v>
      </c>
      <c r="H35" s="81"/>
      <c r="I35" s="82">
        <f>#REF!</f>
        <v>75.688016528925615</v>
      </c>
      <c r="J35" s="82"/>
      <c r="K35" s="83">
        <f t="shared" si="1"/>
        <v>29518.33</v>
      </c>
      <c r="L35" s="83"/>
      <c r="M35" s="31"/>
      <c r="N35" s="31"/>
      <c r="O35" s="31"/>
      <c r="P35" s="31"/>
      <c r="R35" s="32">
        <v>32636.67</v>
      </c>
    </row>
    <row r="36" spans="2:18" ht="25.7" customHeight="1" x14ac:dyDescent="0.25">
      <c r="B36" s="34" t="s">
        <v>25</v>
      </c>
      <c r="C36" s="79">
        <v>1</v>
      </c>
      <c r="D36" s="79"/>
      <c r="E36" s="80">
        <v>0.55000000000000004</v>
      </c>
      <c r="F36" s="80"/>
      <c r="G36" s="81">
        <f t="shared" si="0"/>
        <v>2145</v>
      </c>
      <c r="H36" s="81"/>
      <c r="I36" s="82">
        <f>#REF!</f>
        <v>56.888429752066124</v>
      </c>
      <c r="J36" s="82"/>
      <c r="K36" s="83">
        <f t="shared" si="1"/>
        <v>122025.68</v>
      </c>
      <c r="L36" s="83"/>
      <c r="M36" s="31"/>
      <c r="N36" s="31"/>
      <c r="O36" s="31"/>
      <c r="P36" s="31"/>
      <c r="R36" s="32">
        <v>110386.31</v>
      </c>
    </row>
    <row r="37" spans="2:18" ht="25.7" customHeight="1" x14ac:dyDescent="0.25">
      <c r="B37" s="34" t="s">
        <v>26</v>
      </c>
      <c r="C37" s="79">
        <v>1.2</v>
      </c>
      <c r="D37" s="79"/>
      <c r="E37" s="80">
        <v>1</v>
      </c>
      <c r="F37" s="80"/>
      <c r="G37" s="81">
        <f t="shared" si="0"/>
        <v>4680</v>
      </c>
      <c r="H37" s="81"/>
      <c r="I37" s="82">
        <f>#REF!</f>
        <v>56.888429752066124</v>
      </c>
      <c r="J37" s="82"/>
      <c r="K37" s="83">
        <f t="shared" si="1"/>
        <v>266237.84999999998</v>
      </c>
      <c r="L37" s="83"/>
      <c r="M37" s="33">
        <f>I37*1992</f>
        <v>113321.75206611572</v>
      </c>
      <c r="N37" s="33">
        <f>M37*0.0833</f>
        <v>9439.70194710744</v>
      </c>
      <c r="O37" s="31"/>
      <c r="P37" s="35">
        <f>SUM(K35:L37)*1.21</f>
        <v>505516.05059999996</v>
      </c>
      <c r="R37" s="32">
        <v>245302.91</v>
      </c>
    </row>
    <row r="38" spans="2:18" ht="25.7" customHeight="1" x14ac:dyDescent="0.25">
      <c r="B38" s="34" t="s">
        <v>27</v>
      </c>
      <c r="C38" s="79">
        <v>1</v>
      </c>
      <c r="D38" s="79"/>
      <c r="E38" s="80">
        <v>0.05</v>
      </c>
      <c r="F38" s="80"/>
      <c r="G38" s="81">
        <f t="shared" si="0"/>
        <v>195</v>
      </c>
      <c r="H38" s="81"/>
      <c r="I38" s="82">
        <f>#REF!</f>
        <v>75.688016528925615</v>
      </c>
      <c r="J38" s="82"/>
      <c r="K38" s="83">
        <f>ROUND(G38*I38,2)+0.01</f>
        <v>14759.17</v>
      </c>
      <c r="L38" s="83"/>
      <c r="M38" s="31"/>
      <c r="N38" s="31"/>
      <c r="O38" s="84">
        <f>SUM(O34:P37)+K38*1.21</f>
        <v>1325166.0939</v>
      </c>
      <c r="P38" s="85"/>
      <c r="R38" s="32">
        <v>13054.67</v>
      </c>
    </row>
    <row r="39" spans="2:18" x14ac:dyDescent="0.25">
      <c r="B39" s="77" t="s">
        <v>28</v>
      </c>
      <c r="C39" s="77"/>
      <c r="D39" s="77"/>
      <c r="E39" s="77"/>
      <c r="F39" s="77"/>
      <c r="G39" s="77"/>
      <c r="H39" s="77"/>
      <c r="I39" s="77"/>
      <c r="J39" s="77"/>
      <c r="K39" s="78">
        <f>SUM(K31:L38)</f>
        <v>1095178.5899999999</v>
      </c>
      <c r="L39" s="78"/>
    </row>
    <row r="40" spans="2:18" ht="22.5" customHeight="1" x14ac:dyDescent="0.25">
      <c r="B40" s="36"/>
      <c r="C40" s="36"/>
      <c r="D40" s="36"/>
      <c r="E40" s="36"/>
      <c r="F40" s="36"/>
      <c r="G40" s="36"/>
      <c r="H40" s="36"/>
      <c r="I40" s="36"/>
      <c r="J40" s="36"/>
      <c r="K40" s="37"/>
      <c r="L40" s="37"/>
    </row>
  </sheetData>
  <mergeCells count="61">
    <mergeCell ref="C20:D20"/>
    <mergeCell ref="B11:C11"/>
    <mergeCell ref="C14:D14"/>
    <mergeCell ref="C15:D15"/>
    <mergeCell ref="C16:D16"/>
    <mergeCell ref="C17:D17"/>
    <mergeCell ref="C18:D18"/>
    <mergeCell ref="C19:D19"/>
    <mergeCell ref="C21:D21"/>
    <mergeCell ref="C23:D23"/>
    <mergeCell ref="B24:L27"/>
    <mergeCell ref="B29:L29"/>
    <mergeCell ref="C30:D30"/>
    <mergeCell ref="E30:F30"/>
    <mergeCell ref="G30:H30"/>
    <mergeCell ref="I30:J30"/>
    <mergeCell ref="K30:L30"/>
    <mergeCell ref="C32:D32"/>
    <mergeCell ref="E32:F32"/>
    <mergeCell ref="G32:H32"/>
    <mergeCell ref="I32:J32"/>
    <mergeCell ref="K32:L32"/>
    <mergeCell ref="C31:D31"/>
    <mergeCell ref="E31:F31"/>
    <mergeCell ref="G31:H31"/>
    <mergeCell ref="I31:J31"/>
    <mergeCell ref="K31:L31"/>
    <mergeCell ref="C33:D33"/>
    <mergeCell ref="E33:F33"/>
    <mergeCell ref="G33:H33"/>
    <mergeCell ref="I33:J33"/>
    <mergeCell ref="K33:L33"/>
    <mergeCell ref="O34:P34"/>
    <mergeCell ref="C35:D35"/>
    <mergeCell ref="E35:F35"/>
    <mergeCell ref="G35:H35"/>
    <mergeCell ref="I35:J35"/>
    <mergeCell ref="K35:L35"/>
    <mergeCell ref="C34:D34"/>
    <mergeCell ref="E34:F34"/>
    <mergeCell ref="G34:H34"/>
    <mergeCell ref="I34:J34"/>
    <mergeCell ref="K34:L34"/>
    <mergeCell ref="O38:P38"/>
    <mergeCell ref="C36:D36"/>
    <mergeCell ref="E36:F36"/>
    <mergeCell ref="G36:H36"/>
    <mergeCell ref="I36:J36"/>
    <mergeCell ref="K36:L36"/>
    <mergeCell ref="C37:D37"/>
    <mergeCell ref="E37:F37"/>
    <mergeCell ref="G37:H37"/>
    <mergeCell ref="I37:J37"/>
    <mergeCell ref="K37:L37"/>
    <mergeCell ref="B39:J39"/>
    <mergeCell ref="K39:L39"/>
    <mergeCell ref="C38:D38"/>
    <mergeCell ref="E38:F38"/>
    <mergeCell ref="G38:H38"/>
    <mergeCell ref="I38:J38"/>
    <mergeCell ref="K38:L38"/>
  </mergeCells>
  <conditionalFormatting sqref="K31:L38 C31:H38">
    <cfRule type="expression" dxfId="64" priority="55">
      <formula>#REF!="Consultoria de processos TIC"</formula>
    </cfRule>
    <cfRule type="expression" dxfId="63" priority="56">
      <formula>#REF!="Consultoria estratègica"</formula>
    </cfRule>
    <cfRule type="expression" dxfId="62" priority="57">
      <formula>#REF!="Avantprojectes"</formula>
    </cfRule>
  </conditionalFormatting>
  <conditionalFormatting sqref="K31:L38 C31:H38">
    <cfRule type="expression" dxfId="61" priority="58">
      <formula>#REF!="Construcció Python aplicacions"</formula>
    </cfRule>
    <cfRule type="expression" dxfId="60" priority="59">
      <formula>#REF!="Construcció Python sist inf"</formula>
    </cfRule>
    <cfRule type="expression" dxfId="59" priority="60">
      <formula>#REF!="Construcció J2EE"</formula>
    </cfRule>
  </conditionalFormatting>
  <conditionalFormatting sqref="K31:L38 C31:H38">
    <cfRule type="expression" dxfId="58" priority="61">
      <formula>#REF!="Construcció SAP"</formula>
    </cfRule>
  </conditionalFormatting>
  <conditionalFormatting sqref="K31:L38 C31:H38">
    <cfRule type="expression" dxfId="57" priority="62">
      <formula>#REF!="Construcció Data Analysis"</formula>
    </cfRule>
  </conditionalFormatting>
  <conditionalFormatting sqref="K31:L38 C31:H38">
    <cfRule type="expression" dxfId="56" priority="63">
      <formula>#REF!="Gestió"</formula>
    </cfRule>
  </conditionalFormatting>
  <conditionalFormatting sqref="K31:L38 C31:H38">
    <cfRule type="expression" dxfId="55" priority="64">
      <formula>#REF!="Consultoria tecnològica"</formula>
    </cfRule>
  </conditionalFormatting>
  <conditionalFormatting sqref="I31 B31:B38">
    <cfRule type="expression" dxfId="54" priority="45">
      <formula>#REF!="Consultoria tecnològica"</formula>
    </cfRule>
  </conditionalFormatting>
  <conditionalFormatting sqref="I31 B31:B35">
    <cfRule type="expression" dxfId="53" priority="52">
      <formula>#REF!="Consultoria de processos TIC"</formula>
    </cfRule>
    <cfRule type="expression" dxfId="52" priority="53">
      <formula>#REF!="Consultoria estratègica"</formula>
    </cfRule>
    <cfRule type="expression" dxfId="51" priority="54">
      <formula>#REF!="Avantprojectes"</formula>
    </cfRule>
  </conditionalFormatting>
  <conditionalFormatting sqref="I31 B31:B38">
    <cfRule type="expression" dxfId="50" priority="47">
      <formula>#REF!="Construcció Python aplicacions"</formula>
    </cfRule>
    <cfRule type="expression" dxfId="49" priority="48">
      <formula>#REF!="Construcció Python sist inf"</formula>
    </cfRule>
    <cfRule type="expression" dxfId="48" priority="51">
      <formula>#REF!="Construcció J2EE"</formula>
    </cfRule>
  </conditionalFormatting>
  <conditionalFormatting sqref="I31 B31:B38">
    <cfRule type="expression" dxfId="47" priority="50">
      <formula>#REF!="Construcció SAP"</formula>
    </cfRule>
  </conditionalFormatting>
  <conditionalFormatting sqref="I31 B31:B38">
    <cfRule type="expression" dxfId="46" priority="49">
      <formula>#REF!="Construcció Data Analysis"</formula>
    </cfRule>
  </conditionalFormatting>
  <conditionalFormatting sqref="I31 B31:B38">
    <cfRule type="expression" dxfId="45" priority="46">
      <formula>#REF!="Gestió"</formula>
    </cfRule>
  </conditionalFormatting>
  <conditionalFormatting sqref="I31">
    <cfRule type="cellIs" dxfId="44" priority="44" operator="equal">
      <formula>0</formula>
    </cfRule>
  </conditionalFormatting>
  <conditionalFormatting sqref="I32:I33">
    <cfRule type="expression" dxfId="43" priority="34">
      <formula>#REF!="Consultoria tecnològica"</formula>
    </cfRule>
  </conditionalFormatting>
  <conditionalFormatting sqref="I32:I33">
    <cfRule type="expression" dxfId="42" priority="41">
      <formula>#REF!="Consultoria de processos TIC"</formula>
    </cfRule>
    <cfRule type="expression" dxfId="41" priority="42">
      <formula>#REF!="Consultoria estratègica"</formula>
    </cfRule>
    <cfRule type="expression" dxfId="40" priority="43">
      <formula>#REF!="Avantprojectes"</formula>
    </cfRule>
  </conditionalFormatting>
  <conditionalFormatting sqref="I32:I33">
    <cfRule type="expression" dxfId="39" priority="36">
      <formula>#REF!="Construcció Python aplicacions"</formula>
    </cfRule>
    <cfRule type="expression" dxfId="38" priority="37">
      <formula>#REF!="Construcció Python sist inf"</formula>
    </cfRule>
    <cfRule type="expression" dxfId="37" priority="40">
      <formula>#REF!="Construcció J2EE"</formula>
    </cfRule>
  </conditionalFormatting>
  <conditionalFormatting sqref="I32:I33">
    <cfRule type="expression" dxfId="36" priority="39">
      <formula>#REF!="Construcció SAP"</formula>
    </cfRule>
  </conditionalFormatting>
  <conditionalFormatting sqref="I32:I33">
    <cfRule type="expression" dxfId="35" priority="38">
      <formula>#REF!="Construcció Data Analysis"</formula>
    </cfRule>
  </conditionalFormatting>
  <conditionalFormatting sqref="I32:I33">
    <cfRule type="expression" dxfId="34" priority="35">
      <formula>#REF!="Gestió"</formula>
    </cfRule>
  </conditionalFormatting>
  <conditionalFormatting sqref="I32:I33">
    <cfRule type="cellIs" dxfId="33" priority="33" operator="equal">
      <formula>0</formula>
    </cfRule>
  </conditionalFormatting>
  <conditionalFormatting sqref="I36:I38">
    <cfRule type="cellIs" dxfId="32" priority="11" operator="equal">
      <formula>0</formula>
    </cfRule>
  </conditionalFormatting>
  <conditionalFormatting sqref="I34:I35">
    <cfRule type="expression" dxfId="31" priority="23">
      <formula>#REF!="Consultoria tecnològica"</formula>
    </cfRule>
  </conditionalFormatting>
  <conditionalFormatting sqref="I34:I35">
    <cfRule type="expression" dxfId="30" priority="30">
      <formula>#REF!="Consultoria de processos TIC"</formula>
    </cfRule>
    <cfRule type="expression" dxfId="29" priority="31">
      <formula>#REF!="Consultoria estratègica"</formula>
    </cfRule>
    <cfRule type="expression" dxfId="28" priority="32">
      <formula>#REF!="Avantprojectes"</formula>
    </cfRule>
  </conditionalFormatting>
  <conditionalFormatting sqref="I34:I35">
    <cfRule type="expression" dxfId="27" priority="25">
      <formula>#REF!="Construcció Python aplicacions"</formula>
    </cfRule>
    <cfRule type="expression" dxfId="26" priority="26">
      <formula>#REF!="Construcció Python sist inf"</formula>
    </cfRule>
    <cfRule type="expression" dxfId="25" priority="29">
      <formula>#REF!="Construcció J2EE"</formula>
    </cfRule>
  </conditionalFormatting>
  <conditionalFormatting sqref="I34:I35">
    <cfRule type="expression" dxfId="24" priority="28">
      <formula>#REF!="Construcció SAP"</formula>
    </cfRule>
  </conditionalFormatting>
  <conditionalFormatting sqref="I34:I35">
    <cfRule type="expression" dxfId="23" priority="27">
      <formula>#REF!="Construcció Data Analysis"</formula>
    </cfRule>
  </conditionalFormatting>
  <conditionalFormatting sqref="I34:I35">
    <cfRule type="expression" dxfId="22" priority="24">
      <formula>#REF!="Gestió"</formula>
    </cfRule>
  </conditionalFormatting>
  <conditionalFormatting sqref="I34:I35">
    <cfRule type="cellIs" dxfId="21" priority="22" operator="equal">
      <formula>0</formula>
    </cfRule>
  </conditionalFormatting>
  <conditionalFormatting sqref="I36:I38">
    <cfRule type="expression" dxfId="20" priority="12">
      <formula>#REF!="Consultoria tecnològica"</formula>
    </cfRule>
  </conditionalFormatting>
  <conditionalFormatting sqref="I36:I38">
    <cfRule type="expression" dxfId="19" priority="19">
      <formula>#REF!="Consultoria de processos TIC"</formula>
    </cfRule>
    <cfRule type="expression" dxfId="18" priority="20">
      <formula>#REF!="Consultoria estratègica"</formula>
    </cfRule>
    <cfRule type="expression" dxfId="17" priority="21">
      <formula>#REF!="Avantprojectes"</formula>
    </cfRule>
  </conditionalFormatting>
  <conditionalFormatting sqref="I36:I38">
    <cfRule type="expression" dxfId="16" priority="14">
      <formula>#REF!="Construcció Python aplicacions"</formula>
    </cfRule>
    <cfRule type="expression" dxfId="15" priority="15">
      <formula>#REF!="Construcció Python sist inf"</formula>
    </cfRule>
    <cfRule type="expression" dxfId="14" priority="18">
      <formula>#REF!="Construcció J2EE"</formula>
    </cfRule>
  </conditionalFormatting>
  <conditionalFormatting sqref="I36:I38">
    <cfRule type="expression" dxfId="13" priority="17">
      <formula>#REF!="Construcció SAP"</formula>
    </cfRule>
  </conditionalFormatting>
  <conditionalFormatting sqref="I36:I38">
    <cfRule type="expression" dxfId="12" priority="16">
      <formula>#REF!="Construcció Data Analysis"</formula>
    </cfRule>
  </conditionalFormatting>
  <conditionalFormatting sqref="I36:I38">
    <cfRule type="expression" dxfId="11" priority="13">
      <formula>#REF!="Gestió"</formula>
    </cfRule>
  </conditionalFormatting>
  <conditionalFormatting sqref="R31:R38">
    <cfRule type="expression" dxfId="10" priority="1">
      <formula>#REF!="Consultoria de processos TIC"</formula>
    </cfRule>
    <cfRule type="expression" dxfId="9" priority="2">
      <formula>#REF!="Consultoria estratègica"</formula>
    </cfRule>
    <cfRule type="expression" dxfId="8" priority="3">
      <formula>#REF!="Avantprojectes"</formula>
    </cfRule>
  </conditionalFormatting>
  <conditionalFormatting sqref="R31:R38">
    <cfRule type="expression" dxfId="7" priority="4">
      <formula>#REF!="Construcció Python aplicacions"</formula>
    </cfRule>
    <cfRule type="expression" dxfId="6" priority="5">
      <formula>#REF!="Construcció Python sist inf"</formula>
    </cfRule>
    <cfRule type="expression" dxfId="5" priority="6">
      <formula>#REF!="Construcció J2EE"</formula>
    </cfRule>
  </conditionalFormatting>
  <conditionalFormatting sqref="R31:R38">
    <cfRule type="expression" dxfId="4" priority="7">
      <formula>#REF!="Construcció SAP"</formula>
    </cfRule>
  </conditionalFormatting>
  <conditionalFormatting sqref="R31:R38">
    <cfRule type="expression" dxfId="3" priority="8">
      <formula>#REF!="Construcció Data Analysis"</formula>
    </cfRule>
  </conditionalFormatting>
  <conditionalFormatting sqref="R31:R38">
    <cfRule type="expression" dxfId="2" priority="9">
      <formula>#REF!="Gestió"</formula>
    </cfRule>
  </conditionalFormatting>
  <conditionalFormatting sqref="R31:R38">
    <cfRule type="expression" dxfId="1" priority="10">
      <formula>#REF!="Consultoria tecnològica"</formula>
    </cfRule>
  </conditionalFormatting>
  <pageMargins left="0.23622047244094491" right="0.23622047244094491" top="0.94488188976377963" bottom="0.74803149606299213" header="0.31496062992125984" footer="0.31496062992125984"/>
  <pageSetup paperSize="9" scale="77" fitToHeight="0" orientation="portrait" r:id="rId1"/>
  <headerFooter differentFirst="1">
    <oddHeader>&amp;L&amp;G&amp;R&amp;"-,Negreta"Institut Municipal d'Informàtica&amp;"-,Normal"
&amp;"-,Cursiva"Direcció d'Estratègia i Nous Projectes</oddHeader>
    <oddFooter>Pàgina &amp;P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O77"/>
  <sheetViews>
    <sheetView showGridLines="0" zoomScale="120" zoomScaleNormal="120" workbookViewId="0">
      <selection activeCell="F12" sqref="F12"/>
    </sheetView>
  </sheetViews>
  <sheetFormatPr defaultColWidth="9.140625" defaultRowHeight="15" x14ac:dyDescent="0.25"/>
  <cols>
    <col min="1" max="1" width="2.7109375" customWidth="1"/>
    <col min="2" max="2" width="38.85546875" customWidth="1"/>
    <col min="4" max="4" width="12.85546875" customWidth="1"/>
    <col min="5" max="5" width="5.5703125" customWidth="1"/>
    <col min="6" max="6" width="15.7109375" bestFit="1" customWidth="1"/>
    <col min="7" max="8" width="7" customWidth="1"/>
    <col min="9" max="9" width="11.42578125" customWidth="1"/>
    <col min="10" max="10" width="14.140625" bestFit="1" customWidth="1"/>
    <col min="11" max="11" width="11" customWidth="1"/>
    <col min="12" max="12" width="25.85546875" customWidth="1"/>
    <col min="13" max="13" width="12.42578125" bestFit="1" customWidth="1"/>
    <col min="14" max="14" width="15" customWidth="1"/>
    <col min="17" max="17" width="9.140625" customWidth="1"/>
  </cols>
  <sheetData>
    <row r="3" spans="2:13" ht="43.5" customHeight="1" x14ac:dyDescent="0.25">
      <c r="B3" s="1" t="s">
        <v>0</v>
      </c>
    </row>
    <row r="4" spans="2:13" ht="20.45" customHeight="1" x14ac:dyDescent="0.25">
      <c r="B4" s="2" t="s">
        <v>1</v>
      </c>
    </row>
    <row r="5" spans="2:13" ht="18.75" customHeight="1" x14ac:dyDescent="0.3">
      <c r="B5" s="3"/>
      <c r="C5" s="4"/>
      <c r="D5" s="4"/>
      <c r="E5" s="4"/>
      <c r="F5" s="4"/>
      <c r="G5" s="5"/>
      <c r="H5" s="4"/>
      <c r="I5" s="4"/>
      <c r="J5" s="4"/>
      <c r="K5" s="4"/>
      <c r="L5" s="6"/>
    </row>
    <row r="6" spans="2:13" ht="18.75" customHeight="1" x14ac:dyDescent="0.3">
      <c r="B6" s="7" t="s">
        <v>2</v>
      </c>
      <c r="C6" s="8"/>
      <c r="D6" s="8"/>
      <c r="E6" s="8"/>
      <c r="F6" s="9">
        <v>21000112</v>
      </c>
      <c r="G6" s="8"/>
      <c r="H6" s="10"/>
      <c r="I6" s="10"/>
      <c r="J6" s="10"/>
      <c r="K6" s="10"/>
      <c r="L6" s="11"/>
    </row>
    <row r="7" spans="2:13" ht="18.75" customHeight="1" x14ac:dyDescent="0.3">
      <c r="B7" s="12"/>
      <c r="C7" s="13"/>
      <c r="D7" s="13"/>
      <c r="E7" s="13"/>
      <c r="F7" s="13"/>
      <c r="G7" s="13"/>
      <c r="H7" s="14"/>
      <c r="I7" s="14"/>
      <c r="J7" s="14"/>
      <c r="K7" s="14"/>
      <c r="L7" s="15"/>
    </row>
    <row r="8" spans="2:13" ht="18.75" x14ac:dyDescent="0.3"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</row>
    <row r="9" spans="2:13" ht="15" customHeight="1" x14ac:dyDescent="0.25"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</row>
    <row r="10" spans="2:13" ht="18.75" x14ac:dyDescent="0.3">
      <c r="B10" s="21"/>
    </row>
    <row r="11" spans="2:13" ht="18.75" customHeight="1" x14ac:dyDescent="0.3">
      <c r="B11" s="38" t="s">
        <v>29</v>
      </c>
      <c r="C11" s="16"/>
      <c r="D11" s="39">
        <f>InformeJustificatiu!C31</f>
        <v>26</v>
      </c>
      <c r="E11" s="148" t="s">
        <v>30</v>
      </c>
      <c r="F11" s="148"/>
      <c r="G11" s="148"/>
      <c r="H11" s="148"/>
      <c r="I11" s="148"/>
      <c r="J11" s="148"/>
      <c r="K11" s="148"/>
      <c r="L11" s="148"/>
    </row>
    <row r="12" spans="2:13" ht="18.75" customHeight="1" x14ac:dyDescent="0.3">
      <c r="B12" s="40" t="str">
        <f>CONCATENATE(DAY(InformeJustificatiu!C28), " de ",TEXT(InformeJustificatiu!C28,"mmmm")," de ",YEAR(InformeJustificatiu!C28),".")</f>
        <v>15 de febrer de 2024.</v>
      </c>
      <c r="C12" s="16"/>
      <c r="D12" s="41"/>
      <c r="E12" s="41"/>
      <c r="F12" s="41"/>
      <c r="G12" s="41"/>
      <c r="H12" s="41"/>
      <c r="I12" s="41"/>
      <c r="J12" s="41"/>
      <c r="K12" s="41"/>
      <c r="L12" s="41"/>
    </row>
    <row r="13" spans="2:13" ht="18.75" customHeight="1" x14ac:dyDescent="0.25"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1"/>
    </row>
    <row r="14" spans="2:13" ht="22.5" customHeight="1" x14ac:dyDescent="0.3">
      <c r="B14" s="38" t="s">
        <v>31</v>
      </c>
      <c r="C14" s="149">
        <f>InformeJustificatiu!C33+0.01</f>
        <v>1095178.5900000001</v>
      </c>
      <c r="D14" s="149"/>
      <c r="E14" s="43" t="s">
        <v>32</v>
      </c>
      <c r="F14" s="43"/>
      <c r="G14" s="43"/>
      <c r="H14" s="43"/>
      <c r="I14" s="43"/>
      <c r="J14" s="44"/>
      <c r="K14" s="150" t="str">
        <f>CONCATENATE("( ",ROUND(C14*0.21,2)," € ","),")</f>
        <v>( 229987,5 € ),</v>
      </c>
      <c r="L14" s="150"/>
    </row>
    <row r="15" spans="2:13" ht="22.5" customHeight="1" x14ac:dyDescent="0.25">
      <c r="B15" s="38" t="s">
        <v>33</v>
      </c>
      <c r="C15" s="151">
        <f>C14+ROUND(C14*0.21,2)</f>
        <v>1325166.0900000001</v>
      </c>
      <c r="D15" s="151"/>
      <c r="E15" s="45"/>
      <c r="F15" s="45"/>
      <c r="G15" s="45"/>
      <c r="H15" s="45"/>
      <c r="I15" s="45"/>
      <c r="J15" s="46"/>
      <c r="K15" s="46"/>
      <c r="L15" s="47"/>
      <c r="M15" t="s">
        <v>34</v>
      </c>
    </row>
    <row r="16" spans="2:13" ht="18.75" x14ac:dyDescent="0.3">
      <c r="B16" s="21"/>
      <c r="C16" s="44"/>
      <c r="D16" s="44"/>
      <c r="E16" s="44"/>
      <c r="F16" s="44"/>
      <c r="G16" s="44"/>
      <c r="H16" s="44"/>
      <c r="I16" s="44"/>
      <c r="J16" s="44"/>
      <c r="K16" s="44"/>
      <c r="L16" s="44"/>
    </row>
    <row r="17" spans="2:12" ht="22.5" customHeight="1" x14ac:dyDescent="0.25">
      <c r="B17" s="92" t="s">
        <v>35</v>
      </c>
      <c r="C17" s="92"/>
      <c r="D17" s="92"/>
      <c r="E17" s="92"/>
      <c r="F17" s="92"/>
      <c r="G17" s="92"/>
      <c r="H17" s="92"/>
      <c r="I17" s="92"/>
      <c r="J17" s="92"/>
      <c r="K17" s="28"/>
      <c r="L17" s="28"/>
    </row>
    <row r="18" spans="2:12" ht="18.75" customHeight="1" x14ac:dyDescent="0.25">
      <c r="B18" s="92"/>
      <c r="C18" s="92"/>
      <c r="D18" s="92"/>
      <c r="E18" s="92"/>
      <c r="F18" s="92"/>
      <c r="G18" s="92"/>
      <c r="H18" s="92"/>
      <c r="I18" s="92"/>
      <c r="J18" s="92"/>
      <c r="K18" s="28"/>
      <c r="L18" s="28"/>
    </row>
    <row r="19" spans="2:12" ht="22.5" customHeight="1" x14ac:dyDescent="0.25">
      <c r="B19" s="48" t="s">
        <v>36</v>
      </c>
      <c r="C19" s="152" t="s">
        <v>37</v>
      </c>
      <c r="D19" s="153"/>
      <c r="E19" s="154"/>
      <c r="F19" s="152" t="s">
        <v>38</v>
      </c>
      <c r="G19" s="153"/>
      <c r="H19" s="154"/>
      <c r="I19" s="152" t="s">
        <v>39</v>
      </c>
      <c r="J19" s="154"/>
      <c r="K19" s="49" t="s">
        <v>40</v>
      </c>
    </row>
    <row r="20" spans="2:12" x14ac:dyDescent="0.25">
      <c r="B20" s="50">
        <v>2021</v>
      </c>
      <c r="C20" s="143">
        <f>ROUND($C$14*L20,2)</f>
        <v>21061.13</v>
      </c>
      <c r="D20" s="143"/>
      <c r="E20" s="143"/>
      <c r="F20" s="144">
        <f>C20*0.21</f>
        <v>4422.8373000000001</v>
      </c>
      <c r="G20" s="144"/>
      <c r="H20" s="144"/>
      <c r="I20" s="144">
        <f>ROUND($C$15/$D$11*K20,2)+0.01</f>
        <v>25483.969999999998</v>
      </c>
      <c r="J20" s="144"/>
      <c r="K20" s="51">
        <v>0.5</v>
      </c>
      <c r="L20" s="52">
        <f>K20/$D$11</f>
        <v>1.9230769230769232E-2</v>
      </c>
    </row>
    <row r="21" spans="2:12" ht="15.75" customHeight="1" x14ac:dyDescent="0.25">
      <c r="B21" s="50">
        <v>2022</v>
      </c>
      <c r="C21" s="143">
        <f>ROUND($C$14*L21,2)</f>
        <v>505467.04</v>
      </c>
      <c r="D21" s="143"/>
      <c r="E21" s="143"/>
      <c r="F21" s="144">
        <f>C21*0.21</f>
        <v>106148.0784</v>
      </c>
      <c r="G21" s="144"/>
      <c r="H21" s="144"/>
      <c r="I21" s="144">
        <f>$C$15/$D$11*K21+0.01</f>
        <v>611615.12846153858</v>
      </c>
      <c r="J21" s="144"/>
      <c r="K21" s="51">
        <v>12</v>
      </c>
      <c r="L21">
        <f>K21/$D$11</f>
        <v>0.46153846153846156</v>
      </c>
    </row>
    <row r="22" spans="2:12" x14ac:dyDescent="0.25">
      <c r="B22" s="50">
        <v>2023</v>
      </c>
      <c r="C22" s="143">
        <f>ROUND($C$14*L22,2)</f>
        <v>505467.04</v>
      </c>
      <c r="D22" s="143"/>
      <c r="E22" s="143"/>
      <c r="F22" s="144">
        <f>C22*0.21</f>
        <v>106148.0784</v>
      </c>
      <c r="G22" s="144"/>
      <c r="H22" s="144"/>
      <c r="I22" s="144">
        <f>$C$15/$D$11*K22+0.01</f>
        <v>611615.12846153858</v>
      </c>
      <c r="J22" s="144"/>
      <c r="K22" s="51">
        <v>12</v>
      </c>
      <c r="L22">
        <f>K22/$D$11</f>
        <v>0.46153846153846156</v>
      </c>
    </row>
    <row r="23" spans="2:12" ht="14.25" customHeight="1" x14ac:dyDescent="0.25">
      <c r="B23" s="50">
        <v>2024</v>
      </c>
      <c r="C23" s="143">
        <f>ROUND($C$14*L23,2)</f>
        <v>63183.38</v>
      </c>
      <c r="D23" s="143"/>
      <c r="E23" s="143"/>
      <c r="F23" s="145">
        <f>C23*0.21-0.01</f>
        <v>13268.4998</v>
      </c>
      <c r="G23" s="146"/>
      <c r="H23" s="147"/>
      <c r="I23" s="144">
        <f>$C$15/$D$11*K23-0.01</f>
        <v>76451.879807692327</v>
      </c>
      <c r="J23" s="144"/>
      <c r="K23" s="53">
        <v>1.5</v>
      </c>
      <c r="L23">
        <f>K23/$D$11</f>
        <v>5.7692307692307696E-2</v>
      </c>
    </row>
    <row r="24" spans="2:12" ht="18.75" x14ac:dyDescent="0.3">
      <c r="B24" s="54" t="s">
        <v>28</v>
      </c>
      <c r="C24" s="134">
        <f>SUM(I20:J23)-0.01</f>
        <v>1325166.0967307694</v>
      </c>
      <c r="D24" s="135"/>
      <c r="E24" s="135"/>
      <c r="F24" s="135"/>
      <c r="G24" s="135"/>
      <c r="H24" s="135"/>
      <c r="I24" s="135"/>
      <c r="J24" s="136"/>
    </row>
    <row r="25" spans="2:12" ht="18.75" x14ac:dyDescent="0.3">
      <c r="B25" s="17"/>
      <c r="C25" s="137">
        <f>SUM(C20:E23)</f>
        <v>1095178.5899999999</v>
      </c>
      <c r="D25" s="137"/>
      <c r="E25" s="137"/>
      <c r="F25" s="138">
        <f>SUM(F20:H23)+0.01</f>
        <v>229987.50390000001</v>
      </c>
      <c r="G25" s="138"/>
      <c r="H25" s="138"/>
      <c r="I25" s="139">
        <f>C25+F25</f>
        <v>1325166.0938999997</v>
      </c>
      <c r="J25" s="139"/>
      <c r="K25">
        <f>SUM(K20:K24)</f>
        <v>26</v>
      </c>
    </row>
    <row r="26" spans="2:12" ht="15.75" x14ac:dyDescent="0.25">
      <c r="B26" s="55" t="s">
        <v>41</v>
      </c>
      <c r="C26" s="51"/>
      <c r="D26" s="51"/>
      <c r="E26" s="51"/>
    </row>
    <row r="27" spans="2:12" x14ac:dyDescent="0.25">
      <c r="B27" s="56" t="s">
        <v>42</v>
      </c>
      <c r="C27" s="140"/>
      <c r="D27" s="140"/>
      <c r="E27" s="140"/>
    </row>
    <row r="28" spans="2:12" x14ac:dyDescent="0.25">
      <c r="B28" s="57" t="s">
        <v>43</v>
      </c>
      <c r="C28" s="141">
        <f>C30/1.34</f>
        <v>601530.92537313432</v>
      </c>
      <c r="D28" s="141"/>
      <c r="E28" s="141"/>
    </row>
    <row r="29" spans="2:12" x14ac:dyDescent="0.25">
      <c r="B29" s="57" t="s">
        <v>44</v>
      </c>
      <c r="C29" s="141">
        <f>C28*0.34</f>
        <v>204520.51462686568</v>
      </c>
      <c r="D29" s="141"/>
      <c r="E29" s="141"/>
      <c r="J29" s="58"/>
      <c r="K29" s="59"/>
    </row>
    <row r="30" spans="2:12" x14ac:dyDescent="0.25">
      <c r="B30" s="60" t="s">
        <v>28</v>
      </c>
      <c r="C30" s="133">
        <f>C37-C35</f>
        <v>806051.44000000006</v>
      </c>
      <c r="D30" s="133"/>
      <c r="E30" s="133"/>
      <c r="J30" s="58"/>
      <c r="K30" s="59"/>
    </row>
    <row r="31" spans="2:12" x14ac:dyDescent="0.25">
      <c r="B31" s="61"/>
      <c r="C31" s="74"/>
      <c r="D31" s="75"/>
      <c r="E31" s="75"/>
      <c r="J31" s="58"/>
      <c r="K31" s="59"/>
    </row>
    <row r="32" spans="2:12" x14ac:dyDescent="0.25">
      <c r="B32" s="56" t="s">
        <v>45</v>
      </c>
      <c r="C32" s="142"/>
      <c r="D32" s="142"/>
      <c r="E32" s="142"/>
      <c r="J32" s="58"/>
      <c r="K32" s="59"/>
    </row>
    <row r="33" spans="2:13" x14ac:dyDescent="0.25">
      <c r="B33" s="57" t="s">
        <v>46</v>
      </c>
      <c r="C33" s="141">
        <f>ROUND(C37*0.064,2)</f>
        <v>70091.429999999993</v>
      </c>
      <c r="D33" s="141"/>
      <c r="E33" s="141"/>
      <c r="J33" s="59"/>
      <c r="K33" s="59"/>
    </row>
    <row r="34" spans="2:13" x14ac:dyDescent="0.25">
      <c r="B34" s="57" t="s">
        <v>47</v>
      </c>
      <c r="C34" s="141">
        <f>ROUND(C37*0.2,2)</f>
        <v>219035.72</v>
      </c>
      <c r="D34" s="141"/>
      <c r="E34" s="141"/>
      <c r="J34" s="59"/>
      <c r="K34" s="59"/>
    </row>
    <row r="35" spans="2:13" x14ac:dyDescent="0.25">
      <c r="B35" s="60" t="s">
        <v>28</v>
      </c>
      <c r="C35" s="133">
        <f>SUM(C33:C34)</f>
        <v>289127.15000000002</v>
      </c>
      <c r="D35" s="133"/>
      <c r="E35" s="133"/>
      <c r="J35" s="59"/>
      <c r="K35" s="59"/>
    </row>
    <row r="36" spans="2:13" x14ac:dyDescent="0.25">
      <c r="B36" s="61"/>
      <c r="C36" s="61"/>
      <c r="D36" s="51"/>
      <c r="E36" s="51"/>
    </row>
    <row r="37" spans="2:13" ht="15.75" x14ac:dyDescent="0.25">
      <c r="B37" s="62" t="s">
        <v>48</v>
      </c>
      <c r="C37" s="130">
        <f>C14</f>
        <v>1095178.5900000001</v>
      </c>
      <c r="D37" s="131"/>
      <c r="E37" s="131"/>
    </row>
    <row r="38" spans="2:13" ht="18.75" x14ac:dyDescent="0.3">
      <c r="B38" s="17"/>
      <c r="C38" s="51"/>
      <c r="D38" s="51"/>
      <c r="E38" s="51"/>
    </row>
    <row r="39" spans="2:13" ht="15.75" x14ac:dyDescent="0.25">
      <c r="B39" s="55" t="s">
        <v>49</v>
      </c>
      <c r="C39" s="51"/>
      <c r="D39" s="51"/>
      <c r="E39" s="51"/>
    </row>
    <row r="40" spans="2:13" x14ac:dyDescent="0.25">
      <c r="B40" s="63" t="s">
        <v>50</v>
      </c>
      <c r="C40" s="132">
        <v>2021</v>
      </c>
      <c r="D40" s="132"/>
      <c r="E40" s="132"/>
      <c r="F40" s="132">
        <v>2022</v>
      </c>
      <c r="G40" s="132"/>
      <c r="H40" s="132"/>
      <c r="I40" s="132">
        <v>2023</v>
      </c>
      <c r="J40" s="132"/>
      <c r="K40" s="132">
        <v>2024</v>
      </c>
      <c r="L40" s="132"/>
    </row>
    <row r="41" spans="2:13" ht="15.75" x14ac:dyDescent="0.25">
      <c r="B41" s="76" t="s">
        <v>51</v>
      </c>
      <c r="C41" s="125">
        <f>I20-C42</f>
        <v>7411.8799999999974</v>
      </c>
      <c r="D41" s="125"/>
      <c r="E41" s="125"/>
      <c r="F41" s="125">
        <f>I21-F42</f>
        <v>394750.04846153862</v>
      </c>
      <c r="G41" s="125"/>
      <c r="H41" s="125"/>
      <c r="I41" s="125">
        <f>I22-I42</f>
        <v>394750.04846153862</v>
      </c>
      <c r="J41" s="125"/>
      <c r="K41" s="125">
        <f>I23-K42</f>
        <v>58379.78980769233</v>
      </c>
      <c r="L41" s="125"/>
      <c r="M41" s="64"/>
    </row>
    <row r="42" spans="2:13" ht="31.5" x14ac:dyDescent="0.25">
      <c r="B42" s="76" t="s">
        <v>52</v>
      </c>
      <c r="C42" s="125">
        <v>18072.09</v>
      </c>
      <c r="D42" s="125"/>
      <c r="E42" s="125"/>
      <c r="F42" s="125">
        <v>216865.08</v>
      </c>
      <c r="G42" s="125"/>
      <c r="H42" s="125"/>
      <c r="I42" s="125">
        <v>216865.08</v>
      </c>
      <c r="J42" s="125"/>
      <c r="K42" s="125">
        <v>18072.09</v>
      </c>
      <c r="L42" s="125"/>
      <c r="M42" s="64"/>
    </row>
    <row r="43" spans="2:13" ht="18.75" x14ac:dyDescent="0.3">
      <c r="B43" s="17"/>
      <c r="C43" s="51"/>
      <c r="D43" s="51"/>
      <c r="E43" s="51"/>
    </row>
    <row r="44" spans="2:13" ht="60.75" customHeight="1" thickBot="1" x14ac:dyDescent="0.3">
      <c r="B44" s="129" t="s">
        <v>53</v>
      </c>
      <c r="C44" s="129"/>
      <c r="D44" s="129"/>
      <c r="E44" s="129"/>
      <c r="F44" s="129"/>
      <c r="G44" s="129"/>
      <c r="H44" s="129"/>
      <c r="I44" s="129"/>
      <c r="J44" s="129"/>
      <c r="K44" s="129"/>
      <c r="L44" s="129"/>
    </row>
    <row r="45" spans="2:13" ht="15" customHeight="1" x14ac:dyDescent="0.25">
      <c r="B45" s="92" t="s">
        <v>54</v>
      </c>
      <c r="C45" s="92"/>
      <c r="D45" s="92"/>
      <c r="E45" s="92"/>
      <c r="F45" s="92"/>
      <c r="G45" s="92"/>
      <c r="H45" s="92"/>
      <c r="I45" s="92"/>
      <c r="J45" s="92"/>
      <c r="K45" s="92"/>
      <c r="L45" s="92"/>
    </row>
    <row r="46" spans="2:13" ht="15" customHeight="1" x14ac:dyDescent="0.25">
      <c r="B46" s="92"/>
      <c r="C46" s="92"/>
      <c r="D46" s="92"/>
      <c r="E46" s="92"/>
      <c r="F46" s="92"/>
      <c r="G46" s="92"/>
      <c r="H46" s="92"/>
      <c r="I46" s="92"/>
      <c r="J46" s="92"/>
      <c r="K46" s="92"/>
      <c r="L46" s="92"/>
    </row>
    <row r="47" spans="2:13" ht="15" customHeight="1" x14ac:dyDescent="0.25">
      <c r="B47" s="92"/>
      <c r="C47" s="92"/>
      <c r="D47" s="92"/>
      <c r="E47" s="92"/>
      <c r="F47" s="92"/>
      <c r="G47" s="92"/>
      <c r="H47" s="92"/>
      <c r="I47" s="92"/>
      <c r="J47" s="92"/>
      <c r="K47" s="92"/>
      <c r="L47" s="92"/>
    </row>
    <row r="49" spans="2:12" ht="21" customHeight="1" x14ac:dyDescent="0.25">
      <c r="B49" s="63" t="s">
        <v>55</v>
      </c>
      <c r="C49" s="126" t="s">
        <v>56</v>
      </c>
      <c r="D49" s="127"/>
      <c r="E49" s="127"/>
      <c r="F49" s="128"/>
      <c r="G49" s="126" t="s">
        <v>57</v>
      </c>
      <c r="H49" s="127"/>
      <c r="I49" s="127"/>
      <c r="J49" s="128"/>
    </row>
    <row r="50" spans="2:12" x14ac:dyDescent="0.25">
      <c r="B50" s="122">
        <f>C67</f>
        <v>1095178.5899999999</v>
      </c>
      <c r="C50" s="124">
        <v>0.2</v>
      </c>
      <c r="D50" s="124"/>
      <c r="E50" s="124"/>
      <c r="F50" s="124"/>
      <c r="G50" s="122">
        <f>B50*C50</f>
        <v>219035.71799999999</v>
      </c>
      <c r="H50" s="123"/>
      <c r="I50" s="123"/>
      <c r="J50" s="123"/>
    </row>
    <row r="51" spans="2:12" x14ac:dyDescent="0.25">
      <c r="B51" s="123"/>
      <c r="C51" s="124"/>
      <c r="D51" s="124"/>
      <c r="E51" s="124"/>
      <c r="F51" s="124"/>
      <c r="G51" s="123"/>
      <c r="H51" s="123"/>
      <c r="I51" s="123"/>
      <c r="J51" s="123"/>
    </row>
    <row r="53" spans="2:12" ht="15.75" thickBot="1" x14ac:dyDescent="0.3"/>
    <row r="54" spans="2:12" ht="19.5" thickBot="1" x14ac:dyDescent="0.35">
      <c r="B54" s="105" t="s">
        <v>58</v>
      </c>
      <c r="C54" s="106"/>
      <c r="D54" s="106"/>
      <c r="E54" s="106"/>
      <c r="F54" s="106"/>
      <c r="G54" s="106"/>
      <c r="H54" s="106"/>
      <c r="I54" s="106"/>
      <c r="J54" s="106"/>
      <c r="K54" s="106"/>
      <c r="L54" s="119"/>
    </row>
    <row r="56" spans="2:12" ht="15.75" x14ac:dyDescent="0.25">
      <c r="B56" s="65" t="s">
        <v>59</v>
      </c>
      <c r="E56" s="66"/>
      <c r="F56" s="120">
        <f>K67</f>
        <v>2409392.8966666665</v>
      </c>
      <c r="G56" s="120"/>
      <c r="H56" s="67"/>
      <c r="I56" s="67"/>
      <c r="J56" s="67"/>
      <c r="K56" s="67"/>
      <c r="L56" s="67"/>
    </row>
    <row r="57" spans="2:12" ht="15.75" x14ac:dyDescent="0.25">
      <c r="B57" s="68" t="s">
        <v>60</v>
      </c>
      <c r="C57" s="59"/>
      <c r="D57" s="59"/>
      <c r="E57" s="59"/>
      <c r="F57" s="59"/>
      <c r="G57" s="59"/>
      <c r="H57" s="59"/>
      <c r="I57" s="59"/>
      <c r="J57" s="59"/>
      <c r="K57" s="59"/>
      <c r="L57" s="59"/>
    </row>
    <row r="60" spans="2:12" ht="42.2" customHeight="1" x14ac:dyDescent="0.25">
      <c r="B60" s="63" t="s">
        <v>36</v>
      </c>
      <c r="C60" s="121" t="s">
        <v>61</v>
      </c>
      <c r="D60" s="121"/>
      <c r="E60" s="121"/>
      <c r="F60" s="121" t="s">
        <v>62</v>
      </c>
      <c r="G60" s="121"/>
      <c r="H60" s="121"/>
      <c r="I60" s="121" t="s">
        <v>63</v>
      </c>
      <c r="J60" s="121"/>
      <c r="K60" s="121" t="s">
        <v>64</v>
      </c>
      <c r="L60" s="121"/>
    </row>
    <row r="61" spans="2:12" x14ac:dyDescent="0.25">
      <c r="B61" s="50">
        <v>2021</v>
      </c>
      <c r="C61" s="109">
        <f>C20</f>
        <v>21061.13</v>
      </c>
      <c r="D61" s="110"/>
      <c r="E61" s="111"/>
      <c r="F61" s="108"/>
      <c r="G61" s="108"/>
      <c r="H61" s="108"/>
      <c r="I61" s="108">
        <v>36505.949999999997</v>
      </c>
      <c r="J61" s="108"/>
      <c r="K61" s="108">
        <f t="shared" ref="K61:K66" si="0">SUM(C61:J61)</f>
        <v>57567.08</v>
      </c>
      <c r="L61" s="108"/>
    </row>
    <row r="62" spans="2:12" x14ac:dyDescent="0.25">
      <c r="B62" s="50">
        <v>2022</v>
      </c>
      <c r="C62" s="109">
        <f>C21</f>
        <v>505467.04</v>
      </c>
      <c r="D62" s="110"/>
      <c r="E62" s="111"/>
      <c r="F62" s="108"/>
      <c r="G62" s="108"/>
      <c r="H62" s="108"/>
      <c r="I62" s="108">
        <v>36505.949999999997</v>
      </c>
      <c r="J62" s="108"/>
      <c r="K62" s="108">
        <f t="shared" si="0"/>
        <v>541972.99</v>
      </c>
      <c r="L62" s="108"/>
    </row>
    <row r="63" spans="2:12" x14ac:dyDescent="0.25">
      <c r="B63" s="50">
        <v>2023</v>
      </c>
      <c r="C63" s="109">
        <f>C22</f>
        <v>505467.04</v>
      </c>
      <c r="D63" s="110"/>
      <c r="E63" s="111"/>
      <c r="F63" s="108"/>
      <c r="G63" s="108"/>
      <c r="H63" s="108"/>
      <c r="I63" s="108">
        <v>36505.949999999997</v>
      </c>
      <c r="J63" s="108"/>
      <c r="K63" s="108">
        <f t="shared" si="0"/>
        <v>541972.99</v>
      </c>
      <c r="L63" s="108"/>
    </row>
    <row r="64" spans="2:12" x14ac:dyDescent="0.25">
      <c r="B64" s="50">
        <v>2024</v>
      </c>
      <c r="C64" s="109">
        <f>C23</f>
        <v>63183.38</v>
      </c>
      <c r="D64" s="110"/>
      <c r="E64" s="111"/>
      <c r="F64" s="108">
        <f>C62/12*10.5</f>
        <v>442283.66000000003</v>
      </c>
      <c r="G64" s="108"/>
      <c r="H64" s="108"/>
      <c r="I64" s="108">
        <v>36505.949999999997</v>
      </c>
      <c r="J64" s="108"/>
      <c r="K64" s="108">
        <f t="shared" si="0"/>
        <v>541972.99</v>
      </c>
      <c r="L64" s="108"/>
    </row>
    <row r="65" spans="2:15" x14ac:dyDescent="0.25">
      <c r="B65" s="50">
        <v>2025</v>
      </c>
      <c r="C65" s="69"/>
      <c r="D65" s="70"/>
      <c r="E65" s="71"/>
      <c r="F65" s="108">
        <f>C62</f>
        <v>505467.04</v>
      </c>
      <c r="G65" s="108"/>
      <c r="H65" s="108"/>
      <c r="I65" s="108">
        <v>36505.96</v>
      </c>
      <c r="J65" s="108"/>
      <c r="K65" s="108">
        <f t="shared" si="0"/>
        <v>541973</v>
      </c>
      <c r="L65" s="108"/>
      <c r="N65" t="s">
        <v>65</v>
      </c>
    </row>
    <row r="66" spans="2:15" x14ac:dyDescent="0.25">
      <c r="B66" s="50">
        <v>2026</v>
      </c>
      <c r="C66" s="69"/>
      <c r="D66" s="70"/>
      <c r="E66" s="71"/>
      <c r="F66" s="109">
        <f>C62/12*3.5</f>
        <v>147427.88666666666</v>
      </c>
      <c r="G66" s="110"/>
      <c r="H66" s="111"/>
      <c r="I66" s="108">
        <v>36505.96</v>
      </c>
      <c r="J66" s="108"/>
      <c r="K66" s="108">
        <f t="shared" si="0"/>
        <v>183933.84666666665</v>
      </c>
      <c r="L66" s="108"/>
    </row>
    <row r="67" spans="2:15" x14ac:dyDescent="0.25">
      <c r="B67" s="72" t="s">
        <v>28</v>
      </c>
      <c r="C67" s="112">
        <f>SUM(C61:E64)</f>
        <v>1095178.5899999999</v>
      </c>
      <c r="D67" s="113"/>
      <c r="E67" s="114"/>
      <c r="F67" s="112">
        <f>SUM(F61:H66)</f>
        <v>1095178.5866666667</v>
      </c>
      <c r="G67" s="113"/>
      <c r="H67" s="114"/>
      <c r="I67" s="115">
        <v>219035.72</v>
      </c>
      <c r="J67" s="116"/>
      <c r="K67" s="117">
        <f>SUM(K61:L66)</f>
        <v>2409392.8966666665</v>
      </c>
      <c r="L67" s="118"/>
      <c r="N67" s="73">
        <f>K67/48*12*1.5</f>
        <v>903522.33624999993</v>
      </c>
      <c r="O67">
        <f>N67/3*2</f>
        <v>602348.22416666662</v>
      </c>
    </row>
    <row r="70" spans="2:15" x14ac:dyDescent="0.25">
      <c r="J70" s="73"/>
    </row>
    <row r="71" spans="2:15" x14ac:dyDescent="0.25">
      <c r="J71" s="73"/>
    </row>
    <row r="72" spans="2:15" x14ac:dyDescent="0.25">
      <c r="J72" s="73"/>
    </row>
    <row r="74" spans="2:15" x14ac:dyDescent="0.25">
      <c r="F74" s="73"/>
    </row>
    <row r="75" spans="2:15" x14ac:dyDescent="0.25">
      <c r="F75" s="73"/>
    </row>
    <row r="76" spans="2:15" x14ac:dyDescent="0.25">
      <c r="F76" s="73"/>
    </row>
    <row r="77" spans="2:15" x14ac:dyDescent="0.25">
      <c r="F77" s="73"/>
    </row>
  </sheetData>
  <mergeCells count="84">
    <mergeCell ref="E11:L11"/>
    <mergeCell ref="I66:J66"/>
    <mergeCell ref="C14:D14"/>
    <mergeCell ref="K14:L14"/>
    <mergeCell ref="C15:D15"/>
    <mergeCell ref="B17:J18"/>
    <mergeCell ref="C19:E19"/>
    <mergeCell ref="F19:H19"/>
    <mergeCell ref="I19:J19"/>
    <mergeCell ref="C20:E20"/>
    <mergeCell ref="F20:H20"/>
    <mergeCell ref="I20:J20"/>
    <mergeCell ref="C21:E21"/>
    <mergeCell ref="F21:H21"/>
    <mergeCell ref="I21:J21"/>
    <mergeCell ref="C34:E34"/>
    <mergeCell ref="C22:E22"/>
    <mergeCell ref="F22:H22"/>
    <mergeCell ref="I22:J22"/>
    <mergeCell ref="C23:E23"/>
    <mergeCell ref="F23:H23"/>
    <mergeCell ref="I23:J23"/>
    <mergeCell ref="C28:E28"/>
    <mergeCell ref="C29:E29"/>
    <mergeCell ref="C30:E30"/>
    <mergeCell ref="C32:E32"/>
    <mergeCell ref="C33:E33"/>
    <mergeCell ref="C24:J24"/>
    <mergeCell ref="C25:E25"/>
    <mergeCell ref="F25:H25"/>
    <mergeCell ref="I25:J25"/>
    <mergeCell ref="C27:E27"/>
    <mergeCell ref="C41:E41"/>
    <mergeCell ref="F41:H41"/>
    <mergeCell ref="I41:J41"/>
    <mergeCell ref="K41:L41"/>
    <mergeCell ref="C35:E35"/>
    <mergeCell ref="C37:E37"/>
    <mergeCell ref="C40:E40"/>
    <mergeCell ref="F40:H40"/>
    <mergeCell ref="I40:J40"/>
    <mergeCell ref="K40:L40"/>
    <mergeCell ref="B50:B51"/>
    <mergeCell ref="C50:F51"/>
    <mergeCell ref="G50:J51"/>
    <mergeCell ref="C42:E42"/>
    <mergeCell ref="F42:H42"/>
    <mergeCell ref="I42:J42"/>
    <mergeCell ref="B45:L47"/>
    <mergeCell ref="C49:F49"/>
    <mergeCell ref="G49:J49"/>
    <mergeCell ref="K42:L42"/>
    <mergeCell ref="B44:L44"/>
    <mergeCell ref="B54:L54"/>
    <mergeCell ref="F56:G56"/>
    <mergeCell ref="C60:E60"/>
    <mergeCell ref="F60:H60"/>
    <mergeCell ref="I60:J60"/>
    <mergeCell ref="K60:L60"/>
    <mergeCell ref="C61:E61"/>
    <mergeCell ref="F61:H61"/>
    <mergeCell ref="I61:J61"/>
    <mergeCell ref="K61:L61"/>
    <mergeCell ref="C62:E62"/>
    <mergeCell ref="F62:H62"/>
    <mergeCell ref="I62:J62"/>
    <mergeCell ref="K62:L62"/>
    <mergeCell ref="C67:E67"/>
    <mergeCell ref="F67:H67"/>
    <mergeCell ref="I67:J67"/>
    <mergeCell ref="K67:L67"/>
    <mergeCell ref="C63:E63"/>
    <mergeCell ref="F63:H63"/>
    <mergeCell ref="I63:J63"/>
    <mergeCell ref="K63:L63"/>
    <mergeCell ref="C64:E64"/>
    <mergeCell ref="F64:H64"/>
    <mergeCell ref="I64:J64"/>
    <mergeCell ref="K64:L64"/>
    <mergeCell ref="F65:H65"/>
    <mergeCell ref="I65:J65"/>
    <mergeCell ref="K65:L65"/>
    <mergeCell ref="F66:H66"/>
    <mergeCell ref="K66:L66"/>
  </mergeCells>
  <conditionalFormatting sqref="C15:D15">
    <cfRule type="cellIs" dxfId="0" priority="1" operator="greaterThan">
      <formula>800000</formula>
    </cfRule>
  </conditionalFormatting>
  <pageMargins left="0.23622047244094491" right="0.23622047244094491" top="0.94488188976377963" bottom="0.74803149606299213" header="0.31496062992125984" footer="0.31496062992125984"/>
  <pageSetup paperSize="9" scale="77" fitToHeight="0" orientation="portrait" r:id="rId1"/>
  <headerFooter differentFirst="1">
    <oddHeader>&amp;L&amp;G&amp;R&amp;"-,Negreta"Institut Municipal d'Informàtica&amp;"-,Normal"
&amp;"-,Cursiva"Direcció d'Estratègia i Nous Projectes</oddHeader>
    <oddFooter>Pàgina &amp;P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InformeJustificatiu</vt:lpstr>
      <vt:lpstr>QuadrePreu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Milan</dc:creator>
  <cp:lastModifiedBy>Victor Milan</cp:lastModifiedBy>
  <dcterms:created xsi:type="dcterms:W3CDTF">2021-07-16T07:42:16Z</dcterms:created>
  <dcterms:modified xsi:type="dcterms:W3CDTF">2021-07-21T08:25:35Z</dcterms:modified>
</cp:coreProperties>
</file>