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785" yWindow="-15" windowWidth="10830" windowHeight="10170" tabRatio="555" activeTab="2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Hoja2" sheetId="18" state="hidden" r:id="rId6"/>
    <sheet name="Infraestructura" sheetId="16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0" hidden="1">'Càlcul pressupost '!$18:$25</definedName>
    <definedName name="C_Despesa" localSheetId="6">'[1]Dades auxiliars'!$N$1:$N$9</definedName>
    <definedName name="C_Despesa">'[2]Dades auxiliars'!$N$1:$N$9</definedName>
    <definedName name="Dades_Servei" localSheetId="6">'[3]Dades auxiliars'!$A$1:$J$262</definedName>
    <definedName name="Dades_Servei">'[4]Dades auxiliars'!$A$1:$J$262</definedName>
    <definedName name="T_Despesa" localSheetId="6">'[1]Dades auxiliars'!$M$1:$M$5</definedName>
    <definedName name="T_Despesa">'[2]Dades auxiliars'!$M$1:$M$5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7" i="4"/>
  <c r="E8" i="4"/>
  <c r="E9" i="4"/>
  <c r="E11" i="4"/>
  <c r="E12" i="4"/>
  <c r="E13" i="4"/>
  <c r="E15" i="4"/>
  <c r="E16" i="4"/>
  <c r="E17" i="4"/>
  <c r="E18" i="4"/>
  <c r="E29" i="4" l="1"/>
  <c r="F29" i="4" s="1"/>
  <c r="E28" i="4"/>
  <c r="F28" i="4" s="1"/>
  <c r="F27" i="4" l="1"/>
  <c r="H19" i="4"/>
  <c r="F18" i="4"/>
  <c r="G18" i="4" s="1"/>
  <c r="H14" i="4" l="1"/>
  <c r="H10" i="4"/>
  <c r="H6" i="4"/>
  <c r="F17" i="4" l="1"/>
  <c r="F16" i="4"/>
  <c r="F15" i="4"/>
  <c r="F19" i="4" s="1"/>
  <c r="F13" i="4"/>
  <c r="F12" i="4"/>
  <c r="F11" i="4"/>
  <c r="F9" i="4"/>
  <c r="F8" i="4"/>
  <c r="F7" i="4"/>
  <c r="F5" i="4"/>
  <c r="F4" i="4"/>
  <c r="F3" i="4"/>
  <c r="F10" i="4" l="1"/>
  <c r="F14" i="4"/>
  <c r="F6" i="4"/>
  <c r="O7" i="16" l="1"/>
  <c r="O10" i="16"/>
  <c r="G17" i="4"/>
  <c r="G16" i="4"/>
  <c r="G15" i="4"/>
  <c r="G13" i="4"/>
  <c r="G12" i="4"/>
  <c r="G11" i="4"/>
  <c r="G9" i="4"/>
  <c r="G8" i="4"/>
  <c r="G7" i="4"/>
  <c r="G4" i="4"/>
  <c r="G5" i="4"/>
  <c r="G3" i="4"/>
  <c r="G19" i="4" l="1"/>
  <c r="S19" i="14" s="1"/>
  <c r="T19" i="14" s="1"/>
  <c r="G10" i="4"/>
  <c r="L21" i="14" s="1"/>
  <c r="G6" i="4"/>
  <c r="G14" i="4"/>
  <c r="N36" i="16"/>
  <c r="P36" i="16" s="1"/>
  <c r="N35" i="16"/>
  <c r="P35" i="16" s="1"/>
  <c r="S20" i="14" l="1"/>
  <c r="S21" i="14"/>
  <c r="S22" i="14"/>
  <c r="O23" i="16"/>
  <c r="L20" i="14"/>
  <c r="L19" i="14"/>
  <c r="L22" i="14"/>
  <c r="I20" i="14"/>
  <c r="I19" i="14"/>
  <c r="I21" i="14"/>
  <c r="I22" i="14"/>
  <c r="O20" i="14"/>
  <c r="O21" i="14"/>
  <c r="O22" i="14"/>
  <c r="O19" i="14"/>
  <c r="O48" i="16"/>
  <c r="P48" i="16" s="1"/>
  <c r="O47" i="16"/>
  <c r="P47" i="16" s="1"/>
  <c r="O46" i="16"/>
  <c r="P46" i="16" s="1"/>
  <c r="E27" i="4" l="1"/>
  <c r="E26" i="4"/>
  <c r="F26" i="4" s="1"/>
  <c r="J5" i="14" l="1"/>
  <c r="I5" i="14"/>
  <c r="H5" i="14"/>
  <c r="G5" i="14"/>
  <c r="G4" i="14" l="1"/>
  <c r="J4" i="14" l="1"/>
  <c r="I4" i="14"/>
  <c r="H4" i="14"/>
  <c r="E46" i="11" l="1"/>
  <c r="C46" i="11"/>
  <c r="Q20" i="14" l="1"/>
  <c r="Q25" i="14"/>
  <c r="K25" i="14" l="1"/>
  <c r="Q75" i="16" l="1"/>
  <c r="N10" i="16" l="1"/>
  <c r="R75" i="16"/>
  <c r="N67" i="16"/>
  <c r="P67" i="16" s="1"/>
  <c r="N66" i="16"/>
  <c r="P66" i="16" s="1"/>
  <c r="N58" i="16"/>
  <c r="P58" i="16" s="1"/>
  <c r="N57" i="16"/>
  <c r="P57" i="16" s="1"/>
  <c r="T10" i="16" l="1"/>
  <c r="U10" i="16"/>
  <c r="P34" i="16"/>
  <c r="Q34" i="16" s="1"/>
  <c r="N6" i="16" s="1"/>
  <c r="O6" i="16" s="1"/>
  <c r="Q6" i="16" l="1"/>
  <c r="R6" i="16" s="1"/>
  <c r="U6" i="16"/>
  <c r="T6" i="16"/>
  <c r="R34" i="16"/>
  <c r="N5" i="16"/>
  <c r="O5" i="16" s="1"/>
  <c r="T5" i="16" l="1"/>
  <c r="U5" i="16"/>
  <c r="N25" i="14" l="1"/>
  <c r="Q23" i="16" l="1"/>
  <c r="R23" i="16" s="1"/>
  <c r="P78" i="16"/>
  <c r="O75" i="16"/>
  <c r="R24" i="16" l="1"/>
  <c r="R28" i="16" s="1"/>
  <c r="Q10" i="16"/>
  <c r="P56" i="16"/>
  <c r="Q56" i="16" s="1"/>
  <c r="O56" i="16"/>
  <c r="O65" i="16"/>
  <c r="O45" i="16"/>
  <c r="O34" i="16"/>
  <c r="Q5" i="16" s="1"/>
  <c r="R5" i="16" s="1"/>
  <c r="N8" i="16" l="1"/>
  <c r="O8" i="16" s="1"/>
  <c r="R56" i="16"/>
  <c r="R10" i="16"/>
  <c r="P45" i="16"/>
  <c r="Q45" i="16" s="1"/>
  <c r="P65" i="16"/>
  <c r="Q65" i="16" s="1"/>
  <c r="Q8" i="16" l="1"/>
  <c r="R8" i="16" s="1"/>
  <c r="T8" i="16"/>
  <c r="U8" i="16"/>
  <c r="R65" i="16"/>
  <c r="N9" i="16"/>
  <c r="O9" i="16" s="1"/>
  <c r="N7" i="16"/>
  <c r="R45" i="16"/>
  <c r="Q9" i="16" l="1"/>
  <c r="R9" i="16" s="1"/>
  <c r="U9" i="16"/>
  <c r="T9" i="16"/>
  <c r="Q7" i="16"/>
  <c r="R7" i="16" s="1"/>
  <c r="U7" i="16"/>
  <c r="T7" i="16"/>
  <c r="R12" i="16" l="1"/>
  <c r="R27" i="16" s="1"/>
  <c r="R29" i="16" s="1"/>
  <c r="G23" i="14" s="1"/>
  <c r="I12" i="14" l="1"/>
  <c r="H12" i="14"/>
  <c r="G12" i="14"/>
  <c r="J12" i="14"/>
  <c r="C39" i="11"/>
  <c r="B39" i="11"/>
  <c r="D39" i="11" s="1"/>
  <c r="C38" i="11"/>
  <c r="B38" i="11"/>
  <c r="C37" i="11"/>
  <c r="B37" i="11"/>
  <c r="D37" i="11" s="1"/>
  <c r="E9" i="11"/>
  <c r="E10" i="11"/>
  <c r="D38" i="11" l="1"/>
  <c r="F10" i="11" l="1"/>
  <c r="G10" i="11" s="1"/>
  <c r="H10" i="11"/>
  <c r="I10" i="11" s="1"/>
  <c r="K10" i="11"/>
  <c r="L10" i="11" s="1"/>
  <c r="M10" i="11" l="1"/>
  <c r="J10" i="11"/>
  <c r="B11" i="11" l="1"/>
  <c r="C11" i="11" l="1"/>
  <c r="D11" i="11" s="1"/>
  <c r="K9" i="11" l="1"/>
  <c r="R25" i="14"/>
  <c r="L9" i="11" l="1"/>
  <c r="M9" i="11" l="1"/>
  <c r="G25" i="14" l="1"/>
  <c r="T25" i="14" l="1"/>
  <c r="E11" i="11"/>
  <c r="H11" i="11"/>
  <c r="K11" i="11"/>
  <c r="L11" i="11" s="1"/>
  <c r="M11" i="11" s="1"/>
  <c r="H9" i="11"/>
  <c r="N12" i="14"/>
  <c r="G10" i="14" l="1"/>
  <c r="B9" i="11" s="1"/>
  <c r="I11" i="11"/>
  <c r="J11" i="11" s="1"/>
  <c r="F11" i="11"/>
  <c r="G11" i="11" s="1"/>
  <c r="F9" i="11"/>
  <c r="G9" i="11" s="1"/>
  <c r="I9" i="11"/>
  <c r="M10" i="14" l="1"/>
  <c r="B36" i="11"/>
  <c r="B40" i="11" s="1"/>
  <c r="N9" i="11"/>
  <c r="J9" i="11"/>
  <c r="C9" i="11"/>
  <c r="D9" i="11" l="1"/>
  <c r="C36" i="11"/>
  <c r="O9" i="11"/>
  <c r="P22" i="14" l="1"/>
  <c r="P21" i="14"/>
  <c r="P20" i="14"/>
  <c r="P19" i="14"/>
  <c r="M22" i="14"/>
  <c r="M20" i="14"/>
  <c r="M21" i="14"/>
  <c r="M19" i="14"/>
  <c r="C40" i="11"/>
  <c r="D36" i="11"/>
  <c r="D40" i="11" s="1"/>
  <c r="P9" i="11"/>
  <c r="P25" i="14" l="1"/>
  <c r="M25" i="14"/>
  <c r="H8" i="14" l="1"/>
  <c r="I8" i="14"/>
  <c r="G8" i="14"/>
  <c r="J8" i="14"/>
  <c r="K7" i="11" s="1"/>
  <c r="H9" i="14"/>
  <c r="I9" i="14"/>
  <c r="H8" i="11" s="1"/>
  <c r="G9" i="14"/>
  <c r="J9" i="14"/>
  <c r="K8" i="11" s="1"/>
  <c r="J20" i="14"/>
  <c r="J21" i="14"/>
  <c r="J22" i="14"/>
  <c r="J19" i="14"/>
  <c r="W19" i="14" s="1"/>
  <c r="N11" i="11"/>
  <c r="M12" i="14"/>
  <c r="N8" i="14"/>
  <c r="N9" i="14"/>
  <c r="E8" i="11" l="1"/>
  <c r="F8" i="11" s="1"/>
  <c r="G8" i="11" s="1"/>
  <c r="H7" i="11"/>
  <c r="I7" i="11" s="1"/>
  <c r="J7" i="11" s="1"/>
  <c r="B7" i="11"/>
  <c r="C7" i="11" s="1"/>
  <c r="D7" i="11" s="1"/>
  <c r="C19" i="14"/>
  <c r="W22" i="14"/>
  <c r="C22" i="14"/>
  <c r="C21" i="14"/>
  <c r="D21" i="14" s="1"/>
  <c r="W21" i="14"/>
  <c r="C20" i="14"/>
  <c r="D20" i="14" s="1"/>
  <c r="W20" i="14"/>
  <c r="B8" i="11"/>
  <c r="E7" i="11"/>
  <c r="I8" i="11"/>
  <c r="J8" i="11" s="1"/>
  <c r="L7" i="11"/>
  <c r="M7" i="11" s="1"/>
  <c r="L8" i="11"/>
  <c r="M8" i="11" s="1"/>
  <c r="P11" i="11"/>
  <c r="O11" i="11"/>
  <c r="F7" i="11" l="1"/>
  <c r="G7" i="11" s="1"/>
  <c r="N7" i="11"/>
  <c r="M8" i="14"/>
  <c r="M9" i="14"/>
  <c r="C8" i="11"/>
  <c r="D8" i="11" s="1"/>
  <c r="N8" i="11"/>
  <c r="D19" i="14"/>
  <c r="I18" i="2"/>
  <c r="M18" i="2"/>
  <c r="E18" i="2"/>
  <c r="G18" i="2" s="1"/>
  <c r="O7" i="11" l="1"/>
  <c r="O8" i="11"/>
  <c r="P7" i="11"/>
  <c r="F6" i="2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W25" i="14" l="1"/>
  <c r="W26" i="14" l="1"/>
  <c r="G11" i="14"/>
  <c r="B10" i="11" s="1"/>
  <c r="M11" i="14" l="1"/>
  <c r="C10" i="11"/>
  <c r="D10" i="11" s="1"/>
  <c r="N10" i="11"/>
  <c r="O10" i="11" l="1"/>
  <c r="P8" i="11"/>
  <c r="P10" i="11"/>
  <c r="J25" i="14" l="1"/>
  <c r="H7" i="14" l="1"/>
  <c r="I7" i="14"/>
  <c r="G7" i="14"/>
  <c r="B6" i="11" s="1"/>
  <c r="J7" i="14"/>
  <c r="N7" i="14"/>
  <c r="N13" i="14" s="1"/>
  <c r="M7" i="14" l="1"/>
  <c r="G13" i="14"/>
  <c r="G14" i="14" s="1"/>
  <c r="K6" i="11"/>
  <c r="J13" i="14"/>
  <c r="H13" i="14"/>
  <c r="E6" i="11"/>
  <c r="M13" i="14" l="1"/>
  <c r="M14" i="14" s="1"/>
  <c r="H6" i="11"/>
  <c r="N6" i="11" s="1"/>
  <c r="N12" i="11" s="1"/>
  <c r="I13" i="14"/>
  <c r="C6" i="11"/>
  <c r="C12" i="11" s="1"/>
  <c r="B12" i="11"/>
  <c r="H25" i="14"/>
  <c r="F6" i="11"/>
  <c r="F12" i="11" s="1"/>
  <c r="C28" i="11" s="1"/>
  <c r="E12" i="11"/>
  <c r="K12" i="11"/>
  <c r="L6" i="11"/>
  <c r="M6" i="11" s="1"/>
  <c r="I6" i="11" l="1"/>
  <c r="O6" i="11" s="1"/>
  <c r="O12" i="11" s="1"/>
  <c r="H12" i="11"/>
  <c r="D6" i="11"/>
  <c r="D12" i="11" s="1"/>
  <c r="B18" i="11"/>
  <c r="B27" i="11"/>
  <c r="C27" i="11" s="1"/>
  <c r="G6" i="11"/>
  <c r="G12" i="11" s="1"/>
  <c r="L12" i="11"/>
  <c r="C30" i="11" s="1"/>
  <c r="B28" i="11"/>
  <c r="B19" i="11"/>
  <c r="C19" i="11" s="1"/>
  <c r="M12" i="11"/>
  <c r="B30" i="11"/>
  <c r="B21" i="11"/>
  <c r="C21" i="11" s="1"/>
  <c r="B52" i="11" l="1"/>
  <c r="H52" i="11" s="1"/>
  <c r="C18" i="11"/>
  <c r="D18" i="11" s="1"/>
  <c r="B29" i="11"/>
  <c r="B31" i="11" s="1"/>
  <c r="B20" i="11"/>
  <c r="I12" i="11"/>
  <c r="C29" i="11" s="1"/>
  <c r="C31" i="11" s="1"/>
  <c r="J6" i="11"/>
  <c r="J12" i="11" s="1"/>
  <c r="D27" i="11"/>
  <c r="D19" i="11"/>
  <c r="B53" i="11"/>
  <c r="B55" i="11"/>
  <c r="D30" i="11"/>
  <c r="D28" i="11"/>
  <c r="P6" i="11" l="1"/>
  <c r="P12" i="11" s="1"/>
  <c r="B22" i="11"/>
  <c r="C20" i="11"/>
  <c r="C22" i="11"/>
  <c r="B54" i="11"/>
  <c r="C55" i="11" s="1"/>
  <c r="D21" i="11"/>
  <c r="H53" i="11"/>
  <c r="C57" i="11"/>
  <c r="D29" i="11" l="1"/>
  <c r="D31" i="11" s="1"/>
  <c r="D20" i="11"/>
  <c r="D22" i="11" s="1"/>
  <c r="H54" i="11"/>
  <c r="C56" i="11"/>
  <c r="B58" i="11"/>
  <c r="H57" i="11"/>
  <c r="H55" i="11"/>
  <c r="H56" i="11" l="1"/>
  <c r="H58" i="11" s="1"/>
  <c r="D57" i="11"/>
  <c r="B45" i="11"/>
  <c r="F45" i="11" s="1"/>
  <c r="C58" i="11"/>
  <c r="D58" i="11" l="1"/>
  <c r="B46" i="11"/>
  <c r="F46" i="11"/>
  <c r="F47" i="11" s="1"/>
  <c r="D45" i="11"/>
  <c r="D46" i="11" s="1"/>
  <c r="D47" i="11" s="1"/>
  <c r="E58" i="11" s="1"/>
  <c r="E55" i="11" l="1"/>
  <c r="G55" i="11" s="1"/>
  <c r="E57" i="11"/>
  <c r="G57" i="11" s="1"/>
  <c r="E56" i="11"/>
  <c r="G56" i="11" s="1"/>
  <c r="F58" i="11"/>
  <c r="F57" i="11" l="1"/>
  <c r="F55" i="11"/>
  <c r="F54" i="11"/>
  <c r="F52" i="11"/>
  <c r="F56" i="11"/>
  <c r="F53" i="11"/>
  <c r="G58" i="11"/>
  <c r="E52" i="11"/>
  <c r="G52" i="11" s="1"/>
  <c r="E53" i="11"/>
  <c r="G53" i="11" s="1"/>
  <c r="E54" i="11"/>
  <c r="G54" i="11" s="1"/>
</calcChain>
</file>

<file path=xl/comments1.xml><?xml version="1.0" encoding="utf-8"?>
<comments xmlns="http://schemas.openxmlformats.org/spreadsheetml/2006/main">
  <authors>
    <author>Jordi Miró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Jordi Miró:</t>
        </r>
        <r>
          <rPr>
            <sz val="9"/>
            <color indexed="81"/>
            <rFont val="Tahoma"/>
            <family val="2"/>
          </rPr>
          <t xml:space="preserve">
STM +
Compra wildcard</t>
        </r>
      </text>
    </comment>
    <comment ref="Q20" authorId="0">
      <text>
        <r>
          <rPr>
            <b/>
            <sz val="9"/>
            <color indexed="81"/>
            <rFont val="Tahoma"/>
            <family val="2"/>
          </rPr>
          <t>Jordi Miró:</t>
        </r>
        <r>
          <rPr>
            <sz val="9"/>
            <color indexed="81"/>
            <rFont val="Tahoma"/>
            <family val="2"/>
          </rPr>
          <t xml:space="preserve">
Compra WildCard per organitzacions.</t>
        </r>
      </text>
    </comment>
  </commentList>
</comments>
</file>

<file path=xl/comments2.xml><?xml version="1.0" encoding="utf-8"?>
<comments xmlns="http://schemas.openxmlformats.org/spreadsheetml/2006/main">
  <authors>
    <author>Jordi Miró</author>
  </authors>
  <commentList>
    <comment ref="O3" authorId="0">
      <text>
        <r>
          <rPr>
            <b/>
            <sz val="9"/>
            <color indexed="81"/>
            <rFont val="Tahoma"/>
            <family val="2"/>
          </rPr>
          <t>Jordi Miró:</t>
        </r>
        <r>
          <rPr>
            <sz val="9"/>
            <color indexed="81"/>
            <rFont val="Tahoma"/>
            <family val="2"/>
          </rPr>
          <t xml:space="preserve">
Els preus que ens han proporcionat, tant heroku com Amazon son amb l'IVA inclòs.</t>
        </r>
      </text>
    </comment>
    <comment ref="P75" authorId="0">
      <text>
        <r>
          <rPr>
            <b/>
            <sz val="9"/>
            <color indexed="81"/>
            <rFont val="Tahoma"/>
            <family val="2"/>
          </rPr>
          <t>Jordi Miró:</t>
        </r>
        <r>
          <rPr>
            <sz val="9"/>
            <color indexed="81"/>
            <rFont val="Tahoma"/>
            <family val="2"/>
          </rPr>
          <t xml:space="preserve">
Preu de les darreres 2 factures (APSL)</t>
        </r>
      </text>
    </comment>
  </commentList>
</comments>
</file>

<file path=xl/sharedStrings.xml><?xml version="1.0" encoding="utf-8"?>
<sst xmlns="http://schemas.openxmlformats.org/spreadsheetml/2006/main" count="743" uniqueCount="274">
  <si>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</si>
  <si>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</si>
  <si>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</si>
  <si>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</si>
  <si>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</si>
  <si>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</si>
  <si>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</si>
  <si>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</si>
  <si>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</si>
  <si>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</si>
  <si>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</si>
  <si>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Oficina Tècnica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</si>
  <si>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</si>
  <si>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</si>
  <si>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</si>
  <si>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</si>
  <si>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</si>
  <si>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</si>
  <si>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</si>
  <si>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</si>
  <si>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</si>
  <si>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</si>
  <si>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</si>
  <si>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</si>
  <si>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</si>
  <si>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</si>
  <si>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</si>
  <si>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</si>
  <si>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</si>
  <si>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</si>
  <si>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</si>
  <si>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</si>
  <si>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</si>
  <si>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</si>
  <si>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</si>
  <si>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</si>
  <si>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</si>
  <si>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</si>
  <si>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</si>
  <si>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</si>
  <si>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</si>
  <si>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</si>
  <si>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</si>
  <si>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</si>
  <si>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</si>
  <si>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</si>
  <si>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</si>
  <si>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</si>
  <si>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</si>
  <si>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</si>
  <si>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</si>
  <si>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</si>
  <si>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</si>
  <si>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</si>
  <si>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</si>
  <si>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</si>
  <si>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</si>
  <si>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</si>
  <si>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</si>
  <si>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</si>
  <si>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</si>
  <si>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</si>
  <si>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</si>
  <si>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</si>
  <si>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</si>
  <si>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</si>
  <si>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</si>
  <si>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</si>
  <si>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</si>
  <si>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</si>
  <si>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</si>
  <si>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</si>
  <si>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</si>
  <si>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</si>
  <si>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</si>
  <si>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</si>
  <si>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</si>
  <si>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</si>
  <si>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</si>
  <si>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</si>
  <si>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</si>
  <si>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</si>
  <si>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</si>
  <si>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</si>
  <si>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</si>
  <si>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</si>
  <si>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</si>
  <si>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</si>
  <si>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</si>
  <si>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</si>
  <si>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</si>
  <si>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</si>
  <si>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</si>
  <si>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</si>
  <si>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</si>
  <si>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</si>
  <si>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</si>
  <si>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</si>
  <si>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</si>
  <si>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</si>
  <si>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</si>
  <si>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</si>
  <si>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</si>
  <si>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</si>
  <si>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</si>
  <si>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</si>
  <si>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</si>
  <si>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</si>
  <si>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</si>
  <si>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</si>
  <si>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</si>
  <si>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</si>
  <si>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</si>
  <si>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</si>
  <si>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</si>
  <si>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</si>
  <si>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Total</t>
  </si>
  <si>
    <t>Transició</t>
  </si>
  <si>
    <t>Import 2021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</si>
  <si>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</si>
  <si>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</si>
  <si>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</si>
  <si>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</si>
  <si>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</si>
  <si>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</si>
  <si>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</si>
  <si>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</si>
  <si>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</si>
  <si>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</si>
  <si>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</si>
  <si>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</si>
  <si>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</si>
  <si>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</si>
  <si>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</si>
  <si>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</si>
  <si>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</si>
  <si>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</si>
  <si>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</si>
  <si>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</si>
  <si>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</si>
  <si>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</si>
  <si>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Import Total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</si>
  <si>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</si>
  <si>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</si>
  <si>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</si>
  <si>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</si>
  <si>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</si>
  <si>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</si>
  <si>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</si>
  <si>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€ Transició</t>
  </si>
  <si>
    <t>PT  Manteniment recurrent</t>
  </si>
  <si>
    <t>Coordinador del contracte / Cap de projecte sènior</t>
  </si>
  <si>
    <t>Data inici transició</t>
  </si>
  <si>
    <t>12 mesos</t>
  </si>
  <si>
    <t>Import</t>
  </si>
  <si>
    <t>%</t>
  </si>
  <si>
    <t>SER0555</t>
  </si>
  <si>
    <t>DECIDIM</t>
  </si>
  <si>
    <t>Decidim Barcelona</t>
  </si>
  <si>
    <t>€ Evolutius</t>
  </si>
  <si>
    <t>Import 2022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</si>
  <si>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</si>
  <si>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</si>
  <si>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</si>
  <si>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</si>
  <si>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</si>
  <si>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</si>
  <si>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Hosting Decidim</t>
  </si>
  <si>
    <t>TOTAL</t>
  </si>
  <si>
    <t>CAPÍTOL II</t>
  </si>
  <si>
    <t>CAPÍTOL VI</t>
  </si>
  <si>
    <t>APPDC01</t>
  </si>
  <si>
    <t>APPDC02</t>
  </si>
  <si>
    <t>APPDC03</t>
  </si>
  <si>
    <t>APPDC04</t>
  </si>
  <si>
    <t>Nombre unitats</t>
  </si>
  <si>
    <t>50 MB</t>
  </si>
  <si>
    <t>25 MB</t>
  </si>
  <si>
    <t xml:space="preserve"> (*) Preus originals el USD, convertits a EUR</t>
  </si>
  <si>
    <t>Allotjament d’aplicacions web (Hosting DECIDIM)</t>
  </si>
  <si>
    <t>€ Allotjament d’aplicacions web</t>
  </si>
  <si>
    <t>decidim-bcn-organizations</t>
  </si>
  <si>
    <t>decidim-barcelona</t>
  </si>
  <si>
    <t>metadecidim</t>
  </si>
  <si>
    <t>COST</t>
  </si>
  <si>
    <t>Standard 0</t>
  </si>
  <si>
    <t>Premium 0</t>
  </si>
  <si>
    <t>MAX ANUAL</t>
  </si>
  <si>
    <t>MAXIM</t>
  </si>
  <si>
    <t>4.2.1 Infraestructura allotjament</t>
  </si>
  <si>
    <t>Postgres RAM</t>
  </si>
  <si>
    <t>Postgres Espai</t>
  </si>
  <si>
    <t>4 GB</t>
  </si>
  <si>
    <t>64 GB</t>
  </si>
  <si>
    <t>Postgres Connexions</t>
  </si>
  <si>
    <t>Postgres Backup</t>
  </si>
  <si>
    <t>Memcached</t>
  </si>
  <si>
    <t>30 MB</t>
  </si>
  <si>
    <t>Redis</t>
  </si>
  <si>
    <t>40.000 mes</t>
  </si>
  <si>
    <t>SendGrid mails</t>
  </si>
  <si>
    <t>RAM</t>
  </si>
  <si>
    <t>1 GB</t>
  </si>
  <si>
    <t>100 MB</t>
  </si>
  <si>
    <t>12.000 mes</t>
  </si>
  <si>
    <t>limitat 10 milions files</t>
  </si>
  <si>
    <t>decidim-RRHH</t>
  </si>
  <si>
    <t>Descripcció detallada serveis per cada Aplicació</t>
  </si>
  <si>
    <t>Tasques administració d'allotjament</t>
  </si>
  <si>
    <t>Infraestructura</t>
  </si>
  <si>
    <t>Tasques d'administració</t>
  </si>
  <si>
    <t>Decidim BCN Organitzacions</t>
  </si>
  <si>
    <t>Decidim RRHH</t>
  </si>
  <si>
    <t>APPDC05</t>
  </si>
  <si>
    <t>APLICACIÓ</t>
  </si>
  <si>
    <t>Metadecidim</t>
  </si>
  <si>
    <t>Import 2023</t>
  </si>
  <si>
    <t>Import 2024</t>
  </si>
  <si>
    <t>Heroku Postgres Standard 0</t>
  </si>
  <si>
    <t>Twilio SendGrid Bronze (40.000 mails / mes)</t>
  </si>
  <si>
    <t>Standard-2X × 1 (worker)</t>
  </si>
  <si>
    <t>Memcached Cloud 100MB</t>
  </si>
  <si>
    <t>Rails Autoscale Silver</t>
  </si>
  <si>
    <t>Heroku Redis Premium 2</t>
  </si>
  <si>
    <t>Standard-2X × 2 (web)</t>
  </si>
  <si>
    <t>decidim-barcelona-preprod</t>
  </si>
  <si>
    <t>Standard-1X × 1 (worker)</t>
  </si>
  <si>
    <t>Rails Autoscale Silver - Standard</t>
  </si>
  <si>
    <t>Twilio SendGrid Bronze</t>
  </si>
  <si>
    <t>pre-producció AWS - t2.small</t>
  </si>
  <si>
    <t>producció AWS - m5.large</t>
  </si>
  <si>
    <t>https://aws.amazon.com/ec2/pricing/on-demand/</t>
  </si>
  <si>
    <t>PVP</t>
  </si>
  <si>
    <t>1 Dólar = 0,84 Euros</t>
  </si>
  <si>
    <t>Data de conversió 18/03/2021</t>
  </si>
  <si>
    <t xml:space="preserve">Standard-2X × 2 (web) </t>
  </si>
  <si>
    <t>WEB dyno</t>
  </si>
  <si>
    <t>Tasques dyno</t>
  </si>
  <si>
    <t>Twilio SendGrid Gold</t>
  </si>
  <si>
    <t>Servei Transversal de manteniment</t>
  </si>
  <si>
    <t>€ STM</t>
  </si>
  <si>
    <t>Correu electrònic (10 comptes)</t>
  </si>
  <si>
    <t>IMPORT TOTAL</t>
  </si>
  <si>
    <t>decidim-barcelona-preproducció</t>
  </si>
  <si>
    <t>decidim-bcn-organizations 2</t>
  </si>
  <si>
    <t>TT STM</t>
  </si>
  <si>
    <t>Llicències STM</t>
  </si>
  <si>
    <t xml:space="preserve">Modificacions per augment o disminució de volumetries en Serveis/Aplicacions </t>
  </si>
  <si>
    <t>Preu/hora IVA exclòs</t>
  </si>
  <si>
    <t>Preu /hora IVA inclòs</t>
  </si>
  <si>
    <t>Analista programador Ruby On Rails sènior</t>
  </si>
  <si>
    <t>Analista programador Ruby On Rails júnior</t>
  </si>
  <si>
    <t>Hores transició</t>
  </si>
  <si>
    <t>Dies contracte</t>
  </si>
  <si>
    <t>Dies any</t>
  </si>
  <si>
    <t>Factura Juny</t>
  </si>
  <si>
    <t xml:space="preserve">PREU €/mes  </t>
  </si>
  <si>
    <t>5 GB</t>
  </si>
  <si>
    <t>Performance M × 2 (web) -11 mesos</t>
  </si>
  <si>
    <t>Performance L × 1 (web) -1 mes</t>
  </si>
  <si>
    <t>Heroku Postgres Standard 2</t>
  </si>
  <si>
    <t>PREU €/mes  (amb IVA)</t>
  </si>
  <si>
    <t>Cost total €/mes  (amb IVA)</t>
  </si>
  <si>
    <t>Cost total ANUAL (amb IVA)</t>
  </si>
  <si>
    <t>PREU €/hora  (amb IVA)</t>
  </si>
  <si>
    <t>Preu / hora /perfil (amb iva)</t>
  </si>
  <si>
    <t>Evolutius identificats</t>
  </si>
  <si>
    <t>PT Evolutius Identificats</t>
  </si>
  <si>
    <t>AM PLATAFORMA DECIDIM</t>
  </si>
  <si>
    <t>Especialista en Disseny Web i UX</t>
  </si>
  <si>
    <t>Evolutiu identifcat</t>
  </si>
  <si>
    <t>Preu / hora /perfil (sense iva)</t>
  </si>
  <si>
    <t>Preu perfil (sense iva)</t>
  </si>
  <si>
    <t>VE eventual pròrroga excepcional 29.4 de la LCSP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</si>
</sst>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charset val="1"/>
    </font>
    <font>
      <b/>
      <sz val="10"/>
      <color rgb="FF000000"/>
      <name val="Arial"/>
      <family val="2"/>
    </font>
    <font>
      <sz val="10"/>
      <color rgb="FF8E7CC3"/>
      <name val="Arial"/>
      <family val="2"/>
    </font>
    <font>
      <u/>
      <sz val="10"/>
      <color rgb="FF0000FF"/>
      <name val="Arial"/>
      <family val="2"/>
    </font>
    <font>
      <b/>
      <sz val="10"/>
      <color rgb="FF212121"/>
      <name val="Segoe UI"/>
      <family val="2"/>
    </font>
    <font>
      <sz val="10"/>
      <color rgb="FF212121"/>
      <name val="Segoe UI"/>
      <family val="2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sz val="11"/>
      <color rgb="FF333333"/>
      <name val="Helvetica"/>
      <family val="2"/>
    </font>
  </fonts>
  <fills count="2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9DAF8"/>
        <bgColor rgb="FFC9DAF8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EFEFEF"/>
      </patternFill>
    </fill>
  </fills>
  <borders count="28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</borders>
  <cellStyleXfs count="10">
    <xf numFmtId="0" fontId="0" fillId="0" borderId="0"/>
    <xf numFmtId="44" fontId="3" fillId="0" borderId="0" applyFont="0" applyFill="0" applyBorder="0" applyAlignment="0" applyProtection="0"/>
    <xf numFmtId="0" fontId="33" fillId="0" borderId="0"/>
    <xf numFmtId="0" fontId="34" fillId="0" borderId="0"/>
    <xf numFmtId="43" fontId="34" fillId="0" borderId="0" applyFont="0" applyFill="0" applyBorder="0" applyAlignment="0" applyProtection="0"/>
    <xf numFmtId="168" fontId="34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45" fillId="0" borderId="0" applyNumberFormat="0" applyFill="0" applyBorder="0" applyAlignment="0" applyProtection="0"/>
  </cellStyleXfs>
  <cellXfs count="298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0" fontId="9" fillId="13" borderId="0" xfId="0" applyFont="1" applyFill="1"/>
    <xf numFmtId="0" fontId="11" fillId="0" borderId="0" xfId="0" applyNumberFormat="1" applyFont="1" applyFill="1" applyBorder="1" applyProtection="1">
      <protection hidden="1"/>
    </xf>
    <xf numFmtId="14" fontId="9" fillId="0" borderId="0" xfId="0" applyNumberFormat="1" applyFont="1" applyFill="1"/>
    <xf numFmtId="0" fontId="9" fillId="0" borderId="0" xfId="0" applyFont="1" applyFill="1" applyAlignment="1">
      <alignment horizontal="right"/>
    </xf>
    <xf numFmtId="0" fontId="10" fillId="0" borderId="0" xfId="0" applyNumberFormat="1" applyFont="1" applyFill="1" applyBorder="1" applyProtection="1">
      <protection hidden="1"/>
    </xf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2" fontId="1" fillId="11" borderId="7" xfId="0" applyNumberFormat="1" applyFont="1" applyFill="1" applyBorder="1" applyAlignment="1">
      <alignment horizontal="right"/>
    </xf>
    <xf numFmtId="164" fontId="1" fillId="11" borderId="0" xfId="0" applyNumberFormat="1" applyFont="1" applyFill="1" applyAlignment="1">
      <alignment horizontal="right"/>
    </xf>
    <xf numFmtId="164" fontId="9" fillId="0" borderId="0" xfId="0" applyNumberFormat="1" applyFont="1" applyFill="1" applyAlignment="1">
      <alignment vertical="center"/>
    </xf>
    <xf numFmtId="44" fontId="9" fillId="0" borderId="0" xfId="0" applyNumberFormat="1" applyFont="1" applyFill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164" fontId="9" fillId="11" borderId="0" xfId="0" applyNumberFormat="1" applyFont="1" applyFill="1" applyAlignment="1"/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 applyFill="1"/>
    <xf numFmtId="0" fontId="3" fillId="0" borderId="0" xfId="0" applyFont="1"/>
    <xf numFmtId="14" fontId="9" fillId="0" borderId="0" xfId="0" applyNumberFormat="1" applyFont="1"/>
    <xf numFmtId="3" fontId="1" fillId="11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14" fontId="0" fillId="0" borderId="0" xfId="0" applyNumberFormat="1" applyFill="1" applyAlignment="1">
      <alignment wrapText="1"/>
    </xf>
    <xf numFmtId="0" fontId="0" fillId="0" borderId="0" xfId="0" applyFill="1" applyAlignment="1">
      <alignment horizontal="right" wrapText="1"/>
    </xf>
    <xf numFmtId="8" fontId="9" fillId="0" borderId="0" xfId="0" applyNumberFormat="1" applyFont="1" applyFill="1" applyAlignment="1">
      <alignment horizontal="right"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0" borderId="0" xfId="0" applyNumberFormat="1" applyFont="1" applyAlignment="1">
      <alignment horizontal="left" wrapText="1"/>
    </xf>
    <xf numFmtId="4" fontId="1" fillId="0" borderId="0" xfId="0" applyNumberFormat="1" applyFont="1" applyAlignment="1">
      <alignment horizontal="left" wrapText="1"/>
    </xf>
    <xf numFmtId="4" fontId="10" fillId="11" borderId="0" xfId="0" applyNumberFormat="1" applyFont="1" applyFill="1" applyAlignment="1">
      <alignment horizontal="left" wrapText="1"/>
    </xf>
    <xf numFmtId="0" fontId="1" fillId="11" borderId="0" xfId="0" applyFont="1" applyFill="1" applyAlignment="1">
      <alignment wrapText="1"/>
    </xf>
    <xf numFmtId="164" fontId="0" fillId="0" borderId="1" xfId="0" applyNumberFormat="1" applyBorder="1" applyAlignment="1">
      <alignment wrapText="1"/>
    </xf>
    <xf numFmtId="10" fontId="0" fillId="0" borderId="1" xfId="0" applyNumberFormat="1" applyBorder="1" applyAlignment="1">
      <alignment wrapText="1"/>
    </xf>
    <xf numFmtId="14" fontId="30" fillId="0" borderId="7" xfId="0" applyNumberFormat="1" applyFont="1" applyFill="1" applyBorder="1" applyAlignment="1">
      <alignment horizontal="center"/>
    </xf>
    <xf numFmtId="164" fontId="29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3" fontId="29" fillId="0" borderId="10" xfId="0" applyNumberFormat="1" applyFont="1" applyBorder="1" applyAlignment="1">
      <alignment vertical="center"/>
    </xf>
    <xf numFmtId="0" fontId="0" fillId="0" borderId="0" xfId="0" applyFont="1"/>
    <xf numFmtId="164" fontId="0" fillId="0" borderId="0" xfId="0" applyNumberFormat="1" applyFont="1" applyFill="1" applyAlignment="1">
      <alignment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64" fontId="29" fillId="11" borderId="0" xfId="0" applyNumberFormat="1" applyFont="1" applyFill="1" applyAlignment="1"/>
    <xf numFmtId="3" fontId="29" fillId="0" borderId="0" xfId="0" applyNumberFormat="1" applyFont="1" applyBorder="1" applyAlignment="1">
      <alignment vertical="center"/>
    </xf>
    <xf numFmtId="14" fontId="29" fillId="0" borderId="7" xfId="0" applyNumberFormat="1" applyFont="1" applyFill="1" applyBorder="1" applyAlignment="1">
      <alignment horizontal="center"/>
    </xf>
    <xf numFmtId="44" fontId="29" fillId="0" borderId="8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2" fillId="0" borderId="2" xfId="0" applyFont="1" applyBorder="1" applyAlignment="1">
      <alignment horizontal="left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164" fontId="5" fillId="20" borderId="0" xfId="0" applyNumberFormat="1" applyFont="1" applyFill="1"/>
    <xf numFmtId="164" fontId="1" fillId="0" borderId="0" xfId="0" applyNumberFormat="1" applyFont="1" applyProtection="1">
      <protection locked="0"/>
    </xf>
    <xf numFmtId="0" fontId="14" fillId="0" borderId="0" xfId="0" applyFont="1" applyFill="1" applyBorder="1" applyAlignment="1">
      <alignment horizontal="left" vertical="center"/>
    </xf>
    <xf numFmtId="44" fontId="18" fillId="0" borderId="0" xfId="0" applyNumberFormat="1" applyFont="1" applyBorder="1" applyAlignment="1">
      <alignment horizontal="center" vertical="center" wrapText="1"/>
    </xf>
    <xf numFmtId="0" fontId="33" fillId="0" borderId="0" xfId="2" applyFont="1" applyAlignment="1"/>
    <xf numFmtId="0" fontId="35" fillId="21" borderId="0" xfId="3" applyFont="1" applyFill="1"/>
    <xf numFmtId="0" fontId="34" fillId="21" borderId="0" xfId="3" applyFill="1"/>
    <xf numFmtId="43" fontId="0" fillId="21" borderId="0" xfId="4" applyFont="1" applyFill="1"/>
    <xf numFmtId="0" fontId="36" fillId="22" borderId="2" xfId="2" applyFont="1" applyFill="1" applyBorder="1" applyAlignment="1">
      <alignment wrapText="1"/>
    </xf>
    <xf numFmtId="0" fontId="36" fillId="22" borderId="11" xfId="2" applyFont="1" applyFill="1" applyBorder="1" applyAlignment="1">
      <alignment wrapText="1"/>
    </xf>
    <xf numFmtId="0" fontId="36" fillId="22" borderId="12" xfId="2" applyFont="1" applyFill="1" applyBorder="1" applyAlignment="1">
      <alignment wrapText="1"/>
    </xf>
    <xf numFmtId="0" fontId="36" fillId="22" borderId="13" xfId="2" applyFont="1" applyFill="1" applyBorder="1" applyAlignment="1">
      <alignment wrapText="1"/>
    </xf>
    <xf numFmtId="0" fontId="34" fillId="0" borderId="2" xfId="3" applyBorder="1" applyAlignment="1">
      <alignment wrapText="1"/>
    </xf>
    <xf numFmtId="0" fontId="34" fillId="0" borderId="2" xfId="3" quotePrefix="1" applyBorder="1" applyAlignment="1"/>
    <xf numFmtId="0" fontId="34" fillId="0" borderId="2" xfId="3" applyBorder="1" applyAlignment="1"/>
    <xf numFmtId="0" fontId="38" fillId="0" borderId="2" xfId="2" applyFont="1" applyBorder="1" applyAlignment="1"/>
    <xf numFmtId="168" fontId="34" fillId="17" borderId="6" xfId="5" applyFill="1" applyBorder="1"/>
    <xf numFmtId="168" fontId="34" fillId="17" borderId="2" xfId="5" applyFill="1" applyBorder="1"/>
    <xf numFmtId="0" fontId="39" fillId="0" borderId="2" xfId="3" applyFont="1" applyBorder="1"/>
    <xf numFmtId="43" fontId="38" fillId="0" borderId="3" xfId="2" applyNumberFormat="1" applyFont="1" applyBorder="1" applyAlignment="1"/>
    <xf numFmtId="43" fontId="33" fillId="0" borderId="2" xfId="2" applyNumberFormat="1" applyFont="1" applyBorder="1" applyAlignment="1"/>
    <xf numFmtId="0" fontId="33" fillId="0" borderId="0" xfId="2" applyFont="1" applyAlignment="1"/>
    <xf numFmtId="43" fontId="0" fillId="0" borderId="0" xfId="4" applyFont="1" applyBorder="1"/>
    <xf numFmtId="43" fontId="34" fillId="0" borderId="0" xfId="3" applyNumberFormat="1" applyBorder="1"/>
    <xf numFmtId="0" fontId="34" fillId="0" borderId="0" xfId="3" applyBorder="1"/>
    <xf numFmtId="43" fontId="33" fillId="0" borderId="14" xfId="2" applyNumberFormat="1" applyFont="1" applyBorder="1" applyAlignment="1"/>
    <xf numFmtId="0" fontId="33" fillId="0" borderId="0" xfId="2" applyFont="1" applyBorder="1" applyAlignment="1"/>
    <xf numFmtId="0" fontId="36" fillId="21" borderId="0" xfId="2" applyFont="1" applyFill="1" applyAlignment="1"/>
    <xf numFmtId="0" fontId="36" fillId="21" borderId="0" xfId="2" applyFont="1" applyFill="1"/>
    <xf numFmtId="0" fontId="33" fillId="21" borderId="0" xfId="2" applyFont="1" applyFill="1" applyAlignment="1"/>
    <xf numFmtId="0" fontId="41" fillId="0" borderId="0" xfId="2" applyFont="1"/>
    <xf numFmtId="0" fontId="33" fillId="0" borderId="0" xfId="2" applyFont="1" applyAlignment="1"/>
    <xf numFmtId="0" fontId="36" fillId="22" borderId="2" xfId="2" applyFont="1" applyFill="1" applyBorder="1" applyAlignment="1">
      <alignment wrapText="1"/>
    </xf>
    <xf numFmtId="0" fontId="0" fillId="0" borderId="0" xfId="0" applyAlignment="1">
      <alignment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0" fillId="0" borderId="0" xfId="2" applyFont="1" applyAlignment="1"/>
    <xf numFmtId="0" fontId="38" fillId="0" borderId="6" xfId="2" applyFont="1" applyBorder="1" applyAlignment="1"/>
    <xf numFmtId="0" fontId="38" fillId="0" borderId="0" xfId="2" applyFont="1" applyBorder="1"/>
    <xf numFmtId="0" fontId="34" fillId="0" borderId="2" xfId="3" applyBorder="1" applyAlignment="1">
      <alignment horizontal="center"/>
    </xf>
    <xf numFmtId="0" fontId="34" fillId="0" borderId="2" xfId="3" quotePrefix="1" applyBorder="1" applyAlignment="1">
      <alignment horizontal="right"/>
    </xf>
    <xf numFmtId="0" fontId="34" fillId="0" borderId="2" xfId="3" applyBorder="1" applyAlignment="1">
      <alignment horizontal="right"/>
    </xf>
    <xf numFmtId="0" fontId="38" fillId="0" borderId="2" xfId="2" applyFont="1" applyBorder="1" applyAlignment="1">
      <alignment horizontal="right"/>
    </xf>
    <xf numFmtId="0" fontId="38" fillId="0" borderId="6" xfId="2" applyFont="1" applyBorder="1" applyAlignment="1">
      <alignment horizontal="right"/>
    </xf>
    <xf numFmtId="0" fontId="42" fillId="25" borderId="16" xfId="2" applyFont="1" applyFill="1" applyBorder="1" applyAlignment="1"/>
    <xf numFmtId="0" fontId="33" fillId="3" borderId="0" xfId="2" applyFont="1" applyFill="1" applyAlignment="1"/>
    <xf numFmtId="0" fontId="38" fillId="3" borderId="17" xfId="2" applyFont="1" applyFill="1" applyBorder="1"/>
    <xf numFmtId="43" fontId="33" fillId="0" borderId="0" xfId="2" applyNumberFormat="1" applyFont="1" applyAlignment="1"/>
    <xf numFmtId="0" fontId="34" fillId="0" borderId="0" xfId="3" applyBorder="1" applyAlignment="1">
      <alignment wrapText="1"/>
    </xf>
    <xf numFmtId="43" fontId="40" fillId="0" borderId="0" xfId="2" applyNumberFormat="1" applyFont="1" applyAlignment="1"/>
    <xf numFmtId="0" fontId="38" fillId="0" borderId="6" xfId="2" applyFont="1" applyFill="1" applyBorder="1" applyAlignment="1">
      <alignment wrapText="1"/>
    </xf>
    <xf numFmtId="0" fontId="20" fillId="14" borderId="14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46" fillId="0" borderId="21" xfId="0" applyFont="1" applyBorder="1" applyAlignment="1">
      <alignment vertical="center"/>
    </xf>
    <xf numFmtId="0" fontId="46" fillId="0" borderId="0" xfId="0" applyFont="1" applyAlignment="1">
      <alignment vertical="center"/>
    </xf>
    <xf numFmtId="0" fontId="20" fillId="14" borderId="22" xfId="0" applyFont="1" applyFill="1" applyBorder="1" applyAlignment="1">
      <alignment horizontal="center" vertical="center" wrapText="1"/>
    </xf>
    <xf numFmtId="0" fontId="20" fillId="14" borderId="23" xfId="0" applyFont="1" applyFill="1" applyBorder="1" applyAlignment="1">
      <alignment horizontal="center" vertical="center" wrapText="1"/>
    </xf>
    <xf numFmtId="0" fontId="20" fillId="14" borderId="24" xfId="0" applyFont="1" applyFill="1" applyBorder="1" applyAlignment="1">
      <alignment horizontal="center" vertical="center" wrapText="1"/>
    </xf>
    <xf numFmtId="0" fontId="47" fillId="0" borderId="2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24" xfId="0" applyNumberFormat="1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8" fontId="47" fillId="0" borderId="22" xfId="0" applyNumberFormat="1" applyFont="1" applyBorder="1" applyAlignment="1">
      <alignment horizontal="center" vertical="center" wrapText="1"/>
    </xf>
    <xf numFmtId="8" fontId="47" fillId="0" borderId="24" xfId="0" applyNumberFormat="1" applyFont="1" applyBorder="1" applyAlignment="1">
      <alignment horizontal="center" vertical="center" wrapText="1"/>
    </xf>
    <xf numFmtId="0" fontId="47" fillId="0" borderId="24" xfId="0" applyFont="1" applyBorder="1" applyAlignment="1">
      <alignment horizontal="center" vertical="center" wrapText="1"/>
    </xf>
    <xf numFmtId="0" fontId="48" fillId="0" borderId="0" xfId="0" applyFont="1" applyAlignment="1">
      <alignment horizontal="justify" vertical="center"/>
    </xf>
    <xf numFmtId="0" fontId="38" fillId="0" borderId="6" xfId="2" applyFont="1" applyFill="1" applyBorder="1" applyAlignment="1">
      <alignment horizontal="right"/>
    </xf>
    <xf numFmtId="0" fontId="33" fillId="0" borderId="0" xfId="2" applyFont="1" applyAlignment="1"/>
    <xf numFmtId="0" fontId="49" fillId="0" borderId="0" xfId="0" applyFont="1"/>
    <xf numFmtId="0" fontId="45" fillId="0" borderId="0" xfId="9"/>
    <xf numFmtId="2" fontId="40" fillId="19" borderId="0" xfId="1" applyNumberFormat="1" applyFont="1" applyFill="1" applyAlignment="1"/>
    <xf numFmtId="2" fontId="33" fillId="0" borderId="0" xfId="1" applyNumberFormat="1" applyFont="1" applyAlignment="1"/>
    <xf numFmtId="2" fontId="33" fillId="0" borderId="0" xfId="2" applyNumberFormat="1" applyFont="1" applyAlignment="1"/>
    <xf numFmtId="9" fontId="33" fillId="0" borderId="0" xfId="2" applyNumberFormat="1" applyFont="1" applyAlignment="1"/>
    <xf numFmtId="164" fontId="9" fillId="0" borderId="0" xfId="0" applyNumberFormat="1" applyFont="1" applyFill="1"/>
    <xf numFmtId="3" fontId="29" fillId="0" borderId="0" xfId="0" applyNumberFormat="1" applyFont="1" applyBorder="1" applyAlignment="1">
      <alignment horizontal="center" vertical="center"/>
    </xf>
    <xf numFmtId="164" fontId="11" fillId="11" borderId="0" xfId="0" applyNumberFormat="1" applyFont="1" applyFill="1" applyAlignment="1">
      <alignment horizontal="right"/>
    </xf>
    <xf numFmtId="0" fontId="33" fillId="0" borderId="0" xfId="2" applyFont="1" applyAlignment="1"/>
    <xf numFmtId="168" fontId="33" fillId="0" borderId="0" xfId="2" applyNumberFormat="1" applyFont="1" applyAlignment="1"/>
    <xf numFmtId="44" fontId="33" fillId="0" borderId="0" xfId="1" applyFont="1" applyAlignment="1"/>
    <xf numFmtId="0" fontId="2" fillId="14" borderId="25" xfId="2" applyFont="1" applyFill="1" applyBorder="1" applyAlignment="1">
      <alignment horizontal="center" vertical="center" wrapText="1"/>
    </xf>
    <xf numFmtId="0" fontId="33" fillId="0" borderId="2" xfId="2" applyBorder="1" applyAlignment="1">
      <alignment horizontal="left" vertical="center"/>
    </xf>
    <xf numFmtId="0" fontId="33" fillId="0" borderId="2" xfId="2" applyBorder="1" applyAlignment="1">
      <alignment horizontal="center" vertical="center"/>
    </xf>
    <xf numFmtId="2" fontId="33" fillId="0" borderId="2" xfId="2" applyNumberFormat="1" applyBorder="1" applyAlignment="1">
      <alignment horizontal="center" vertical="center"/>
    </xf>
    <xf numFmtId="0" fontId="33" fillId="0" borderId="7" xfId="2" applyBorder="1"/>
    <xf numFmtId="10" fontId="33" fillId="0" borderId="7" xfId="2" applyNumberFormat="1" applyBorder="1"/>
    <xf numFmtId="2" fontId="33" fillId="0" borderId="7" xfId="2" applyNumberFormat="1" applyBorder="1"/>
    <xf numFmtId="2" fontId="33" fillId="0" borderId="7" xfId="2" applyNumberFormat="1" applyFill="1" applyBorder="1"/>
    <xf numFmtId="4" fontId="1" fillId="11" borderId="0" xfId="0" applyNumberFormat="1" applyFont="1" applyFill="1" applyAlignment="1">
      <alignment horizontal="center"/>
    </xf>
    <xf numFmtId="4" fontId="0" fillId="0" borderId="0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righ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Fill="1" applyProtection="1">
      <protection locked="0"/>
    </xf>
    <xf numFmtId="0" fontId="33" fillId="0" borderId="0" xfId="2" applyFont="1" applyAlignment="1"/>
    <xf numFmtId="2" fontId="40" fillId="0" borderId="0" xfId="2" applyNumberFormat="1" applyFont="1" applyAlignment="1"/>
    <xf numFmtId="2" fontId="9" fillId="0" borderId="0" xfId="0" applyNumberFormat="1" applyFont="1" applyAlignment="1" applyProtection="1">
      <alignment wrapText="1"/>
      <protection locked="0"/>
    </xf>
    <xf numFmtId="4" fontId="9" fillId="0" borderId="0" xfId="0" applyNumberFormat="1" applyFont="1" applyProtection="1">
      <protection locked="0"/>
    </xf>
    <xf numFmtId="4" fontId="9" fillId="0" borderId="0" xfId="0" applyNumberFormat="1" applyFont="1" applyAlignment="1" applyProtection="1">
      <alignment wrapText="1"/>
      <protection locked="0"/>
    </xf>
    <xf numFmtId="4" fontId="9" fillId="0" borderId="0" xfId="0" applyNumberFormat="1" applyFont="1"/>
    <xf numFmtId="0" fontId="6" fillId="14" borderId="7" xfId="0" applyFont="1" applyFill="1" applyBorder="1" applyAlignment="1">
      <alignment horizontal="center" vertical="center" wrapText="1"/>
    </xf>
    <xf numFmtId="10" fontId="0" fillId="0" borderId="0" xfId="0" applyNumberFormat="1"/>
    <xf numFmtId="164" fontId="1" fillId="0" borderId="0" xfId="0" applyNumberFormat="1" applyFont="1"/>
    <xf numFmtId="4" fontId="29" fillId="0" borderId="0" xfId="0" applyNumberFormat="1" applyFont="1" applyBorder="1" applyAlignment="1">
      <alignment vertical="center"/>
    </xf>
    <xf numFmtId="2" fontId="3" fillId="0" borderId="0" xfId="0" applyNumberFormat="1" applyFont="1"/>
    <xf numFmtId="164" fontId="9" fillId="0" borderId="0" xfId="0" applyNumberFormat="1" applyFont="1" applyProtection="1">
      <protection locked="0"/>
    </xf>
    <xf numFmtId="44" fontId="9" fillId="0" borderId="0" xfId="1" applyFont="1"/>
    <xf numFmtId="44" fontId="9" fillId="0" borderId="0" xfId="0" applyNumberFormat="1" applyFont="1"/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0" fontId="7" fillId="18" borderId="25" xfId="0" applyFont="1" applyFill="1" applyBorder="1" applyAlignment="1">
      <alignment horizontal="center" vertical="center"/>
    </xf>
    <xf numFmtId="0" fontId="7" fillId="18" borderId="26" xfId="0" applyFont="1" applyFill="1" applyBorder="1" applyAlignment="1">
      <alignment horizontal="center" vertical="center"/>
    </xf>
    <xf numFmtId="0" fontId="7" fillId="18" borderId="27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14" fillId="19" borderId="3" xfId="0" applyFont="1" applyFill="1" applyBorder="1" applyAlignment="1">
      <alignment horizontal="center" vertical="center"/>
    </xf>
    <xf numFmtId="0" fontId="14" fillId="19" borderId="5" xfId="0" applyFont="1" applyFill="1" applyBorder="1" applyAlignment="1">
      <alignment horizontal="center" vertical="center"/>
    </xf>
    <xf numFmtId="0" fontId="14" fillId="19" borderId="6" xfId="0" applyFont="1" applyFill="1" applyBorder="1" applyAlignment="1">
      <alignment horizontal="center" vertical="center"/>
    </xf>
    <xf numFmtId="0" fontId="42" fillId="25" borderId="16" xfId="2" applyFont="1" applyFill="1" applyBorder="1" applyAlignment="1"/>
    <xf numFmtId="0" fontId="33" fillId="3" borderId="0" xfId="2" applyFont="1" applyFill="1" applyAlignment="1"/>
    <xf numFmtId="0" fontId="38" fillId="3" borderId="17" xfId="2" applyFont="1" applyFill="1" applyBorder="1"/>
    <xf numFmtId="0" fontId="41" fillId="24" borderId="18" xfId="2" applyFont="1" applyFill="1" applyBorder="1" applyAlignment="1"/>
    <xf numFmtId="0" fontId="38" fillId="0" borderId="19" xfId="2" applyFont="1" applyBorder="1"/>
    <xf numFmtId="0" fontId="38" fillId="0" borderId="20" xfId="2" applyFont="1" applyBorder="1"/>
    <xf numFmtId="0" fontId="42" fillId="25" borderId="18" xfId="2" applyFont="1" applyFill="1" applyBorder="1" applyAlignment="1"/>
    <xf numFmtId="0" fontId="38" fillId="3" borderId="19" xfId="2" applyFont="1" applyFill="1" applyBorder="1"/>
    <xf numFmtId="0" fontId="38" fillId="3" borderId="20" xfId="2" applyFont="1" applyFill="1" applyBorder="1"/>
    <xf numFmtId="0" fontId="34" fillId="0" borderId="3" xfId="3" applyBorder="1" applyAlignment="1">
      <alignment horizontal="center"/>
    </xf>
    <xf numFmtId="0" fontId="34" fillId="0" borderId="6" xfId="3" applyBorder="1" applyAlignment="1">
      <alignment horizontal="center"/>
    </xf>
    <xf numFmtId="0" fontId="36" fillId="23" borderId="13" xfId="2" applyFont="1" applyFill="1" applyBorder="1" applyAlignment="1"/>
    <xf numFmtId="0" fontId="38" fillId="0" borderId="15" xfId="2" applyFont="1" applyBorder="1"/>
    <xf numFmtId="0" fontId="38" fillId="0" borderId="11" xfId="2" applyFont="1" applyBorder="1"/>
    <xf numFmtId="0" fontId="37" fillId="0" borderId="0" xfId="2" applyFont="1" applyAlignment="1"/>
    <xf numFmtId="0" fontId="33" fillId="0" borderId="0" xfId="2" applyFont="1" applyAlignment="1"/>
    <xf numFmtId="0" fontId="41" fillId="24" borderId="13" xfId="2" applyFont="1" applyFill="1" applyBorder="1" applyAlignment="1"/>
    <xf numFmtId="0" fontId="45" fillId="23" borderId="16" xfId="9" applyFill="1" applyBorder="1" applyAlignment="1"/>
    <xf numFmtId="0" fontId="38" fillId="0" borderId="17" xfId="2" applyFont="1" applyBorder="1"/>
    <xf numFmtId="0" fontId="41" fillId="24" borderId="16" xfId="2" applyFont="1" applyFill="1" applyBorder="1" applyAlignment="1">
      <alignment wrapText="1"/>
    </xf>
  </cellXfs>
  <cellStyles count="10">
    <cellStyle name="Coma 2" xfId="4"/>
    <cellStyle name="Enllaç" xfId="9" builtinId="8"/>
    <cellStyle name="Millares 2" xfId="6"/>
    <cellStyle name="Moneda" xfId="1" builtinId="4"/>
    <cellStyle name="Moneda 2" xfId="5"/>
    <cellStyle name="Normal" xfId="0" builtinId="0"/>
    <cellStyle name="Normal 2" xfId="3"/>
    <cellStyle name="Normal 3" xfId="2"/>
    <cellStyle name="Normal 4" xfId="7"/>
    <cellStyle name="Normal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29</xdr:row>
          <xdr:rowOff>57150</xdr:rowOff>
        </xdr:from>
        <xdr:to>
          <xdr:col>0</xdr:col>
          <xdr:colOff>1076325</xdr:colOff>
          <xdr:row>30</xdr:row>
          <xdr:rowOff>95250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29</xdr:row>
          <xdr:rowOff>57150</xdr:rowOff>
        </xdr:from>
        <xdr:to>
          <xdr:col>0</xdr:col>
          <xdr:colOff>1076325</xdr:colOff>
          <xdr:row>30</xdr:row>
          <xdr:rowOff>95250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29</xdr:row>
          <xdr:rowOff>57150</xdr:rowOff>
        </xdr:from>
        <xdr:to>
          <xdr:col>0</xdr:col>
          <xdr:colOff>1076325</xdr:colOff>
          <xdr:row>30</xdr:row>
          <xdr:rowOff>95250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29</xdr:row>
          <xdr:rowOff>57150</xdr:rowOff>
        </xdr:from>
        <xdr:to>
          <xdr:col>0</xdr:col>
          <xdr:colOff>1076325</xdr:colOff>
          <xdr:row>30</xdr:row>
          <xdr:rowOff>95250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29</xdr:row>
          <xdr:rowOff>57150</xdr:rowOff>
        </xdr:from>
        <xdr:to>
          <xdr:col>0</xdr:col>
          <xdr:colOff>1076325</xdr:colOff>
          <xdr:row>30</xdr:row>
          <xdr:rowOff>95250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://QUOTA/Documents_Serveis_IMI/Serveis%20Aplicacions/2017%20Pressupost/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U://QUOTA/Documents_Serveis_IMI/Serveis%20Aplicacions/2016%20Serveis%20Aplicacions/2016%20Pressupost%20aplicacions/Pressupostos%20serveis%20Aplicacions%202016%20Actual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aws.amazon.com/ec2/pricing/on-demand/" TargetMode="Externa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A36"/>
  <sheetViews>
    <sheetView zoomScaleNormal="100" workbookViewId="0">
      <selection activeCell="A31" sqref="A31"/>
    </sheetView>
  </sheetViews>
  <sheetFormatPr defaultColWidth="11.42578125" defaultRowHeight="15" x14ac:dyDescent="0.25"/>
  <cols>
    <col min="1" max="1" width="19.140625" style="60" bestFit="1" customWidth="1"/>
    <col min="2" max="2" width="11.140625" style="59" customWidth="1"/>
    <col min="3" max="3" width="13.28515625" style="59" customWidth="1"/>
    <col min="4" max="4" width="12.5703125" style="59" customWidth="1"/>
    <col min="5" max="5" width="14.5703125" style="58" customWidth="1"/>
    <col min="6" max="6" width="47" style="59" customWidth="1"/>
    <col min="7" max="7" width="15.28515625" style="58" customWidth="1"/>
    <col min="8" max="8" width="18.42578125" style="58" customWidth="1"/>
    <col min="9" max="9" width="16.7109375" style="60" customWidth="1"/>
    <col min="10" max="10" width="18.42578125" style="60" bestFit="1" customWidth="1"/>
    <col min="11" max="11" width="13.140625" style="60" customWidth="1"/>
    <col min="12" max="12" width="14.5703125" style="60" customWidth="1"/>
    <col min="13" max="13" width="18.7109375" style="60" bestFit="1" customWidth="1"/>
    <col min="14" max="14" width="15.28515625" style="60" customWidth="1"/>
    <col min="15" max="15" width="15.5703125" style="60" customWidth="1"/>
    <col min="16" max="17" width="12.28515625" style="60" customWidth="1"/>
    <col min="18" max="18" width="12.7109375" style="60" customWidth="1"/>
    <col min="19" max="20" width="14.42578125" style="60" customWidth="1"/>
    <col min="21" max="22" width="17.85546875" style="61" bestFit="1" customWidth="1"/>
    <col min="23" max="23" width="14.42578125" style="109" customWidth="1"/>
    <col min="24" max="24" width="11.5703125" style="61" bestFit="1" customWidth="1"/>
    <col min="25" max="25" width="18.28515625" style="61" bestFit="1" customWidth="1"/>
    <col min="26" max="26" width="17.28515625" style="61" customWidth="1"/>
    <col min="27" max="27" width="14" style="60" customWidth="1"/>
    <col min="28" max="29" width="11.42578125" style="60"/>
    <col min="30" max="30" width="12.7109375" style="60" bestFit="1" customWidth="1"/>
    <col min="31" max="16384" width="11.42578125" style="60"/>
  </cols>
  <sheetData>
    <row r="1" spans="1:27" ht="31.5" customHeight="1" x14ac:dyDescent="0.25">
      <c r="A1" s="71" t="s">
        <v>268</v>
      </c>
      <c r="B1" s="117"/>
      <c r="C1" s="117"/>
      <c r="D1" s="117"/>
      <c r="E1" s="62"/>
      <c r="F1" s="117"/>
      <c r="G1" s="61"/>
      <c r="H1" s="60"/>
      <c r="U1" s="60"/>
      <c r="V1" s="60"/>
      <c r="Y1" s="60"/>
      <c r="Z1" s="60"/>
    </row>
    <row r="2" spans="1:27" x14ac:dyDescent="0.25">
      <c r="A2" s="63"/>
      <c r="B2" s="118"/>
      <c r="C2" s="118"/>
      <c r="D2" s="118"/>
      <c r="E2" s="64"/>
      <c r="F2" s="122"/>
      <c r="G2" s="64">
        <v>44630</v>
      </c>
      <c r="H2" s="110">
        <v>44927</v>
      </c>
      <c r="I2" s="64">
        <v>45292</v>
      </c>
      <c r="J2" s="110">
        <v>45658</v>
      </c>
      <c r="K2" s="64"/>
      <c r="L2" s="110"/>
      <c r="U2" s="60"/>
      <c r="V2" s="60"/>
      <c r="X2" s="60"/>
      <c r="Y2" s="60"/>
      <c r="Z2" s="60"/>
    </row>
    <row r="3" spans="1:27" x14ac:dyDescent="0.25">
      <c r="A3" s="63"/>
      <c r="B3" s="118"/>
      <c r="C3" s="118"/>
      <c r="D3" s="118"/>
      <c r="E3" s="64"/>
      <c r="F3" s="122"/>
      <c r="G3" s="64">
        <v>44926</v>
      </c>
      <c r="H3" s="110">
        <v>45291</v>
      </c>
      <c r="I3" s="110">
        <v>45657</v>
      </c>
      <c r="J3" s="115">
        <v>45725</v>
      </c>
      <c r="K3" s="110"/>
      <c r="L3" s="110"/>
      <c r="U3" s="60"/>
      <c r="V3" s="60"/>
      <c r="W3" s="60"/>
      <c r="X3" s="60"/>
      <c r="Y3" s="60"/>
      <c r="Z3" s="60"/>
    </row>
    <row r="4" spans="1:27" x14ac:dyDescent="0.25">
      <c r="B4" s="118"/>
      <c r="C4" s="118"/>
      <c r="D4" s="118"/>
      <c r="E4" s="64"/>
      <c r="F4" s="158" t="s">
        <v>253</v>
      </c>
      <c r="G4" s="137">
        <f>G3-G2+1</f>
        <v>297</v>
      </c>
      <c r="H4" s="137">
        <f>H3-H2+1</f>
        <v>365</v>
      </c>
      <c r="I4" s="137">
        <f>I3-I2+1</f>
        <v>366</v>
      </c>
      <c r="J4" s="137">
        <f>J3-J2+1</f>
        <v>68</v>
      </c>
      <c r="U4" s="60"/>
      <c r="V4" s="60"/>
      <c r="W4" s="60"/>
      <c r="X4" s="60"/>
      <c r="Y4" s="60"/>
      <c r="Z4" s="60"/>
    </row>
    <row r="5" spans="1:27" x14ac:dyDescent="0.25">
      <c r="B5" s="118"/>
      <c r="C5" s="118"/>
      <c r="D5" s="118"/>
      <c r="E5" s="64"/>
      <c r="F5" s="158" t="s">
        <v>254</v>
      </c>
      <c r="G5" s="137">
        <f>365 + IF(MOD(YEAR(G3),4)=0,1,0)</f>
        <v>365</v>
      </c>
      <c r="H5" s="137">
        <f>365 + IF(MOD(YEAR(H3),4)=0,1,0)</f>
        <v>365</v>
      </c>
      <c r="I5" s="137">
        <f>365 + IF(MOD(YEAR(I3),4)=0,1,0)</f>
        <v>366</v>
      </c>
      <c r="J5" s="137">
        <f>365 + IF(MOD(YEAR(J3),4)=0,1,0)</f>
        <v>365</v>
      </c>
      <c r="U5" s="60"/>
      <c r="V5" s="60"/>
      <c r="W5" s="60"/>
      <c r="X5" s="60"/>
      <c r="Y5" s="60"/>
      <c r="Z5" s="60"/>
    </row>
    <row r="6" spans="1:27" ht="18.75" customHeight="1" x14ac:dyDescent="0.25">
      <c r="A6" s="63"/>
      <c r="B6" s="119"/>
      <c r="C6" s="119"/>
      <c r="D6" s="119"/>
      <c r="E6" s="65"/>
      <c r="F6" s="123" t="s">
        <v>0</v>
      </c>
      <c r="G6" s="56" t="s">
        <v>118</v>
      </c>
      <c r="H6" s="56" t="s">
        <v>160</v>
      </c>
      <c r="I6" s="56" t="s">
        <v>216</v>
      </c>
      <c r="J6" s="56" t="s">
        <v>217</v>
      </c>
      <c r="K6" s="56"/>
      <c r="L6" s="56"/>
      <c r="M6" s="57" t="s">
        <v>141</v>
      </c>
      <c r="N6" s="56" t="s">
        <v>153</v>
      </c>
      <c r="U6" s="60"/>
      <c r="V6" s="60"/>
      <c r="W6" s="60"/>
      <c r="X6" s="60"/>
      <c r="Y6" s="60"/>
      <c r="Z6" s="60"/>
    </row>
    <row r="7" spans="1:27" x14ac:dyDescent="0.25">
      <c r="A7" s="66"/>
      <c r="B7" s="120"/>
      <c r="C7" s="120"/>
      <c r="D7" s="120"/>
      <c r="F7" s="124" t="s">
        <v>7</v>
      </c>
      <c r="G7" s="78">
        <f>$J$25/G5*G4</f>
        <v>35758.800000000003</v>
      </c>
      <c r="H7" s="78">
        <f>$J$25/H5*H4</f>
        <v>43946</v>
      </c>
      <c r="I7" s="78">
        <f>$J$25/I5*I4</f>
        <v>43946</v>
      </c>
      <c r="J7" s="78">
        <f>$J$25/J5*J4</f>
        <v>8187.2000000000007</v>
      </c>
      <c r="K7" s="78"/>
      <c r="L7" s="78"/>
      <c r="M7" s="78">
        <f t="shared" ref="M7:M12" si="0">SUM(G7:L7)</f>
        <v>131838</v>
      </c>
      <c r="N7" s="78">
        <f>+J25</f>
        <v>43946</v>
      </c>
      <c r="O7" s="83"/>
      <c r="P7" s="110"/>
      <c r="Q7" s="110"/>
      <c r="R7" s="110"/>
      <c r="S7" s="110"/>
      <c r="T7" s="110"/>
      <c r="U7" s="60"/>
      <c r="V7" s="60"/>
      <c r="W7" s="60"/>
      <c r="X7" s="60"/>
      <c r="Y7" s="60"/>
      <c r="Z7" s="60"/>
      <c r="AA7" s="115"/>
    </row>
    <row r="8" spans="1:27" x14ac:dyDescent="0.25">
      <c r="F8" s="124" t="s">
        <v>14</v>
      </c>
      <c r="G8" s="78">
        <f>$M$25/G5*G4</f>
        <v>22529.443561643839</v>
      </c>
      <c r="H8" s="78">
        <f>$M$25/H5*H4</f>
        <v>27687.700000000004</v>
      </c>
      <c r="I8" s="78">
        <f>$M$25/I5*I4</f>
        <v>27687.7</v>
      </c>
      <c r="J8" s="78">
        <f>$M$25/J5*J4</f>
        <v>5158.2564383561648</v>
      </c>
      <c r="K8" s="78"/>
      <c r="L8" s="78"/>
      <c r="M8" s="78">
        <f t="shared" si="0"/>
        <v>83063.100000000006</v>
      </c>
      <c r="N8" s="78">
        <f>+M25</f>
        <v>27687.7</v>
      </c>
      <c r="O8" s="68"/>
      <c r="P8" s="110"/>
      <c r="Q8" s="110"/>
      <c r="R8" s="110"/>
      <c r="S8" s="110"/>
      <c r="T8" s="110"/>
      <c r="U8" s="60"/>
      <c r="V8" s="60"/>
      <c r="W8" s="60"/>
      <c r="X8" s="60"/>
      <c r="Y8" s="60"/>
      <c r="Z8" s="60"/>
      <c r="AA8" s="110"/>
    </row>
    <row r="9" spans="1:27" x14ac:dyDescent="0.25">
      <c r="F9" s="125" t="s">
        <v>239</v>
      </c>
      <c r="G9" s="78">
        <f>$P$25/G5*G4+Q25</f>
        <v>13234.012602739725</v>
      </c>
      <c r="H9" s="78">
        <f>$P$25/H5*H4</f>
        <v>14809.7</v>
      </c>
      <c r="I9" s="78">
        <f>$P$25/I5*I4</f>
        <v>14809.700000000003</v>
      </c>
      <c r="J9" s="78">
        <f>$P$25/J5*J4</f>
        <v>2759.067397260274</v>
      </c>
      <c r="K9" s="78"/>
      <c r="L9" s="78"/>
      <c r="M9" s="78">
        <f t="shared" si="0"/>
        <v>45612.480000000003</v>
      </c>
      <c r="N9" s="78">
        <f>+P25</f>
        <v>14809.7</v>
      </c>
      <c r="O9" s="83"/>
      <c r="U9" s="60"/>
      <c r="V9" s="60"/>
      <c r="W9" s="60"/>
      <c r="X9" s="60"/>
      <c r="Y9" s="60"/>
      <c r="Z9" s="60"/>
    </row>
    <row r="10" spans="1:27" x14ac:dyDescent="0.25">
      <c r="F10" s="125" t="s">
        <v>266</v>
      </c>
      <c r="G10" s="78">
        <f>ROUND(T25,2)</f>
        <v>116142.96</v>
      </c>
      <c r="H10" s="138"/>
      <c r="I10" s="78"/>
      <c r="J10" s="138"/>
      <c r="K10" s="78"/>
      <c r="L10" s="78"/>
      <c r="M10" s="78">
        <f t="shared" si="0"/>
        <v>116142.96</v>
      </c>
      <c r="O10" s="83"/>
      <c r="U10" s="60"/>
      <c r="V10" s="60"/>
      <c r="W10" s="60"/>
      <c r="X10" s="60"/>
      <c r="Y10" s="60"/>
      <c r="Z10" s="60"/>
    </row>
    <row r="11" spans="1:27" x14ac:dyDescent="0.25">
      <c r="F11" s="124" t="s">
        <v>117</v>
      </c>
      <c r="G11" s="80">
        <f>$W$25</f>
        <v>3601.81</v>
      </c>
      <c r="H11" s="79"/>
      <c r="I11" s="79"/>
      <c r="J11" s="79"/>
      <c r="K11" s="79"/>
      <c r="L11" s="80"/>
      <c r="M11" s="78">
        <f>SUM(G11:L11)</f>
        <v>3601.81</v>
      </c>
      <c r="N11" s="79"/>
      <c r="P11" s="110"/>
      <c r="Q11" s="110"/>
      <c r="R11" s="110"/>
      <c r="S11" s="110"/>
      <c r="T11" s="110"/>
      <c r="U11" s="60"/>
      <c r="V11" s="60"/>
      <c r="W11" s="60"/>
      <c r="X11" s="60"/>
      <c r="Y11" s="60"/>
      <c r="Z11" s="60"/>
    </row>
    <row r="12" spans="1:27" x14ac:dyDescent="0.25">
      <c r="F12" s="125" t="s">
        <v>179</v>
      </c>
      <c r="G12" s="80">
        <f>$G$23/G5*G4</f>
        <v>28390.450349589046</v>
      </c>
      <c r="H12" s="80">
        <f>$G$23/H5*H4</f>
        <v>34890.620800000004</v>
      </c>
      <c r="I12" s="80">
        <f>$G$23/I5*I4</f>
        <v>34890.620800000004</v>
      </c>
      <c r="J12" s="80">
        <f>$G$23/J5*J4</f>
        <v>6500.1704504109593</v>
      </c>
      <c r="K12" s="79"/>
      <c r="L12" s="80"/>
      <c r="M12" s="78">
        <f t="shared" si="0"/>
        <v>104671.86240000003</v>
      </c>
      <c r="N12" s="78">
        <f>G25</f>
        <v>34890.620800000004</v>
      </c>
      <c r="P12" s="110"/>
      <c r="Q12" s="110"/>
      <c r="R12" s="110"/>
      <c r="S12" s="110"/>
      <c r="T12" s="110"/>
      <c r="U12" s="137"/>
      <c r="V12" s="137"/>
      <c r="W12" s="60"/>
      <c r="X12" s="60"/>
      <c r="Y12" s="60"/>
      <c r="Z12" s="60"/>
    </row>
    <row r="13" spans="1:27" x14ac:dyDescent="0.25">
      <c r="F13" s="126" t="s">
        <v>137</v>
      </c>
      <c r="G13" s="145">
        <f>SUM(G7:G12)</f>
        <v>219657.47651397262</v>
      </c>
      <c r="H13" s="81">
        <f>SUM(H7:H12)</f>
        <v>121334.02080000001</v>
      </c>
      <c r="I13" s="81">
        <f>SUM(I7:I12)</f>
        <v>121334.0208</v>
      </c>
      <c r="J13" s="81">
        <f>SUM(J7:J12)</f>
        <v>22604.694286027399</v>
      </c>
      <c r="K13" s="81"/>
      <c r="L13" s="81"/>
      <c r="M13" s="82">
        <f>SUM(M7:M12)</f>
        <v>484930.21240000008</v>
      </c>
      <c r="N13" s="81">
        <f>SUM(N7:N12)</f>
        <v>121334.0208</v>
      </c>
      <c r="P13" s="110"/>
      <c r="Q13" s="110"/>
      <c r="R13" s="110"/>
      <c r="S13" s="110"/>
      <c r="T13" s="110"/>
      <c r="U13" s="110"/>
      <c r="V13" s="110"/>
      <c r="W13" s="60"/>
      <c r="X13" s="60"/>
      <c r="Y13" s="60"/>
      <c r="Z13" s="60"/>
      <c r="AA13" s="110"/>
    </row>
    <row r="14" spans="1:27" ht="15.75" x14ac:dyDescent="0.25">
      <c r="F14" s="125" t="s">
        <v>242</v>
      </c>
      <c r="G14" s="160">
        <f>G13</f>
        <v>219657.47651397262</v>
      </c>
      <c r="M14" s="159">
        <f>M13</f>
        <v>484930.21240000008</v>
      </c>
      <c r="N14" s="83"/>
      <c r="O14" s="61"/>
      <c r="P14" s="61"/>
      <c r="Q14" s="61"/>
      <c r="R14" s="61"/>
      <c r="S14" s="61"/>
      <c r="T14" s="61"/>
      <c r="X14" s="60"/>
      <c r="Y14" s="60"/>
      <c r="Z14" s="60"/>
    </row>
    <row r="15" spans="1:27" x14ac:dyDescent="0.25">
      <c r="B15" s="121"/>
      <c r="C15" s="121"/>
      <c r="D15" s="121"/>
      <c r="E15" s="60"/>
      <c r="F15" s="121"/>
      <c r="G15" s="266"/>
      <c r="H15" s="83"/>
      <c r="J15" s="266"/>
      <c r="M15" s="235"/>
      <c r="N15" s="116"/>
      <c r="U15" s="60"/>
      <c r="V15" s="60"/>
      <c r="X15" s="60"/>
      <c r="Y15" s="60"/>
      <c r="Z15" s="60"/>
    </row>
    <row r="16" spans="1:27" x14ac:dyDescent="0.25">
      <c r="B16" s="121"/>
      <c r="C16" s="121"/>
      <c r="D16" s="121"/>
      <c r="E16" s="60"/>
      <c r="F16" s="121"/>
      <c r="G16" s="267"/>
      <c r="J16" s="267"/>
      <c r="M16" s="235"/>
      <c r="N16" s="116"/>
      <c r="U16" s="60"/>
      <c r="V16" s="60"/>
      <c r="Z16" s="60"/>
    </row>
    <row r="17" spans="1:26" x14ac:dyDescent="0.25">
      <c r="B17" s="121"/>
      <c r="C17" s="121"/>
      <c r="D17" s="121"/>
      <c r="U17" s="116"/>
      <c r="V17" s="116"/>
      <c r="X17" s="68"/>
      <c r="Y17" s="68"/>
    </row>
    <row r="18" spans="1:26" s="68" customFormat="1" ht="45" customHeight="1" x14ac:dyDescent="0.25">
      <c r="A18" s="72" t="s">
        <v>0</v>
      </c>
      <c r="B18" s="72" t="s">
        <v>147</v>
      </c>
      <c r="C18" s="72" t="s">
        <v>154</v>
      </c>
      <c r="D18" s="72" t="s">
        <v>155</v>
      </c>
      <c r="E18" s="72" t="s">
        <v>138</v>
      </c>
      <c r="F18" s="72" t="s">
        <v>140</v>
      </c>
      <c r="G18" s="73" t="s">
        <v>180</v>
      </c>
      <c r="H18" s="73" t="s">
        <v>135</v>
      </c>
      <c r="I18" s="73" t="s">
        <v>109</v>
      </c>
      <c r="J18" s="73" t="s">
        <v>2</v>
      </c>
      <c r="K18" s="73" t="s">
        <v>150</v>
      </c>
      <c r="L18" s="73" t="s">
        <v>109</v>
      </c>
      <c r="M18" s="73" t="s">
        <v>16</v>
      </c>
      <c r="N18" s="73" t="s">
        <v>245</v>
      </c>
      <c r="O18" s="73" t="s">
        <v>109</v>
      </c>
      <c r="P18" s="73" t="s">
        <v>240</v>
      </c>
      <c r="Q18" s="73" t="s">
        <v>246</v>
      </c>
      <c r="R18" s="73" t="s">
        <v>267</v>
      </c>
      <c r="S18" s="73" t="s">
        <v>109</v>
      </c>
      <c r="T18" s="73" t="s">
        <v>159</v>
      </c>
      <c r="U18" s="72" t="s">
        <v>152</v>
      </c>
      <c r="V18" s="72" t="s">
        <v>139</v>
      </c>
      <c r="W18" s="73" t="s">
        <v>149</v>
      </c>
      <c r="Y18" s="114"/>
    </row>
    <row r="19" spans="1:26" s="68" customFormat="1" x14ac:dyDescent="0.25">
      <c r="A19" s="2" t="s">
        <v>156</v>
      </c>
      <c r="B19" s="113" t="s">
        <v>157</v>
      </c>
      <c r="C19" s="128">
        <f>+J19+M19+P19</f>
        <v>37507.1</v>
      </c>
      <c r="D19" s="129">
        <f>+C19/(SUM(C19))</f>
        <v>1</v>
      </c>
      <c r="E19" s="113" t="s">
        <v>171</v>
      </c>
      <c r="F19" s="132" t="s">
        <v>158</v>
      </c>
      <c r="G19" s="134"/>
      <c r="H19" s="253">
        <v>300</v>
      </c>
      <c r="I19" s="133">
        <f>Perfils!$G$6</f>
        <v>62.78</v>
      </c>
      <c r="J19" s="134">
        <f>ROUND(I19*H19,2)</f>
        <v>18834</v>
      </c>
      <c r="K19" s="133">
        <v>200</v>
      </c>
      <c r="L19" s="135">
        <f>Perfils!$G$10</f>
        <v>64.39</v>
      </c>
      <c r="M19" s="134">
        <f t="shared" ref="M19" si="1">ROUND(L19*K19,2)</f>
        <v>12878</v>
      </c>
      <c r="N19" s="133">
        <v>90</v>
      </c>
      <c r="O19" s="135">
        <f>Perfils!$G$14</f>
        <v>64.39</v>
      </c>
      <c r="P19" s="134">
        <f t="shared" ref="P19" si="2">ROUND(O19*N19,2)</f>
        <v>5795.1</v>
      </c>
      <c r="Q19" s="134"/>
      <c r="R19" s="263">
        <v>1846.47</v>
      </c>
      <c r="S19" s="134">
        <f>Perfils!$G$19</f>
        <v>62.9</v>
      </c>
      <c r="T19" s="262">
        <f>ROUND(S19*R19,2)</f>
        <v>116142.96</v>
      </c>
      <c r="U19" s="147">
        <v>44617</v>
      </c>
      <c r="V19" s="147">
        <v>44265</v>
      </c>
      <c r="W19" s="148">
        <f>ROUND(((+J19+M19+P19)/12*0.5),2)</f>
        <v>1562.8</v>
      </c>
      <c r="Y19" s="114"/>
    </row>
    <row r="20" spans="1:26" s="68" customFormat="1" x14ac:dyDescent="0.25">
      <c r="A20" s="2" t="s">
        <v>156</v>
      </c>
      <c r="B20" s="113" t="s">
        <v>157</v>
      </c>
      <c r="C20" s="128">
        <f t="shared" ref="C20:C22" si="3">+J20+M20+P20</f>
        <v>26641.3</v>
      </c>
      <c r="D20" s="129">
        <f>+C20/(SUM(C20))</f>
        <v>1</v>
      </c>
      <c r="E20" s="113" t="s">
        <v>172</v>
      </c>
      <c r="F20" s="132" t="s">
        <v>211</v>
      </c>
      <c r="G20" s="134"/>
      <c r="H20" s="253">
        <v>250</v>
      </c>
      <c r="I20" s="133">
        <f>Perfils!$G$6</f>
        <v>62.78</v>
      </c>
      <c r="J20" s="134">
        <f t="shared" ref="J20:J21" si="4">ROUND(I20*H20,2)</f>
        <v>15695</v>
      </c>
      <c r="K20" s="133">
        <v>100</v>
      </c>
      <c r="L20" s="135">
        <f>Perfils!$G$10</f>
        <v>64.39</v>
      </c>
      <c r="M20" s="134">
        <f t="shared" ref="M20:M21" si="5">ROUND(L20*K20,2)</f>
        <v>6439</v>
      </c>
      <c r="N20" s="133">
        <v>70</v>
      </c>
      <c r="O20" s="135">
        <f>Perfils!$G$14</f>
        <v>64.39</v>
      </c>
      <c r="P20" s="134">
        <f t="shared" ref="P20:P21" si="6">ROUND(O20*N20,2)</f>
        <v>4507.3</v>
      </c>
      <c r="Q20" s="134">
        <f>978*1.21</f>
        <v>1183.3799999999999</v>
      </c>
      <c r="R20" s="146"/>
      <c r="S20" s="134">
        <f>Perfils!$G$19</f>
        <v>62.9</v>
      </c>
      <c r="T20" s="134"/>
      <c r="U20" s="147">
        <v>44617</v>
      </c>
      <c r="V20" s="147">
        <v>44265</v>
      </c>
      <c r="W20" s="148">
        <f t="shared" ref="W20:W22" si="7">ROUND(((+J20+M20+P20)/12*0.5),2)</f>
        <v>1110.05</v>
      </c>
      <c r="Y20" s="114"/>
    </row>
    <row r="21" spans="1:26" s="68" customFormat="1" x14ac:dyDescent="0.25">
      <c r="A21" s="2" t="s">
        <v>156</v>
      </c>
      <c r="B21" s="113" t="s">
        <v>157</v>
      </c>
      <c r="C21" s="128">
        <f t="shared" si="3"/>
        <v>17522.100000000002</v>
      </c>
      <c r="D21" s="129">
        <f>+C21/(SUM(C21))</f>
        <v>1</v>
      </c>
      <c r="E21" s="113" t="s">
        <v>173</v>
      </c>
      <c r="F21" s="132" t="s">
        <v>215</v>
      </c>
      <c r="G21" s="134"/>
      <c r="H21" s="253">
        <v>115</v>
      </c>
      <c r="I21" s="133">
        <f>Perfils!$G$6</f>
        <v>62.78</v>
      </c>
      <c r="J21" s="134">
        <f t="shared" si="4"/>
        <v>7219.7</v>
      </c>
      <c r="K21" s="133">
        <v>100</v>
      </c>
      <c r="L21" s="135">
        <f>Perfils!$G$10</f>
        <v>64.39</v>
      </c>
      <c r="M21" s="134">
        <f t="shared" si="5"/>
        <v>6439</v>
      </c>
      <c r="N21" s="133">
        <v>60</v>
      </c>
      <c r="O21" s="135">
        <f>Perfils!$G$14</f>
        <v>64.39</v>
      </c>
      <c r="P21" s="134">
        <f t="shared" si="6"/>
        <v>3863.4</v>
      </c>
      <c r="Q21" s="134"/>
      <c r="R21" s="146"/>
      <c r="S21" s="134">
        <f>Perfils!$G$19</f>
        <v>62.9</v>
      </c>
      <c r="T21" s="134"/>
      <c r="U21" s="147">
        <v>44617</v>
      </c>
      <c r="V21" s="147">
        <v>44265</v>
      </c>
      <c r="W21" s="148">
        <f t="shared" si="7"/>
        <v>730.09</v>
      </c>
      <c r="Y21" s="114"/>
    </row>
    <row r="22" spans="1:26" s="68" customFormat="1" x14ac:dyDescent="0.25">
      <c r="A22" s="2" t="s">
        <v>156</v>
      </c>
      <c r="B22" s="113" t="s">
        <v>157</v>
      </c>
      <c r="C22" s="128">
        <f t="shared" si="3"/>
        <v>4772.8999999999996</v>
      </c>
      <c r="D22" s="129">
        <v>1</v>
      </c>
      <c r="E22" s="113" t="s">
        <v>174</v>
      </c>
      <c r="F22" s="132" t="s">
        <v>212</v>
      </c>
      <c r="G22" s="134"/>
      <c r="H22" s="256">
        <v>35</v>
      </c>
      <c r="I22" s="133">
        <f>Perfils!$G$6</f>
        <v>62.78</v>
      </c>
      <c r="J22" s="134">
        <f t="shared" ref="J22" si="8">ROUND(I22*H22,2)</f>
        <v>2197.3000000000002</v>
      </c>
      <c r="K22" s="133">
        <v>30</v>
      </c>
      <c r="L22" s="135">
        <f>Perfils!$G$10</f>
        <v>64.39</v>
      </c>
      <c r="M22" s="134">
        <f t="shared" ref="M22" si="9">ROUND(L22*K22,2)</f>
        <v>1931.7</v>
      </c>
      <c r="N22" s="133">
        <v>10</v>
      </c>
      <c r="O22" s="135">
        <f>Perfils!$G$14</f>
        <v>64.39</v>
      </c>
      <c r="P22" s="134">
        <f t="shared" ref="P22" si="10">ROUND(O22*N22,2)</f>
        <v>643.9</v>
      </c>
      <c r="Q22" s="134"/>
      <c r="R22" s="146"/>
      <c r="S22" s="134">
        <f>Perfils!$G$19</f>
        <v>62.9</v>
      </c>
      <c r="T22" s="134"/>
      <c r="U22" s="147">
        <v>44617</v>
      </c>
      <c r="V22" s="147">
        <v>44265</v>
      </c>
      <c r="W22" s="148">
        <f t="shared" si="7"/>
        <v>198.87</v>
      </c>
      <c r="Y22" s="114"/>
    </row>
    <row r="23" spans="1:26" s="68" customFormat="1" x14ac:dyDescent="0.25">
      <c r="A23" s="2" t="s">
        <v>156</v>
      </c>
      <c r="B23" s="113" t="s">
        <v>157</v>
      </c>
      <c r="C23" s="128"/>
      <c r="D23" s="129"/>
      <c r="E23" s="113" t="s">
        <v>213</v>
      </c>
      <c r="F23" s="132" t="s">
        <v>179</v>
      </c>
      <c r="G23" s="134">
        <f>+Infraestructura!R29</f>
        <v>34890.620800000004</v>
      </c>
      <c r="H23" s="236"/>
      <c r="I23" s="133"/>
      <c r="J23" s="134"/>
      <c r="K23" s="133"/>
      <c r="L23" s="135"/>
      <c r="M23" s="134"/>
      <c r="N23" s="133"/>
      <c r="O23" s="135"/>
      <c r="P23" s="134"/>
      <c r="Q23" s="134"/>
      <c r="R23" s="136"/>
      <c r="S23" s="131"/>
      <c r="T23" s="134"/>
      <c r="U23" s="147"/>
      <c r="V23" s="147"/>
      <c r="W23" s="148"/>
      <c r="Y23" s="114"/>
      <c r="Z23" s="114"/>
    </row>
    <row r="24" spans="1:26" s="68" customFormat="1" x14ac:dyDescent="0.25">
      <c r="A24" s="112"/>
      <c r="B24" s="113"/>
      <c r="C24" s="128"/>
      <c r="D24" s="129"/>
      <c r="E24" s="149"/>
      <c r="F24" s="132"/>
      <c r="G24" s="134"/>
      <c r="H24" s="133"/>
      <c r="I24" s="133"/>
      <c r="J24" s="134"/>
      <c r="K24" s="133"/>
      <c r="L24" s="135"/>
      <c r="M24" s="134"/>
      <c r="N24" s="133"/>
      <c r="O24" s="135"/>
      <c r="P24" s="134"/>
      <c r="Q24" s="134"/>
      <c r="R24" s="136"/>
      <c r="S24" s="131"/>
      <c r="T24" s="134"/>
      <c r="U24" s="130"/>
      <c r="V24" s="147"/>
      <c r="W24" s="148"/>
    </row>
    <row r="25" spans="1:26" x14ac:dyDescent="0.25">
      <c r="F25" s="127" t="s">
        <v>116</v>
      </c>
      <c r="G25" s="77">
        <f>SUM(G19:G24)</f>
        <v>34890.620800000004</v>
      </c>
      <c r="H25" s="249">
        <f>SUM(H19:H24)</f>
        <v>700</v>
      </c>
      <c r="I25" s="70"/>
      <c r="J25" s="77">
        <f>SUM(J19:J24)</f>
        <v>43946</v>
      </c>
      <c r="K25" s="249">
        <f>SUM(K19:K24)</f>
        <v>430</v>
      </c>
      <c r="L25" s="69"/>
      <c r="M25" s="77">
        <f>SUM(M19:M24)</f>
        <v>27687.7</v>
      </c>
      <c r="N25" s="249">
        <f>SUM(N19:N24)</f>
        <v>230</v>
      </c>
      <c r="O25" s="70"/>
      <c r="P25" s="237">
        <f>SUM(P19:P24)</f>
        <v>14809.7</v>
      </c>
      <c r="Q25" s="237">
        <f>SUM(Q19:Q24)</f>
        <v>1183.3799999999999</v>
      </c>
      <c r="R25" s="111">
        <f>SUM(R19:R24)</f>
        <v>1846.47</v>
      </c>
      <c r="S25" s="77"/>
      <c r="T25" s="77">
        <f>SUM(T19:T24)</f>
        <v>116142.96</v>
      </c>
      <c r="U25" s="70"/>
      <c r="V25" s="70"/>
      <c r="W25" s="77">
        <f>SUM(W19:W24)</f>
        <v>3601.81</v>
      </c>
      <c r="X25" s="67"/>
      <c r="Y25" s="67"/>
      <c r="Z25" s="67"/>
    </row>
    <row r="26" spans="1:26" x14ac:dyDescent="0.25">
      <c r="A26" s="83"/>
      <c r="B26" s="121"/>
      <c r="C26" s="121"/>
      <c r="D26" s="121"/>
      <c r="E26" s="60"/>
      <c r="F26" s="121"/>
      <c r="G26" s="60"/>
      <c r="H26" s="60"/>
      <c r="J26" s="83"/>
      <c r="U26" s="67"/>
      <c r="V26" s="250" t="s">
        <v>252</v>
      </c>
      <c r="W26" s="264">
        <f>W25/L19</f>
        <v>55.937412641714552</v>
      </c>
      <c r="X26" s="60"/>
      <c r="Y26" s="60"/>
      <c r="Z26" s="60"/>
    </row>
    <row r="27" spans="1:26" x14ac:dyDescent="0.25">
      <c r="B27" s="122"/>
      <c r="C27" s="122"/>
      <c r="D27" s="122"/>
      <c r="E27" s="61"/>
      <c r="F27" s="122"/>
      <c r="G27" s="61"/>
      <c r="H27" s="61"/>
      <c r="I27" s="61"/>
      <c r="J27" s="235"/>
      <c r="K27" s="61"/>
      <c r="L27" s="61"/>
      <c r="M27" s="61"/>
      <c r="N27" s="61"/>
      <c r="O27" s="61"/>
      <c r="P27" s="61"/>
      <c r="Q27" s="61"/>
      <c r="R27" s="61"/>
      <c r="S27" s="61"/>
      <c r="T27" s="61"/>
      <c r="W27" s="108"/>
    </row>
    <row r="28" spans="1:26" x14ac:dyDescent="0.25">
      <c r="B28" s="122"/>
      <c r="C28" s="122"/>
      <c r="D28" s="122"/>
      <c r="E28" s="61"/>
      <c r="F28" s="122"/>
      <c r="G28" s="61"/>
      <c r="H28" s="235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W28" s="108"/>
    </row>
    <row r="29" spans="1:26" x14ac:dyDescent="0.25">
      <c r="H29" s="265"/>
    </row>
    <row r="30" spans="1:26" x14ac:dyDescent="0.25">
      <c r="H30" s="257"/>
      <c r="K30" s="259"/>
      <c r="M30" s="83"/>
    </row>
    <row r="31" spans="1:26" x14ac:dyDescent="0.25">
      <c r="H31" s="257"/>
      <c r="R31" s="259"/>
      <c r="S31" s="83"/>
    </row>
    <row r="32" spans="1:26" x14ac:dyDescent="0.25">
      <c r="H32" s="257"/>
      <c r="M32" s="83"/>
    </row>
    <row r="33" spans="6:13" x14ac:dyDescent="0.25">
      <c r="F33" s="258"/>
      <c r="H33" s="257"/>
      <c r="M33" s="83"/>
    </row>
    <row r="34" spans="6:13" x14ac:dyDescent="0.25">
      <c r="F34" s="258"/>
    </row>
    <row r="35" spans="6:13" x14ac:dyDescent="0.25">
      <c r="F35" s="258"/>
    </row>
    <row r="36" spans="6:13" x14ac:dyDescent="0.25">
      <c r="F36" s="258"/>
    </row>
  </sheetData>
  <sheetProtection insertColumns="0" insertRows="0" sort="0" pivotTables="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ntrol 22">
          <controlPr defaultSize="0" autoPict="0" r:id="rId5">
            <anchor moveWithCells="1">
              <from>
                <xdr:col>0</xdr:col>
                <xdr:colOff>161925</xdr:colOff>
                <xdr:row>29</xdr:row>
                <xdr:rowOff>57150</xdr:rowOff>
              </from>
              <to>
                <xdr:col>0</xdr:col>
                <xdr:colOff>1076325</xdr:colOff>
                <xdr:row>30</xdr:row>
                <xdr:rowOff>95250</xdr:rowOff>
              </to>
            </anchor>
          </controlPr>
        </control>
      </mc:Choice>
      <mc:Fallback>
        <control shapeId="1046" r:id="rId4" name="Control 22"/>
      </mc:Fallback>
    </mc:AlternateContent>
    <mc:AlternateContent xmlns:mc="http://schemas.openxmlformats.org/markup-compatibility/2006">
      <mc:Choice Requires="x14">
        <control shapeId="1042" r:id="rId6" name="Control 18">
          <controlPr defaultSize="0" autoPict="0" r:id="rId7">
            <anchor moveWithCells="1">
              <from>
                <xdr:col>0</xdr:col>
                <xdr:colOff>161925</xdr:colOff>
                <xdr:row>29</xdr:row>
                <xdr:rowOff>57150</xdr:rowOff>
              </from>
              <to>
                <xdr:col>0</xdr:col>
                <xdr:colOff>1076325</xdr:colOff>
                <xdr:row>30</xdr:row>
                <xdr:rowOff>95250</xdr:rowOff>
              </to>
            </anchor>
          </controlPr>
        </control>
      </mc:Choice>
      <mc:Fallback>
        <control shapeId="1042" r:id="rId6" name="Control 18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autoPict="0" r:id="rId9">
            <anchor moveWithCells="1">
              <from>
                <xdr:col>0</xdr:col>
                <xdr:colOff>161925</xdr:colOff>
                <xdr:row>29</xdr:row>
                <xdr:rowOff>57150</xdr:rowOff>
              </from>
              <to>
                <xdr:col>0</xdr:col>
                <xdr:colOff>1076325</xdr:colOff>
                <xdr:row>30</xdr:row>
                <xdr:rowOff>95250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autoPict="0" r:id="rId11">
            <anchor moveWithCells="1">
              <from>
                <xdr:col>0</xdr:col>
                <xdr:colOff>161925</xdr:colOff>
                <xdr:row>29</xdr:row>
                <xdr:rowOff>57150</xdr:rowOff>
              </from>
              <to>
                <xdr:col>0</xdr:col>
                <xdr:colOff>1076325</xdr:colOff>
                <xdr:row>30</xdr:row>
                <xdr:rowOff>95250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autoPict="0" r:id="rId13">
            <anchor moveWithCells="1">
              <from>
                <xdr:col>0</xdr:col>
                <xdr:colOff>161925</xdr:colOff>
                <xdr:row>29</xdr:row>
                <xdr:rowOff>57150</xdr:rowOff>
              </from>
              <to>
                <xdr:col>0</xdr:col>
                <xdr:colOff>1076325</xdr:colOff>
                <xdr:row>30</xdr:row>
                <xdr:rowOff>95250</xdr:rowOff>
              </to>
            </anchor>
          </controlPr>
        </control>
      </mc:Choice>
      <mc:Fallback>
        <control shapeId="1030" r:id="rId12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showGridLines="0" zoomScale="84" zoomScaleNormal="84" workbookViewId="0">
      <selection activeCell="B44" sqref="B44"/>
    </sheetView>
  </sheetViews>
  <sheetFormatPr defaultColWidth="11.42578125" defaultRowHeight="15" x14ac:dyDescent="0.25"/>
  <cols>
    <col min="1" max="1" width="16.5703125" customWidth="1"/>
    <col min="2" max="2" width="24.140625" bestFit="1" customWidth="1"/>
    <col min="3" max="3" width="55.85546875" bestFit="1" customWidth="1"/>
    <col min="4" max="4" width="11.42578125" bestFit="1" customWidth="1"/>
    <col min="5" max="5" width="13.28515625" customWidth="1"/>
    <col min="6" max="6" width="17.57031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8" ht="12" customHeight="1" x14ac:dyDescent="0.25">
      <c r="B1" s="74"/>
    </row>
    <row r="2" spans="2:8" ht="35.25" customHeight="1" x14ac:dyDescent="0.25">
      <c r="B2" s="75" t="s">
        <v>4</v>
      </c>
      <c r="C2" s="75" t="s">
        <v>5</v>
      </c>
      <c r="D2" s="75" t="s">
        <v>6</v>
      </c>
      <c r="E2" s="260" t="s">
        <v>272</v>
      </c>
      <c r="F2" s="260" t="s">
        <v>271</v>
      </c>
      <c r="G2" s="260" t="s">
        <v>265</v>
      </c>
    </row>
    <row r="3" spans="2:8" ht="15" customHeight="1" x14ac:dyDescent="0.25">
      <c r="B3" s="274" t="s">
        <v>7</v>
      </c>
      <c r="C3" s="245" t="s">
        <v>151</v>
      </c>
      <c r="D3" s="246">
        <v>0.1</v>
      </c>
      <c r="E3" s="247">
        <f>$D$26</f>
        <v>66.17</v>
      </c>
      <c r="F3" s="247">
        <f t="shared" ref="F3:F5" si="0">E3*D3</f>
        <v>6.6170000000000009</v>
      </c>
      <c r="G3" s="247">
        <f>F3*1.21</f>
        <v>8.00657</v>
      </c>
    </row>
    <row r="4" spans="2:8" x14ac:dyDescent="0.25">
      <c r="B4" s="274"/>
      <c r="C4" s="245" t="s">
        <v>250</v>
      </c>
      <c r="D4" s="246">
        <v>0.2</v>
      </c>
      <c r="E4" s="247">
        <f>$D$27</f>
        <v>60.67</v>
      </c>
      <c r="F4" s="247">
        <f t="shared" si="0"/>
        <v>12.134</v>
      </c>
      <c r="G4" s="247">
        <f t="shared" ref="G4:G5" si="1">F4*1.21</f>
        <v>14.68214</v>
      </c>
    </row>
    <row r="5" spans="2:8" x14ac:dyDescent="0.25">
      <c r="B5" s="274"/>
      <c r="C5" s="245" t="s">
        <v>251</v>
      </c>
      <c r="D5" s="246">
        <v>0.7</v>
      </c>
      <c r="E5" s="247">
        <f>$D$28</f>
        <v>47.33</v>
      </c>
      <c r="F5" s="247">
        <f t="shared" si="0"/>
        <v>33.131</v>
      </c>
      <c r="G5" s="247">
        <f t="shared" si="1"/>
        <v>40.088509999999999</v>
      </c>
    </row>
    <row r="6" spans="2:8" x14ac:dyDescent="0.25">
      <c r="B6" s="274"/>
      <c r="C6" s="273" t="s">
        <v>119</v>
      </c>
      <c r="D6" s="273"/>
      <c r="E6" s="273"/>
      <c r="F6" s="76">
        <f>ROUND(SUM(F3:F5),2)</f>
        <v>51.88</v>
      </c>
      <c r="G6" s="76">
        <f>ROUND(SUM(G3:G5),2)</f>
        <v>62.78</v>
      </c>
      <c r="H6" s="261">
        <f>SUM(D3:D5)</f>
        <v>1</v>
      </c>
    </row>
    <row r="7" spans="2:8" x14ac:dyDescent="0.25">
      <c r="B7" s="274" t="s">
        <v>14</v>
      </c>
      <c r="C7" s="245" t="s">
        <v>151</v>
      </c>
      <c r="D7" s="246">
        <v>0.1</v>
      </c>
      <c r="E7" s="247">
        <f>$D$26</f>
        <v>66.17</v>
      </c>
      <c r="F7" s="248">
        <f>E7*D7</f>
        <v>6.6170000000000009</v>
      </c>
      <c r="G7" s="247">
        <f>F7*1.21</f>
        <v>8.00657</v>
      </c>
    </row>
    <row r="8" spans="2:8" x14ac:dyDescent="0.25">
      <c r="B8" s="274"/>
      <c r="C8" s="245" t="s">
        <v>250</v>
      </c>
      <c r="D8" s="246">
        <v>0.3</v>
      </c>
      <c r="E8" s="247">
        <f>$D$27</f>
        <v>60.67</v>
      </c>
      <c r="F8" s="248">
        <f t="shared" ref="F8:F9" si="2">E8*D8</f>
        <v>18.201000000000001</v>
      </c>
      <c r="G8" s="247">
        <f t="shared" ref="G8:G9" si="3">F8*1.21</f>
        <v>22.023209999999999</v>
      </c>
    </row>
    <row r="9" spans="2:8" x14ac:dyDescent="0.25">
      <c r="B9" s="274"/>
      <c r="C9" s="245" t="s">
        <v>251</v>
      </c>
      <c r="D9" s="246">
        <v>0.6</v>
      </c>
      <c r="E9" s="247">
        <f>$D$28</f>
        <v>47.33</v>
      </c>
      <c r="F9" s="248">
        <f t="shared" si="2"/>
        <v>28.398</v>
      </c>
      <c r="G9" s="247">
        <f t="shared" si="3"/>
        <v>34.361579999999996</v>
      </c>
    </row>
    <row r="10" spans="2:8" x14ac:dyDescent="0.25">
      <c r="B10" s="274"/>
      <c r="C10" s="273" t="s">
        <v>119</v>
      </c>
      <c r="D10" s="273"/>
      <c r="E10" s="273"/>
      <c r="F10" s="76">
        <f>ROUND(SUM(F7:F9),2)</f>
        <v>53.22</v>
      </c>
      <c r="G10" s="76">
        <f>ROUND(SUM(G7:G9),2)</f>
        <v>64.39</v>
      </c>
      <c r="H10" s="261">
        <f>SUM(D7:D9)</f>
        <v>1</v>
      </c>
    </row>
    <row r="11" spans="2:8" x14ac:dyDescent="0.25">
      <c r="B11" s="274" t="s">
        <v>11</v>
      </c>
      <c r="C11" s="245" t="s">
        <v>151</v>
      </c>
      <c r="D11" s="246">
        <v>0.1</v>
      </c>
      <c r="E11" s="247">
        <f>$D$26</f>
        <v>66.17</v>
      </c>
      <c r="F11" s="247">
        <f>E11*D11</f>
        <v>6.6170000000000009</v>
      </c>
      <c r="G11" s="247">
        <f>F11*1.21</f>
        <v>8.00657</v>
      </c>
    </row>
    <row r="12" spans="2:8" x14ac:dyDescent="0.25">
      <c r="B12" s="274"/>
      <c r="C12" s="245" t="s">
        <v>250</v>
      </c>
      <c r="D12" s="246">
        <v>0.3</v>
      </c>
      <c r="E12" s="247">
        <f>$D$27</f>
        <v>60.67</v>
      </c>
      <c r="F12" s="247">
        <f t="shared" ref="F12:F13" si="4">E12*D12</f>
        <v>18.201000000000001</v>
      </c>
      <c r="G12" s="247">
        <f t="shared" ref="G12:G13" si="5">F12*1.21</f>
        <v>22.023209999999999</v>
      </c>
    </row>
    <row r="13" spans="2:8" x14ac:dyDescent="0.25">
      <c r="B13" s="274"/>
      <c r="C13" s="245" t="s">
        <v>251</v>
      </c>
      <c r="D13" s="246">
        <v>0.6</v>
      </c>
      <c r="E13" s="247">
        <f>$D$28</f>
        <v>47.33</v>
      </c>
      <c r="F13" s="247">
        <f t="shared" si="4"/>
        <v>28.398</v>
      </c>
      <c r="G13" s="247">
        <f t="shared" si="5"/>
        <v>34.361579999999996</v>
      </c>
    </row>
    <row r="14" spans="2:8" x14ac:dyDescent="0.25">
      <c r="B14" s="274"/>
      <c r="C14" s="273" t="s">
        <v>119</v>
      </c>
      <c r="D14" s="273"/>
      <c r="E14" s="273"/>
      <c r="F14" s="76">
        <f>ROUND(SUM(F11:F13),2)</f>
        <v>53.22</v>
      </c>
      <c r="G14" s="76">
        <f>ROUND(SUM(G11:G13),2)</f>
        <v>64.39</v>
      </c>
      <c r="H14" s="261">
        <f>SUM(D11:D13)</f>
        <v>1</v>
      </c>
    </row>
    <row r="15" spans="2:8" x14ac:dyDescent="0.25">
      <c r="B15" s="270" t="s">
        <v>270</v>
      </c>
      <c r="C15" s="245" t="s">
        <v>151</v>
      </c>
      <c r="D15" s="246">
        <v>0.1</v>
      </c>
      <c r="E15" s="247">
        <f>$D$26</f>
        <v>66.17</v>
      </c>
      <c r="F15" s="248">
        <f>E15*D15</f>
        <v>6.6170000000000009</v>
      </c>
      <c r="G15" s="247">
        <f>F15*1.21</f>
        <v>8.00657</v>
      </c>
    </row>
    <row r="16" spans="2:8" x14ac:dyDescent="0.25">
      <c r="B16" s="271"/>
      <c r="C16" s="245" t="s">
        <v>250</v>
      </c>
      <c r="D16" s="246">
        <v>0.1</v>
      </c>
      <c r="E16" s="247">
        <f>$D$27</f>
        <v>60.67</v>
      </c>
      <c r="F16" s="248">
        <f t="shared" ref="F16:F17" si="6">E16*D16</f>
        <v>6.0670000000000002</v>
      </c>
      <c r="G16" s="247">
        <f t="shared" ref="G16:G17" si="7">F16*1.21</f>
        <v>7.3410700000000002</v>
      </c>
    </row>
    <row r="17" spans="2:8" x14ac:dyDescent="0.25">
      <c r="B17" s="271"/>
      <c r="C17" s="245" t="s">
        <v>251</v>
      </c>
      <c r="D17" s="246">
        <v>0.6</v>
      </c>
      <c r="E17" s="247">
        <f>$D$28</f>
        <v>47.33</v>
      </c>
      <c r="F17" s="248">
        <f t="shared" si="6"/>
        <v>28.398</v>
      </c>
      <c r="G17" s="247">
        <f t="shared" si="7"/>
        <v>34.361579999999996</v>
      </c>
    </row>
    <row r="18" spans="2:8" x14ac:dyDescent="0.25">
      <c r="B18" s="271"/>
      <c r="C18" s="245" t="s">
        <v>269</v>
      </c>
      <c r="D18" s="246">
        <v>0.2</v>
      </c>
      <c r="E18" s="247">
        <f>$D$29</f>
        <v>54.5</v>
      </c>
      <c r="F18" s="248">
        <f t="shared" ref="F18" si="8">E18*D18</f>
        <v>10.9</v>
      </c>
      <c r="G18" s="247">
        <f t="shared" ref="G18" si="9">F18*1.21</f>
        <v>13.189</v>
      </c>
    </row>
    <row r="19" spans="2:8" x14ac:dyDescent="0.25">
      <c r="B19" s="272"/>
      <c r="C19" s="273" t="s">
        <v>119</v>
      </c>
      <c r="D19" s="273"/>
      <c r="E19" s="273"/>
      <c r="F19" s="76">
        <f>ROUND(SUM(F15:F18),2)</f>
        <v>51.98</v>
      </c>
      <c r="G19" s="76">
        <f>ROUND(SUM(G15:G18),2)</f>
        <v>62.9</v>
      </c>
      <c r="H19" s="261">
        <f>SUM(D15:D18)</f>
        <v>1</v>
      </c>
    </row>
    <row r="25" spans="2:8" ht="31.5" x14ac:dyDescent="0.25">
      <c r="C25" s="241" t="s">
        <v>5</v>
      </c>
      <c r="D25" s="241" t="s">
        <v>248</v>
      </c>
      <c r="E25" s="241" t="s">
        <v>129</v>
      </c>
      <c r="F25" s="241" t="s">
        <v>249</v>
      </c>
    </row>
    <row r="26" spans="2:8" x14ac:dyDescent="0.25">
      <c r="C26" s="242" t="s">
        <v>151</v>
      </c>
      <c r="D26" s="243">
        <v>66.17</v>
      </c>
      <c r="E26" s="244">
        <f>D26*0.21</f>
        <v>13.8957</v>
      </c>
      <c r="F26" s="244">
        <f>E26+D26</f>
        <v>80.065700000000007</v>
      </c>
    </row>
    <row r="27" spans="2:8" x14ac:dyDescent="0.25">
      <c r="C27" s="242" t="s">
        <v>250</v>
      </c>
      <c r="D27" s="243">
        <v>60.67</v>
      </c>
      <c r="E27" s="244">
        <f>D27*0.21</f>
        <v>12.7407</v>
      </c>
      <c r="F27" s="244">
        <f>E27+D27</f>
        <v>73.410700000000006</v>
      </c>
    </row>
    <row r="28" spans="2:8" x14ac:dyDescent="0.25">
      <c r="C28" s="242" t="s">
        <v>251</v>
      </c>
      <c r="D28" s="243">
        <v>47.33</v>
      </c>
      <c r="E28" s="244">
        <f>D28*0.21</f>
        <v>9.9392999999999994</v>
      </c>
      <c r="F28" s="244">
        <f>E28+D28</f>
        <v>57.269300000000001</v>
      </c>
    </row>
    <row r="29" spans="2:8" x14ac:dyDescent="0.25">
      <c r="C29" s="242" t="s">
        <v>269</v>
      </c>
      <c r="D29" s="243">
        <v>54.5</v>
      </c>
      <c r="E29" s="244">
        <f>D29*0.21</f>
        <v>11.445</v>
      </c>
      <c r="F29" s="244">
        <f>E29+D29</f>
        <v>65.944999999999993</v>
      </c>
    </row>
  </sheetData>
  <mergeCells count="8">
    <mergeCell ref="B15:B19"/>
    <mergeCell ref="C19:E19"/>
    <mergeCell ref="C6:E6"/>
    <mergeCell ref="C10:E10"/>
    <mergeCell ref="C14:E14"/>
    <mergeCell ref="B3:B6"/>
    <mergeCell ref="B7:B10"/>
    <mergeCell ref="B11:B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7"/>
  <sheetViews>
    <sheetView showGridLines="0" tabSelected="1" zoomScaleNormal="100" workbookViewId="0">
      <selection activeCell="E64" sqref="E64"/>
    </sheetView>
  </sheetViews>
  <sheetFormatPr defaultColWidth="10.85546875" defaultRowHeight="12.75" x14ac:dyDescent="0.2"/>
  <cols>
    <col min="1" max="1" width="28.28515625" style="85" customWidth="1"/>
    <col min="2" max="2" width="21.28515625" style="85" customWidth="1"/>
    <col min="3" max="3" width="21.42578125" style="85" customWidth="1"/>
    <col min="4" max="4" width="21.28515625" style="85" customWidth="1"/>
    <col min="5" max="6" width="18.42578125" style="85" customWidth="1"/>
    <col min="7" max="7" width="14.140625" style="85" bestFit="1" customWidth="1"/>
    <col min="8" max="8" width="16.85546875" style="85" customWidth="1"/>
    <col min="9" max="9" width="12.5703125" style="85" customWidth="1"/>
    <col min="10" max="11" width="14.140625" style="85" customWidth="1"/>
    <col min="12" max="13" width="12.5703125" style="85" customWidth="1"/>
    <col min="14" max="14" width="15.7109375" style="85" customWidth="1"/>
    <col min="15" max="15" width="14.5703125" style="85" customWidth="1"/>
    <col min="16" max="16" width="18.140625" style="85" customWidth="1"/>
    <col min="17" max="16384" width="10.85546875" style="85"/>
  </cols>
  <sheetData>
    <row r="2" spans="1:16" x14ac:dyDescent="0.2">
      <c r="A2" s="84" t="s">
        <v>131</v>
      </c>
    </row>
    <row r="4" spans="1:16" x14ac:dyDescent="0.2">
      <c r="A4" s="86"/>
      <c r="B4" s="275">
        <v>2022</v>
      </c>
      <c r="C4" s="276"/>
      <c r="D4" s="277"/>
      <c r="E4" s="275">
        <v>2023</v>
      </c>
      <c r="F4" s="276"/>
      <c r="G4" s="277"/>
      <c r="H4" s="275">
        <v>2024</v>
      </c>
      <c r="I4" s="276"/>
      <c r="J4" s="277"/>
      <c r="K4" s="275">
        <v>2025</v>
      </c>
      <c r="L4" s="276"/>
      <c r="M4" s="277"/>
    </row>
    <row r="5" spans="1:16" x14ac:dyDescent="0.2">
      <c r="A5" s="87" t="s">
        <v>133</v>
      </c>
      <c r="B5" s="88" t="s">
        <v>125</v>
      </c>
      <c r="C5" s="89" t="s">
        <v>126</v>
      </c>
      <c r="D5" s="89" t="s">
        <v>124</v>
      </c>
      <c r="E5" s="89" t="s">
        <v>125</v>
      </c>
      <c r="F5" s="89" t="s">
        <v>126</v>
      </c>
      <c r="G5" s="89" t="s">
        <v>124</v>
      </c>
      <c r="H5" s="89" t="s">
        <v>125</v>
      </c>
      <c r="I5" s="89" t="s">
        <v>126</v>
      </c>
      <c r="J5" s="89" t="s">
        <v>124</v>
      </c>
      <c r="K5" s="89" t="s">
        <v>125</v>
      </c>
      <c r="L5" s="89" t="s">
        <v>126</v>
      </c>
      <c r="M5" s="89" t="s">
        <v>124</v>
      </c>
      <c r="N5" s="89" t="s">
        <v>142</v>
      </c>
      <c r="O5" s="89" t="s">
        <v>143</v>
      </c>
      <c r="P5" s="89" t="s">
        <v>144</v>
      </c>
    </row>
    <row r="6" spans="1:16" x14ac:dyDescent="0.2">
      <c r="A6" s="90" t="s">
        <v>7</v>
      </c>
      <c r="B6" s="143">
        <f>ROUND('Càlcul pressupost '!G7/1.21,2)</f>
        <v>29552.73</v>
      </c>
      <c r="C6" s="143">
        <f t="shared" ref="C6:C11" si="0">ROUND(B6*0.21,2)</f>
        <v>6206.07</v>
      </c>
      <c r="D6" s="143">
        <f>+B6+C6</f>
        <v>35758.800000000003</v>
      </c>
      <c r="E6" s="143">
        <f>ROUND('Càlcul pressupost '!H7/1.21,2)</f>
        <v>36319.01</v>
      </c>
      <c r="F6" s="143">
        <f t="shared" ref="F6:F10" si="1">ROUND(E6*0.21,2)</f>
        <v>7626.99</v>
      </c>
      <c r="G6" s="143">
        <f t="shared" ref="G6:G10" si="2">+E6+F6</f>
        <v>43946</v>
      </c>
      <c r="H6" s="143">
        <f>ROUND('Càlcul pressupost '!I7/1.21,2)</f>
        <v>36319.01</v>
      </c>
      <c r="I6" s="143">
        <f t="shared" ref="I6:I10" si="3">ROUND(H6*0.21,2)</f>
        <v>7626.99</v>
      </c>
      <c r="J6" s="143">
        <f t="shared" ref="J6:J10" si="4">+H6+I6</f>
        <v>43946</v>
      </c>
      <c r="K6" s="143">
        <f>ROUND('Càlcul pressupost '!J7/1.21,2)</f>
        <v>6766.28</v>
      </c>
      <c r="L6" s="143">
        <f t="shared" ref="L6:L10" si="5">ROUND(K6*0.21,2)</f>
        <v>1420.92</v>
      </c>
      <c r="M6" s="143">
        <f t="shared" ref="M6:M10" si="6">+K6+L6</f>
        <v>8187.2</v>
      </c>
      <c r="N6" s="143">
        <f t="shared" ref="N6:N11" si="7">SUM(H6,E6,B6,K6)</f>
        <v>108957.03</v>
      </c>
      <c r="O6" s="143">
        <f t="shared" ref="O6:P11" si="8">SUM(L6,I6,F6,C6)</f>
        <v>22880.97</v>
      </c>
      <c r="P6" s="143">
        <f t="shared" si="8"/>
        <v>131838</v>
      </c>
    </row>
    <row r="7" spans="1:16" x14ac:dyDescent="0.2">
      <c r="A7" s="90" t="s">
        <v>14</v>
      </c>
      <c r="B7" s="143">
        <f>ROUND('Càlcul pressupost '!G8/1.21,2)</f>
        <v>18619.37</v>
      </c>
      <c r="C7" s="143">
        <f t="shared" si="0"/>
        <v>3910.07</v>
      </c>
      <c r="D7" s="143">
        <f t="shared" ref="D7:D11" si="9">+B7+C7</f>
        <v>22529.439999999999</v>
      </c>
      <c r="E7" s="143">
        <f>ROUND('Càlcul pressupost '!H8/1.21,2)</f>
        <v>22882.400000000001</v>
      </c>
      <c r="F7" s="143">
        <f t="shared" si="1"/>
        <v>4805.3</v>
      </c>
      <c r="G7" s="143">
        <f t="shared" si="2"/>
        <v>27687.7</v>
      </c>
      <c r="H7" s="143">
        <f>ROUND('Càlcul pressupost '!I8/1.21,2)</f>
        <v>22882.400000000001</v>
      </c>
      <c r="I7" s="143">
        <f t="shared" si="3"/>
        <v>4805.3</v>
      </c>
      <c r="J7" s="143">
        <f t="shared" si="4"/>
        <v>27687.7</v>
      </c>
      <c r="K7" s="143">
        <f>ROUND('Càlcul pressupost '!J8/1.21,2)</f>
        <v>4263.0200000000004</v>
      </c>
      <c r="L7" s="143">
        <f t="shared" si="5"/>
        <v>895.23</v>
      </c>
      <c r="M7" s="143">
        <f t="shared" si="6"/>
        <v>5158.25</v>
      </c>
      <c r="N7" s="143">
        <f t="shared" si="7"/>
        <v>68647.19</v>
      </c>
      <c r="O7" s="143">
        <f t="shared" si="8"/>
        <v>14415.900000000001</v>
      </c>
      <c r="P7" s="143">
        <f t="shared" si="8"/>
        <v>83063.09</v>
      </c>
    </row>
    <row r="8" spans="1:16" x14ac:dyDescent="0.2">
      <c r="A8" s="91" t="s">
        <v>11</v>
      </c>
      <c r="B8" s="143">
        <f>ROUND('Càlcul pressupost '!G9/1.21,2)</f>
        <v>10937.2</v>
      </c>
      <c r="C8" s="143">
        <f t="shared" si="0"/>
        <v>2296.81</v>
      </c>
      <c r="D8" s="143">
        <f>+B8+C8</f>
        <v>13234.01</v>
      </c>
      <c r="E8" s="143">
        <f>ROUND('Càlcul pressupost '!H9/1.21,2)</f>
        <v>12239.42</v>
      </c>
      <c r="F8" s="143">
        <f>ROUND(E8*0.21,2)</f>
        <v>2570.2800000000002</v>
      </c>
      <c r="G8" s="143">
        <f>+E8+F8</f>
        <v>14809.7</v>
      </c>
      <c r="H8" s="143">
        <f>ROUND('Càlcul pressupost '!I9/1.21,2)</f>
        <v>12239.42</v>
      </c>
      <c r="I8" s="143">
        <f>ROUND(H8*0.21,2)</f>
        <v>2570.2800000000002</v>
      </c>
      <c r="J8" s="143">
        <f>+H8+I8</f>
        <v>14809.7</v>
      </c>
      <c r="K8" s="143">
        <f>ROUND('Càlcul pressupost '!J9/1.21,2)</f>
        <v>2280.2199999999998</v>
      </c>
      <c r="L8" s="143">
        <f>ROUND(K8*0.21,2)</f>
        <v>478.85</v>
      </c>
      <c r="M8" s="143">
        <f>+K8+L8</f>
        <v>2759.0699999999997</v>
      </c>
      <c r="N8" s="143">
        <f t="shared" si="7"/>
        <v>37696.26</v>
      </c>
      <c r="O8" s="143">
        <f t="shared" si="8"/>
        <v>7916.2199999999993</v>
      </c>
      <c r="P8" s="143">
        <f t="shared" si="8"/>
        <v>45612.480000000003</v>
      </c>
    </row>
    <row r="9" spans="1:16" x14ac:dyDescent="0.2">
      <c r="A9" s="90" t="s">
        <v>266</v>
      </c>
      <c r="B9" s="143">
        <f>ROUND('Càlcul pressupost '!G10/1.21,2)</f>
        <v>95985.919999999998</v>
      </c>
      <c r="C9" s="143">
        <f t="shared" si="0"/>
        <v>20157.04</v>
      </c>
      <c r="D9" s="143">
        <f>+B9+C9</f>
        <v>116142.95999999999</v>
      </c>
      <c r="E9" s="143">
        <f>ROUND('Càlcul pressupost '!H10/1.21,2)</f>
        <v>0</v>
      </c>
      <c r="F9" s="143">
        <f>ROUND(E9*0.21,2)</f>
        <v>0</v>
      </c>
      <c r="G9" s="143">
        <f>+E9+F9</f>
        <v>0</v>
      </c>
      <c r="H9" s="143">
        <f>ROUND('Càlcul pressupost '!I10/1.21,2)</f>
        <v>0</v>
      </c>
      <c r="I9" s="143">
        <f>ROUND(H9*0.21,2)</f>
        <v>0</v>
      </c>
      <c r="J9" s="143">
        <f>+H9+I9</f>
        <v>0</v>
      </c>
      <c r="K9" s="143">
        <f>ROUND('Càlcul pressupost '!J10/1.21,2)</f>
        <v>0</v>
      </c>
      <c r="L9" s="143">
        <f>ROUND(K9*0.21,2)</f>
        <v>0</v>
      </c>
      <c r="M9" s="143">
        <f>+K9+L9</f>
        <v>0</v>
      </c>
      <c r="N9" s="143">
        <f t="shared" si="7"/>
        <v>95985.919999999998</v>
      </c>
      <c r="O9" s="143">
        <f t="shared" si="8"/>
        <v>20157.04</v>
      </c>
      <c r="P9" s="143">
        <f t="shared" si="8"/>
        <v>116142.95999999999</v>
      </c>
    </row>
    <row r="10" spans="1:16" x14ac:dyDescent="0.2">
      <c r="A10" s="91" t="s">
        <v>117</v>
      </c>
      <c r="B10" s="143">
        <f>ROUND('Càlcul pressupost '!G11/1.21,2)</f>
        <v>2976.7</v>
      </c>
      <c r="C10" s="143">
        <f t="shared" si="0"/>
        <v>625.11</v>
      </c>
      <c r="D10" s="143">
        <f t="shared" si="9"/>
        <v>3601.81</v>
      </c>
      <c r="E10" s="143">
        <f>ROUND('Càlcul pressupost '!H11/1.21,2)</f>
        <v>0</v>
      </c>
      <c r="F10" s="143">
        <f t="shared" si="1"/>
        <v>0</v>
      </c>
      <c r="G10" s="143">
        <f t="shared" si="2"/>
        <v>0</v>
      </c>
      <c r="H10" s="143">
        <f>ROUND('Càlcul pressupost '!I11/1.21,2)</f>
        <v>0</v>
      </c>
      <c r="I10" s="143">
        <f t="shared" si="3"/>
        <v>0</v>
      </c>
      <c r="J10" s="143">
        <f t="shared" si="4"/>
        <v>0</v>
      </c>
      <c r="K10" s="143">
        <f>ROUND('Càlcul pressupost '!J11/1.21,2)</f>
        <v>0</v>
      </c>
      <c r="L10" s="143">
        <f t="shared" si="5"/>
        <v>0</v>
      </c>
      <c r="M10" s="143">
        <f t="shared" si="6"/>
        <v>0</v>
      </c>
      <c r="N10" s="143">
        <f t="shared" si="7"/>
        <v>2976.7</v>
      </c>
      <c r="O10" s="143">
        <f t="shared" si="8"/>
        <v>625.11</v>
      </c>
      <c r="P10" s="143">
        <f t="shared" si="8"/>
        <v>3601.81</v>
      </c>
    </row>
    <row r="11" spans="1:16" x14ac:dyDescent="0.2">
      <c r="A11" s="161" t="s">
        <v>167</v>
      </c>
      <c r="B11" s="143">
        <f>ROUND('Càlcul pressupost '!G12/1.21,2)</f>
        <v>23463.18</v>
      </c>
      <c r="C11" s="143">
        <f t="shared" si="0"/>
        <v>4927.2700000000004</v>
      </c>
      <c r="D11" s="143">
        <f t="shared" si="9"/>
        <v>28390.45</v>
      </c>
      <c r="E11" s="143">
        <f>ROUND('Càlcul pressupost '!H12/1.21,2)</f>
        <v>28835.22</v>
      </c>
      <c r="F11" s="143">
        <f>ROUND(E11*0.21,2)</f>
        <v>6055.4</v>
      </c>
      <c r="G11" s="143">
        <f>+E11+F11</f>
        <v>34890.620000000003</v>
      </c>
      <c r="H11" s="143">
        <f>ROUND('Càlcul pressupost '!I12/1.21,2)</f>
        <v>28835.22</v>
      </c>
      <c r="I11" s="143">
        <f>ROUND(H11*0.21,2)</f>
        <v>6055.4</v>
      </c>
      <c r="J11" s="143">
        <f>+H11+I11</f>
        <v>34890.620000000003</v>
      </c>
      <c r="K11" s="143">
        <f>ROUND('Càlcul pressupost '!J12/1.21,2)</f>
        <v>5372.04</v>
      </c>
      <c r="L11" s="143">
        <f>ROUND(K11*0.21,2)</f>
        <v>1128.1300000000001</v>
      </c>
      <c r="M11" s="143">
        <f>+K11+L11</f>
        <v>6500.17</v>
      </c>
      <c r="N11" s="143">
        <f t="shared" si="7"/>
        <v>86505.659999999989</v>
      </c>
      <c r="O11" s="143">
        <f t="shared" ref="O11" si="10">SUM(L11,I11,F11,C11)</f>
        <v>18166.2</v>
      </c>
      <c r="P11" s="143">
        <f t="shared" si="8"/>
        <v>104671.86</v>
      </c>
    </row>
    <row r="12" spans="1:16" x14ac:dyDescent="0.2">
      <c r="B12" s="139">
        <f t="shared" ref="B12:O12" si="11">SUM(B6:B11)</f>
        <v>181535.1</v>
      </c>
      <c r="C12" s="139">
        <f t="shared" si="11"/>
        <v>38122.369999999995</v>
      </c>
      <c r="D12" s="139">
        <f t="shared" si="11"/>
        <v>219657.47</v>
      </c>
      <c r="E12" s="139">
        <f t="shared" si="11"/>
        <v>100276.05</v>
      </c>
      <c r="F12" s="139">
        <f t="shared" si="11"/>
        <v>21057.97</v>
      </c>
      <c r="G12" s="139">
        <f t="shared" si="11"/>
        <v>121334.01999999999</v>
      </c>
      <c r="H12" s="139">
        <f t="shared" si="11"/>
        <v>100276.05</v>
      </c>
      <c r="I12" s="139">
        <f t="shared" si="11"/>
        <v>21057.97</v>
      </c>
      <c r="J12" s="139">
        <f t="shared" si="11"/>
        <v>121334.01999999999</v>
      </c>
      <c r="K12" s="139">
        <f t="shared" si="11"/>
        <v>18681.559999999998</v>
      </c>
      <c r="L12" s="139">
        <f t="shared" si="11"/>
        <v>3923.13</v>
      </c>
      <c r="M12" s="139">
        <f t="shared" si="11"/>
        <v>22604.690000000002</v>
      </c>
      <c r="N12" s="139">
        <f t="shared" si="11"/>
        <v>400768.76</v>
      </c>
      <c r="O12" s="139">
        <f t="shared" si="11"/>
        <v>84161.44</v>
      </c>
      <c r="P12" s="139">
        <f>SUM(P6:P11)</f>
        <v>484930.2</v>
      </c>
    </row>
    <row r="13" spans="1:16" x14ac:dyDescent="0.2">
      <c r="P13" s="107"/>
    </row>
    <row r="14" spans="1:16" x14ac:dyDescent="0.2">
      <c r="A14" s="92" t="s">
        <v>130</v>
      </c>
    </row>
    <row r="15" spans="1:16" x14ac:dyDescent="0.2">
      <c r="A15" s="92"/>
    </row>
    <row r="16" spans="1:16" ht="18" customHeight="1" x14ac:dyDescent="0.2">
      <c r="A16" s="93" t="s">
        <v>168</v>
      </c>
    </row>
    <row r="17" spans="1:7" ht="21" customHeight="1" x14ac:dyDescent="0.2">
      <c r="A17" s="93" t="s">
        <v>127</v>
      </c>
      <c r="B17" s="93" t="s">
        <v>128</v>
      </c>
      <c r="C17" s="93" t="s">
        <v>129</v>
      </c>
      <c r="D17" s="93" t="s">
        <v>124</v>
      </c>
    </row>
    <row r="18" spans="1:7" x14ac:dyDescent="0.2">
      <c r="A18" s="94">
        <v>2022</v>
      </c>
      <c r="B18" s="140">
        <f>+B12</f>
        <v>181535.1</v>
      </c>
      <c r="C18" s="140">
        <f>B18*0.21</f>
        <v>38122.370999999999</v>
      </c>
      <c r="D18" s="251">
        <f t="shared" ref="D18:D21" si="12">+B18+C18</f>
        <v>219657.47100000002</v>
      </c>
      <c r="F18" s="107"/>
    </row>
    <row r="19" spans="1:7" x14ac:dyDescent="0.2">
      <c r="A19" s="94">
        <v>2023</v>
      </c>
      <c r="B19" s="140">
        <f>+E12</f>
        <v>100276.05</v>
      </c>
      <c r="C19" s="140">
        <f t="shared" ref="C19:C21" si="13">B19*0.21</f>
        <v>21057.970499999999</v>
      </c>
      <c r="D19" s="251">
        <f t="shared" si="12"/>
        <v>121334.0205</v>
      </c>
      <c r="F19" s="107"/>
    </row>
    <row r="20" spans="1:7" x14ac:dyDescent="0.2">
      <c r="A20" s="94">
        <v>2024</v>
      </c>
      <c r="B20" s="140">
        <f>+H12</f>
        <v>100276.05</v>
      </c>
      <c r="C20" s="140">
        <f t="shared" si="13"/>
        <v>21057.970499999999</v>
      </c>
      <c r="D20" s="251">
        <f t="shared" si="12"/>
        <v>121334.0205</v>
      </c>
      <c r="F20" s="107"/>
    </row>
    <row r="21" spans="1:7" x14ac:dyDescent="0.2">
      <c r="A21" s="94">
        <v>2025</v>
      </c>
      <c r="B21" s="140">
        <f>+K12</f>
        <v>18681.559999999998</v>
      </c>
      <c r="C21" s="140">
        <f t="shared" si="13"/>
        <v>3923.1275999999993</v>
      </c>
      <c r="D21" s="251">
        <f t="shared" si="12"/>
        <v>22604.687599999997</v>
      </c>
      <c r="F21" s="107"/>
    </row>
    <row r="22" spans="1:7" x14ac:dyDescent="0.2">
      <c r="A22" s="94" t="s">
        <v>116</v>
      </c>
      <c r="B22" s="141">
        <f>SUM(B18:B21)</f>
        <v>400768.76</v>
      </c>
      <c r="C22" s="141">
        <f>SUM(C18:C21)</f>
        <v>84161.439599999983</v>
      </c>
      <c r="D22" s="251">
        <f>SUM(D18:D21)</f>
        <v>484930.19959999999</v>
      </c>
      <c r="F22" s="107"/>
    </row>
    <row r="23" spans="1:7" ht="21.75" customHeight="1" x14ac:dyDescent="0.2"/>
    <row r="24" spans="1:7" ht="21.75" customHeight="1" x14ac:dyDescent="0.2">
      <c r="D24" s="162"/>
      <c r="E24" s="142"/>
    </row>
    <row r="25" spans="1:7" ht="18" customHeight="1" x14ac:dyDescent="0.2">
      <c r="A25" s="93" t="s">
        <v>169</v>
      </c>
    </row>
    <row r="26" spans="1:7" ht="21" customHeight="1" x14ac:dyDescent="0.2">
      <c r="A26" s="93" t="s">
        <v>127</v>
      </c>
      <c r="B26" s="93" t="s">
        <v>128</v>
      </c>
      <c r="C26" s="93" t="s">
        <v>129</v>
      </c>
      <c r="D26" s="93" t="s">
        <v>124</v>
      </c>
    </row>
    <row r="27" spans="1:7" x14ac:dyDescent="0.2">
      <c r="A27" s="94">
        <v>2022</v>
      </c>
      <c r="B27" s="140">
        <f>+B12-B9</f>
        <v>85549.180000000008</v>
      </c>
      <c r="C27" s="140">
        <f>B27*0.21</f>
        <v>17965.327799999999</v>
      </c>
      <c r="D27" s="140">
        <f t="shared" ref="D27:D30" si="14">+B27+C27</f>
        <v>103514.50780000001</v>
      </c>
    </row>
    <row r="28" spans="1:7" x14ac:dyDescent="0.2">
      <c r="A28" s="94">
        <v>2023</v>
      </c>
      <c r="B28" s="140">
        <f>+E12</f>
        <v>100276.05</v>
      </c>
      <c r="C28" s="140">
        <f>+F12+0.01</f>
        <v>21057.98</v>
      </c>
      <c r="D28" s="140">
        <f t="shared" si="14"/>
        <v>121334.03</v>
      </c>
      <c r="G28" s="107"/>
    </row>
    <row r="29" spans="1:7" x14ac:dyDescent="0.2">
      <c r="A29" s="94">
        <v>2024</v>
      </c>
      <c r="B29" s="140">
        <f>+H12</f>
        <v>100276.05</v>
      </c>
      <c r="C29" s="140">
        <f>+I12+0.01</f>
        <v>21057.98</v>
      </c>
      <c r="D29" s="140">
        <f t="shared" si="14"/>
        <v>121334.03</v>
      </c>
    </row>
    <row r="30" spans="1:7" x14ac:dyDescent="0.2">
      <c r="A30" s="94">
        <v>2025</v>
      </c>
      <c r="B30" s="140">
        <f>+K12</f>
        <v>18681.559999999998</v>
      </c>
      <c r="C30" s="140">
        <f>+L12</f>
        <v>3923.13</v>
      </c>
      <c r="D30" s="140">
        <f t="shared" si="14"/>
        <v>22604.69</v>
      </c>
      <c r="E30" s="142"/>
    </row>
    <row r="31" spans="1:7" x14ac:dyDescent="0.2">
      <c r="A31" s="94" t="s">
        <v>116</v>
      </c>
      <c r="B31" s="141">
        <f>SUM(B27:B30)</f>
        <v>304782.84000000003</v>
      </c>
      <c r="C31" s="141">
        <f>SUM(C27:C30)</f>
        <v>64004.417799999988</v>
      </c>
      <c r="D31" s="140">
        <f>SUM(D27:D30)</f>
        <v>368787.25779999996</v>
      </c>
      <c r="E31" s="142"/>
    </row>
    <row r="32" spans="1:7" ht="21.75" customHeight="1" x14ac:dyDescent="0.2">
      <c r="E32" s="142"/>
    </row>
    <row r="33" spans="1:6" ht="21.75" customHeight="1" x14ac:dyDescent="0.2">
      <c r="D33" s="162"/>
      <c r="E33" s="142"/>
    </row>
    <row r="34" spans="1:6" ht="18" customHeight="1" x14ac:dyDescent="0.2">
      <c r="A34" s="93" t="s">
        <v>170</v>
      </c>
    </row>
    <row r="35" spans="1:6" ht="21" customHeight="1" x14ac:dyDescent="0.2">
      <c r="A35" s="93" t="s">
        <v>127</v>
      </c>
      <c r="B35" s="93" t="s">
        <v>128</v>
      </c>
      <c r="C35" s="93" t="s">
        <v>129</v>
      </c>
      <c r="D35" s="93" t="s">
        <v>124</v>
      </c>
    </row>
    <row r="36" spans="1:6" x14ac:dyDescent="0.2">
      <c r="A36" s="94">
        <v>2022</v>
      </c>
      <c r="B36" s="140">
        <f>+B9</f>
        <v>95985.919999999998</v>
      </c>
      <c r="C36" s="140">
        <f>+C9</f>
        <v>20157.04</v>
      </c>
      <c r="D36" s="140">
        <f t="shared" ref="D36:D39" si="15">+B36+C36</f>
        <v>116142.95999999999</v>
      </c>
    </row>
    <row r="37" spans="1:6" x14ac:dyDescent="0.2">
      <c r="A37" s="94">
        <v>2023</v>
      </c>
      <c r="B37" s="140">
        <f>+E30</f>
        <v>0</v>
      </c>
      <c r="C37" s="140">
        <f>+F30</f>
        <v>0</v>
      </c>
      <c r="D37" s="140">
        <f t="shared" si="15"/>
        <v>0</v>
      </c>
    </row>
    <row r="38" spans="1:6" x14ac:dyDescent="0.2">
      <c r="A38" s="94">
        <v>2024</v>
      </c>
      <c r="B38" s="140">
        <f>+H30</f>
        <v>0</v>
      </c>
      <c r="C38" s="140">
        <f>+I30</f>
        <v>0</v>
      </c>
      <c r="D38" s="140">
        <f t="shared" si="15"/>
        <v>0</v>
      </c>
    </row>
    <row r="39" spans="1:6" x14ac:dyDescent="0.2">
      <c r="A39" s="94">
        <v>2025</v>
      </c>
      <c r="B39" s="140">
        <f>+K30</f>
        <v>0</v>
      </c>
      <c r="C39" s="140">
        <f>+L30</f>
        <v>0</v>
      </c>
      <c r="D39" s="140">
        <f t="shared" si="15"/>
        <v>0</v>
      </c>
      <c r="E39" s="142"/>
    </row>
    <row r="40" spans="1:6" x14ac:dyDescent="0.2">
      <c r="A40" s="94" t="s">
        <v>116</v>
      </c>
      <c r="B40" s="141">
        <f>SUM(B36:B39)</f>
        <v>95985.919999999998</v>
      </c>
      <c r="C40" s="141">
        <f>SUM(C36:C39)</f>
        <v>20157.04</v>
      </c>
      <c r="D40" s="140">
        <f>SUM(D36:D39)</f>
        <v>116142.95999999999</v>
      </c>
      <c r="E40" s="142"/>
    </row>
    <row r="41" spans="1:6" ht="21.75" customHeight="1" x14ac:dyDescent="0.2">
      <c r="E41" s="142"/>
    </row>
    <row r="42" spans="1:6" ht="21.75" customHeight="1" x14ac:dyDescent="0.2">
      <c r="D42" s="162"/>
      <c r="E42" s="142"/>
    </row>
    <row r="43" spans="1:6" x14ac:dyDescent="0.2">
      <c r="A43" s="92" t="s">
        <v>132</v>
      </c>
      <c r="E43" s="142"/>
    </row>
    <row r="44" spans="1:6" ht="25.5" x14ac:dyDescent="0.2">
      <c r="A44" s="95" t="s">
        <v>161</v>
      </c>
      <c r="B44" s="95" t="s">
        <v>162</v>
      </c>
      <c r="C44" s="95" t="s">
        <v>145</v>
      </c>
      <c r="D44" s="95" t="s">
        <v>122</v>
      </c>
      <c r="E44" s="95" t="s">
        <v>146</v>
      </c>
      <c r="F44" s="95" t="s">
        <v>123</v>
      </c>
    </row>
    <row r="45" spans="1:6" ht="85.9" customHeight="1" x14ac:dyDescent="0.2">
      <c r="A45" s="150" t="s">
        <v>247</v>
      </c>
      <c r="B45" s="96">
        <f t="shared" ref="B45" si="16">$D$22</f>
        <v>484930.19959999999</v>
      </c>
      <c r="C45" s="252">
        <v>0.2</v>
      </c>
      <c r="D45" s="97">
        <f t="shared" ref="D45" si="17">+ROUND(B45*C45,2)</f>
        <v>96986.04</v>
      </c>
      <c r="E45" s="252">
        <v>0.2</v>
      </c>
      <c r="F45" s="97">
        <f>+ROUND(-B45*E45,2)</f>
        <v>-96986.04</v>
      </c>
    </row>
    <row r="46" spans="1:6" x14ac:dyDescent="0.2">
      <c r="A46" s="98" t="s">
        <v>121</v>
      </c>
      <c r="B46" s="99">
        <f>B45</f>
        <v>484930.19959999999</v>
      </c>
      <c r="C46" s="100">
        <f>C45</f>
        <v>0.2</v>
      </c>
      <c r="D46" s="101">
        <f>D45</f>
        <v>96986.04</v>
      </c>
      <c r="E46" s="100">
        <f>E45</f>
        <v>0.2</v>
      </c>
      <c r="F46" s="101">
        <f>F45</f>
        <v>-96986.04</v>
      </c>
    </row>
    <row r="47" spans="1:6" x14ac:dyDescent="0.2">
      <c r="D47" s="151">
        <f>+ROUND(D46/1.21,2)</f>
        <v>80153.75</v>
      </c>
      <c r="F47" s="151">
        <f>+ROUND(F46/1.21,2)</f>
        <v>-80153.75</v>
      </c>
    </row>
    <row r="48" spans="1:6" x14ac:dyDescent="0.2">
      <c r="D48" s="152" t="s">
        <v>148</v>
      </c>
      <c r="F48" s="152" t="s">
        <v>148</v>
      </c>
    </row>
    <row r="49" spans="1:8" x14ac:dyDescent="0.2">
      <c r="A49" s="92" t="s">
        <v>134</v>
      </c>
    </row>
    <row r="51" spans="1:8" ht="51" x14ac:dyDescent="0.2">
      <c r="A51" s="102"/>
      <c r="B51" s="153" t="s">
        <v>163</v>
      </c>
      <c r="C51" s="153" t="s">
        <v>120</v>
      </c>
      <c r="D51" s="153" t="s">
        <v>273</v>
      </c>
      <c r="E51" s="153" t="s">
        <v>164</v>
      </c>
      <c r="F51" s="153" t="s">
        <v>165</v>
      </c>
      <c r="G51" s="153" t="s">
        <v>166</v>
      </c>
    </row>
    <row r="52" spans="1:8" x14ac:dyDescent="0.2">
      <c r="A52" s="102">
        <v>2022</v>
      </c>
      <c r="B52" s="144">
        <f>B18</f>
        <v>181535.1</v>
      </c>
      <c r="C52" s="97"/>
      <c r="D52" s="97"/>
      <c r="E52" s="97">
        <f>$E$58/6</f>
        <v>13358.958333333334</v>
      </c>
      <c r="F52" s="97">
        <f>$F$58/6</f>
        <v>-13358.958333333334</v>
      </c>
      <c r="G52" s="268">
        <f>B52+C52+E52</f>
        <v>194894.05833333335</v>
      </c>
      <c r="H52" s="157">
        <f>+B52</f>
        <v>181535.1</v>
      </c>
    </row>
    <row r="53" spans="1:8" x14ac:dyDescent="0.2">
      <c r="A53" s="102">
        <v>2023</v>
      </c>
      <c r="B53" s="144">
        <f>B19</f>
        <v>100276.05</v>
      </c>
      <c r="C53" s="97"/>
      <c r="D53" s="97"/>
      <c r="E53" s="97">
        <f>$E$58/6</f>
        <v>13358.958333333334</v>
      </c>
      <c r="F53" s="97">
        <f>$F$58/6</f>
        <v>-13358.958333333334</v>
      </c>
      <c r="G53" s="268">
        <f>B53+C53+E53</f>
        <v>113635.00833333333</v>
      </c>
      <c r="H53" s="157">
        <f>+B53</f>
        <v>100276.05</v>
      </c>
    </row>
    <row r="54" spans="1:8" x14ac:dyDescent="0.2">
      <c r="A54" s="102">
        <v>2024</v>
      </c>
      <c r="B54" s="144">
        <f>B20</f>
        <v>100276.05</v>
      </c>
      <c r="C54" s="97"/>
      <c r="D54" s="97"/>
      <c r="E54" s="97">
        <f>$E$58/6</f>
        <v>13358.958333333334</v>
      </c>
      <c r="F54" s="97">
        <f>$F$58/6</f>
        <v>-13358.958333333334</v>
      </c>
      <c r="G54" s="268">
        <f>B54+C54+E54</f>
        <v>113635.00833333333</v>
      </c>
      <c r="H54" s="157">
        <f>+B54</f>
        <v>100276.05</v>
      </c>
    </row>
    <row r="55" spans="1:8" x14ac:dyDescent="0.2">
      <c r="A55" s="102">
        <v>2025</v>
      </c>
      <c r="B55" s="144">
        <f>B21</f>
        <v>18681.559999999998</v>
      </c>
      <c r="C55" s="97">
        <f>+B54-B55</f>
        <v>81594.490000000005</v>
      </c>
      <c r="D55" s="97"/>
      <c r="E55" s="97">
        <f>$E$58/6</f>
        <v>13358.958333333334</v>
      </c>
      <c r="F55" s="97">
        <f>$F$58/6</f>
        <v>-13358.958333333334</v>
      </c>
      <c r="G55" s="268">
        <f>B55+C55+E55</f>
        <v>113635.00833333333</v>
      </c>
      <c r="H55" s="157">
        <f>+B55+C55</f>
        <v>100276.05</v>
      </c>
    </row>
    <row r="56" spans="1:8" x14ac:dyDescent="0.2">
      <c r="A56" s="102">
        <v>2026</v>
      </c>
      <c r="B56" s="144">
        <v>0</v>
      </c>
      <c r="C56" s="97">
        <f>+B54</f>
        <v>100276.05</v>
      </c>
      <c r="D56" s="97"/>
      <c r="E56" s="97">
        <f>$E$58/6</f>
        <v>13358.958333333334</v>
      </c>
      <c r="F56" s="97">
        <f>$F$58/6</f>
        <v>-13358.958333333334</v>
      </c>
      <c r="G56" s="268">
        <f>B56+C56+E56</f>
        <v>113635.00833333333</v>
      </c>
      <c r="H56" s="157">
        <f>+C56</f>
        <v>100276.05</v>
      </c>
    </row>
    <row r="57" spans="1:8" x14ac:dyDescent="0.2">
      <c r="A57" s="102">
        <v>2027</v>
      </c>
      <c r="B57" s="144">
        <v>0</v>
      </c>
      <c r="C57" s="97">
        <f>+B55</f>
        <v>18681.559999999998</v>
      </c>
      <c r="D57" s="144">
        <f>(C56/12)*9</f>
        <v>75207.037499999991</v>
      </c>
      <c r="E57" s="97">
        <f>$E$58/6-0.01</f>
        <v>13358.948333333334</v>
      </c>
      <c r="F57" s="97">
        <f>$F$58/6+0.01</f>
        <v>-13358.948333333334</v>
      </c>
      <c r="G57" s="268">
        <f>B57+C57+D57+E57</f>
        <v>107247.54583333332</v>
      </c>
      <c r="H57" s="157">
        <f>+C57</f>
        <v>18681.559999999998</v>
      </c>
    </row>
    <row r="58" spans="1:8" x14ac:dyDescent="0.2">
      <c r="A58" s="103" t="s">
        <v>116</v>
      </c>
      <c r="B58" s="101">
        <f>SUM(B52:B57)</f>
        <v>400768.76</v>
      </c>
      <c r="C58" s="101">
        <f>SUM(C52:C57)</f>
        <v>200552.1</v>
      </c>
      <c r="D58" s="269">
        <f>D57</f>
        <v>75207.037499999991</v>
      </c>
      <c r="E58" s="101">
        <f>SUM(D47)</f>
        <v>80153.75</v>
      </c>
      <c r="F58" s="101">
        <f>F47</f>
        <v>-80153.75</v>
      </c>
      <c r="G58" s="101">
        <f>SUM(B58:E58)</f>
        <v>756681.64749999996</v>
      </c>
      <c r="H58" s="157">
        <f>SUM(H52:H57)</f>
        <v>601320.8600000001</v>
      </c>
    </row>
    <row r="59" spans="1:8" x14ac:dyDescent="0.2">
      <c r="A59" s="155"/>
      <c r="B59" s="156"/>
      <c r="C59" s="156"/>
      <c r="D59" s="156"/>
      <c r="E59" s="156"/>
      <c r="F59" s="156"/>
      <c r="G59" s="156"/>
      <c r="H59" s="154"/>
    </row>
    <row r="62" spans="1:8" ht="15" x14ac:dyDescent="0.25">
      <c r="A62" s="104"/>
      <c r="B62" s="104"/>
      <c r="C62" s="104"/>
    </row>
    <row r="63" spans="1:8" ht="15" x14ac:dyDescent="0.25">
      <c r="A63" s="104"/>
      <c r="B63" s="104"/>
      <c r="C63" s="104"/>
    </row>
    <row r="64" spans="1:8" ht="15" x14ac:dyDescent="0.25">
      <c r="A64" s="104"/>
      <c r="B64" s="104"/>
      <c r="C64" s="104"/>
      <c r="D64" s="104"/>
    </row>
    <row r="65" spans="1:6" ht="15" x14ac:dyDescent="0.25">
      <c r="A65" s="104"/>
      <c r="B65" s="104"/>
      <c r="C65" s="104"/>
      <c r="D65" s="104"/>
    </row>
    <row r="66" spans="1:6" ht="15" x14ac:dyDescent="0.25">
      <c r="D66" s="104"/>
      <c r="F66" s="105"/>
    </row>
    <row r="67" spans="1:6" ht="15" x14ac:dyDescent="0.25">
      <c r="D67" s="104"/>
    </row>
    <row r="68" spans="1:6" ht="15" x14ac:dyDescent="0.25">
      <c r="D68" s="104"/>
    </row>
    <row r="69" spans="1:6" ht="15" x14ac:dyDescent="0.25">
      <c r="D69" s="104" t="s">
        <v>136</v>
      </c>
    </row>
    <row r="70" spans="1:6" ht="15" x14ac:dyDescent="0.25">
      <c r="D70" s="106"/>
    </row>
    <row r="71" spans="1:6" ht="15" x14ac:dyDescent="0.25">
      <c r="D71" s="106"/>
    </row>
    <row r="72" spans="1:6" ht="15" x14ac:dyDescent="0.25">
      <c r="D72" s="104"/>
    </row>
    <row r="73" spans="1:6" ht="15" x14ac:dyDescent="0.25">
      <c r="D73" s="104"/>
    </row>
    <row r="74" spans="1:6" ht="15" x14ac:dyDescent="0.25">
      <c r="D74" s="104"/>
    </row>
    <row r="75" spans="1:6" ht="15" x14ac:dyDescent="0.25">
      <c r="B75" s="107"/>
      <c r="D75" s="104"/>
    </row>
    <row r="76" spans="1:6" ht="15" x14ac:dyDescent="0.25">
      <c r="D76" s="104"/>
    </row>
    <row r="77" spans="1:6" ht="15" x14ac:dyDescent="0.25">
      <c r="D77" s="104"/>
    </row>
  </sheetData>
  <mergeCells count="4">
    <mergeCell ref="B4:D4"/>
    <mergeCell ref="E4:G4"/>
    <mergeCell ref="H4:J4"/>
    <mergeCell ref="K4:M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12</v>
      </c>
      <c r="B1" s="1" t="s">
        <v>0</v>
      </c>
      <c r="C1" s="1" t="s">
        <v>1</v>
      </c>
      <c r="D1" s="6" t="s">
        <v>13</v>
      </c>
      <c r="E1" t="s">
        <v>103</v>
      </c>
    </row>
    <row r="2" spans="1:5" x14ac:dyDescent="0.25">
      <c r="A2" s="21" t="s">
        <v>85</v>
      </c>
      <c r="B2" s="21" t="s">
        <v>25</v>
      </c>
      <c r="C2" s="21" t="s">
        <v>53</v>
      </c>
      <c r="D2" s="2">
        <v>2</v>
      </c>
      <c r="E2" s="3"/>
    </row>
    <row r="3" spans="1:5" x14ac:dyDescent="0.25">
      <c r="A3" s="21" t="s">
        <v>85</v>
      </c>
      <c r="B3" s="21" t="s">
        <v>25</v>
      </c>
      <c r="C3" s="21" t="s">
        <v>54</v>
      </c>
      <c r="D3" s="2">
        <v>2</v>
      </c>
    </row>
    <row r="4" spans="1:5" x14ac:dyDescent="0.25">
      <c r="A4" s="21" t="s">
        <v>85</v>
      </c>
      <c r="B4" s="21" t="s">
        <v>25</v>
      </c>
      <c r="C4" s="21" t="s">
        <v>55</v>
      </c>
      <c r="D4" s="2">
        <v>2</v>
      </c>
    </row>
    <row r="5" spans="1:5" x14ac:dyDescent="0.25">
      <c r="A5" s="21" t="s">
        <v>85</v>
      </c>
      <c r="B5" s="22" t="s">
        <v>31</v>
      </c>
      <c r="C5" s="22" t="s">
        <v>56</v>
      </c>
      <c r="D5" s="2">
        <v>2</v>
      </c>
    </row>
    <row r="6" spans="1:5" x14ac:dyDescent="0.25">
      <c r="A6" s="21" t="s">
        <v>85</v>
      </c>
      <c r="B6" s="22" t="s">
        <v>31</v>
      </c>
      <c r="C6" s="22" t="s">
        <v>57</v>
      </c>
      <c r="D6" s="2">
        <v>2</v>
      </c>
    </row>
    <row r="7" spans="1:5" x14ac:dyDescent="0.25">
      <c r="A7" s="21" t="s">
        <v>85</v>
      </c>
      <c r="B7" s="22" t="s">
        <v>32</v>
      </c>
      <c r="C7" s="22" t="s">
        <v>58</v>
      </c>
      <c r="D7" s="2">
        <v>2</v>
      </c>
    </row>
    <row r="8" spans="1:5" x14ac:dyDescent="0.25">
      <c r="A8" s="21" t="s">
        <v>85</v>
      </c>
      <c r="B8" s="22" t="s">
        <v>33</v>
      </c>
      <c r="C8" s="21" t="s">
        <v>59</v>
      </c>
      <c r="D8" s="2">
        <v>2</v>
      </c>
    </row>
    <row r="9" spans="1:5" x14ac:dyDescent="0.25">
      <c r="A9" s="21" t="s">
        <v>85</v>
      </c>
      <c r="B9" s="22" t="s">
        <v>34</v>
      </c>
      <c r="C9" s="21" t="s">
        <v>60</v>
      </c>
      <c r="D9" s="2">
        <v>2</v>
      </c>
    </row>
    <row r="10" spans="1:5" x14ac:dyDescent="0.25">
      <c r="A10" s="21" t="s">
        <v>85</v>
      </c>
      <c r="B10" s="21" t="s">
        <v>35</v>
      </c>
      <c r="C10" s="21" t="s">
        <v>61</v>
      </c>
      <c r="D10" s="2">
        <v>2</v>
      </c>
    </row>
    <row r="11" spans="1:5" x14ac:dyDescent="0.25">
      <c r="A11" s="21" t="s">
        <v>85</v>
      </c>
      <c r="B11" s="22" t="s">
        <v>33</v>
      </c>
      <c r="C11" s="21" t="s">
        <v>62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85</v>
      </c>
      <c r="B13" s="24" t="s">
        <v>30</v>
      </c>
      <c r="C13" s="14" t="s">
        <v>63</v>
      </c>
      <c r="D13" s="2">
        <v>1</v>
      </c>
    </row>
    <row r="14" spans="1:5" x14ac:dyDescent="0.25">
      <c r="A14" s="14" t="s">
        <v>85</v>
      </c>
      <c r="B14" s="24" t="s">
        <v>30</v>
      </c>
      <c r="C14" s="14" t="s">
        <v>64</v>
      </c>
      <c r="D14" s="2">
        <v>1</v>
      </c>
    </row>
    <row r="15" spans="1:5" x14ac:dyDescent="0.25">
      <c r="A15" s="14" t="s">
        <v>85</v>
      </c>
      <c r="B15" s="24" t="s">
        <v>30</v>
      </c>
      <c r="C15" s="14" t="s">
        <v>65</v>
      </c>
      <c r="D15" s="2">
        <v>1</v>
      </c>
    </row>
    <row r="16" spans="1:5" x14ac:dyDescent="0.25">
      <c r="A16" s="14" t="s">
        <v>85</v>
      </c>
      <c r="B16" s="24" t="s">
        <v>36</v>
      </c>
      <c r="C16" s="24" t="s">
        <v>66</v>
      </c>
      <c r="D16" s="2">
        <v>1</v>
      </c>
    </row>
    <row r="17" spans="1:4" x14ac:dyDescent="0.25">
      <c r="A17" s="14" t="s">
        <v>86</v>
      </c>
      <c r="B17" s="24" t="s">
        <v>30</v>
      </c>
      <c r="C17" s="14" t="s">
        <v>68</v>
      </c>
      <c r="D17" s="2">
        <v>1</v>
      </c>
    </row>
    <row r="18" spans="1:4" x14ac:dyDescent="0.25">
      <c r="A18" s="14" t="s">
        <v>86</v>
      </c>
      <c r="B18" s="24" t="s">
        <v>30</v>
      </c>
      <c r="C18" s="14" t="s">
        <v>69</v>
      </c>
      <c r="D18" s="2">
        <v>1</v>
      </c>
    </row>
    <row r="19" spans="1:4" x14ac:dyDescent="0.25">
      <c r="A19" s="14" t="s">
        <v>87</v>
      </c>
      <c r="B19" s="24" t="s">
        <v>30</v>
      </c>
      <c r="C19" s="14" t="s">
        <v>70</v>
      </c>
      <c r="D19" s="2">
        <v>1</v>
      </c>
    </row>
    <row r="20" spans="1:4" x14ac:dyDescent="0.25">
      <c r="A20" s="14" t="s">
        <v>97</v>
      </c>
      <c r="B20" s="24" t="s">
        <v>30</v>
      </c>
      <c r="C20" s="14" t="s">
        <v>96</v>
      </c>
      <c r="D20" s="2">
        <v>1</v>
      </c>
    </row>
    <row r="21" spans="1:4" x14ac:dyDescent="0.25">
      <c r="A21" s="14" t="s">
        <v>98</v>
      </c>
      <c r="B21" s="24" t="s">
        <v>39</v>
      </c>
      <c r="C21" s="14" t="s">
        <v>95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86</v>
      </c>
      <c r="B23" s="18" t="s">
        <v>30</v>
      </c>
      <c r="C23" s="15" t="s">
        <v>67</v>
      </c>
      <c r="D23" s="2">
        <v>1</v>
      </c>
    </row>
    <row r="24" spans="1:4" x14ac:dyDescent="0.25">
      <c r="A24" s="15" t="s">
        <v>86</v>
      </c>
      <c r="B24" s="18" t="s">
        <v>37</v>
      </c>
      <c r="C24" s="16" t="s">
        <v>71</v>
      </c>
      <c r="D24" s="2">
        <v>1</v>
      </c>
    </row>
    <row r="25" spans="1:4" x14ac:dyDescent="0.25">
      <c r="A25" s="16" t="s">
        <v>22</v>
      </c>
      <c r="B25" s="18" t="s">
        <v>37</v>
      </c>
      <c r="C25" s="16" t="s">
        <v>72</v>
      </c>
      <c r="D25" s="2">
        <v>1</v>
      </c>
    </row>
    <row r="26" spans="1:4" x14ac:dyDescent="0.25">
      <c r="A26" s="15" t="s">
        <v>86</v>
      </c>
      <c r="B26" s="17" t="s">
        <v>27</v>
      </c>
      <c r="C26" s="17" t="s">
        <v>73</v>
      </c>
      <c r="D26" s="2">
        <v>1</v>
      </c>
    </row>
    <row r="27" spans="1:4" x14ac:dyDescent="0.25">
      <c r="A27" s="15" t="s">
        <v>86</v>
      </c>
      <c r="B27" s="18" t="s">
        <v>38</v>
      </c>
      <c r="C27" s="18" t="s">
        <v>74</v>
      </c>
      <c r="D27" s="2">
        <v>1</v>
      </c>
    </row>
    <row r="28" spans="1:4" x14ac:dyDescent="0.25">
      <c r="A28" s="15" t="s">
        <v>86</v>
      </c>
      <c r="B28" s="18" t="s">
        <v>38</v>
      </c>
      <c r="C28" s="18" t="s">
        <v>75</v>
      </c>
      <c r="D28" s="2">
        <v>1</v>
      </c>
    </row>
    <row r="29" spans="1:4" x14ac:dyDescent="0.25">
      <c r="A29" s="15" t="s">
        <v>86</v>
      </c>
      <c r="B29" s="18" t="s">
        <v>38</v>
      </c>
      <c r="C29" s="18" t="s">
        <v>76</v>
      </c>
      <c r="D29" s="2">
        <v>1</v>
      </c>
    </row>
    <row r="30" spans="1:4" x14ac:dyDescent="0.25">
      <c r="A30" s="15" t="s">
        <v>86</v>
      </c>
      <c r="B30" s="18" t="s">
        <v>38</v>
      </c>
      <c r="C30" s="18" t="s">
        <v>77</v>
      </c>
      <c r="D30" s="2">
        <v>1</v>
      </c>
    </row>
    <row r="31" spans="1:4" x14ac:dyDescent="0.25">
      <c r="A31" s="15" t="s">
        <v>86</v>
      </c>
      <c r="B31" s="18" t="s">
        <v>39</v>
      </c>
      <c r="C31" s="18" t="s">
        <v>79</v>
      </c>
      <c r="D31" s="2">
        <v>1</v>
      </c>
    </row>
    <row r="32" spans="1:4" x14ac:dyDescent="0.25">
      <c r="A32" s="18" t="s">
        <v>22</v>
      </c>
      <c r="B32" s="18" t="s">
        <v>39</v>
      </c>
      <c r="C32" s="18" t="s">
        <v>78</v>
      </c>
      <c r="D32" s="2">
        <v>1</v>
      </c>
    </row>
    <row r="33" spans="1:5" x14ac:dyDescent="0.25">
      <c r="A33" s="18" t="s">
        <v>22</v>
      </c>
      <c r="B33" s="18" t="s">
        <v>40</v>
      </c>
      <c r="C33" s="18" t="s">
        <v>81</v>
      </c>
      <c r="D33" s="2">
        <v>1</v>
      </c>
    </row>
    <row r="34" spans="1:5" x14ac:dyDescent="0.25">
      <c r="A34" s="18" t="s">
        <v>22</v>
      </c>
      <c r="B34" s="18" t="s">
        <v>40</v>
      </c>
      <c r="C34" s="18" t="s">
        <v>80</v>
      </c>
      <c r="D34" s="2">
        <v>1</v>
      </c>
    </row>
    <row r="35" spans="1:5" x14ac:dyDescent="0.25">
      <c r="D35" s="2"/>
    </row>
    <row r="36" spans="1:5" x14ac:dyDescent="0.25">
      <c r="A36" t="s">
        <v>94</v>
      </c>
      <c r="D36" s="2"/>
    </row>
    <row r="37" spans="1:5" x14ac:dyDescent="0.25">
      <c r="A37" s="8" t="s">
        <v>17</v>
      </c>
      <c r="B37" s="19" t="s">
        <v>24</v>
      </c>
      <c r="C37" s="8" t="s">
        <v>41</v>
      </c>
      <c r="D37" s="2" t="s">
        <v>89</v>
      </c>
      <c r="E37" s="3" t="s">
        <v>91</v>
      </c>
    </row>
    <row r="38" spans="1:5" x14ac:dyDescent="0.25">
      <c r="A38" s="8" t="s">
        <v>17</v>
      </c>
      <c r="B38" s="19" t="s">
        <v>24</v>
      </c>
      <c r="C38" s="8" t="s">
        <v>42</v>
      </c>
      <c r="D38" s="2" t="s">
        <v>89</v>
      </c>
      <c r="E38" s="3"/>
    </row>
    <row r="39" spans="1:5" x14ac:dyDescent="0.25">
      <c r="A39" s="8" t="s">
        <v>17</v>
      </c>
      <c r="B39" s="19" t="s">
        <v>24</v>
      </c>
      <c r="C39" s="8" t="s">
        <v>43</v>
      </c>
      <c r="D39" s="2" t="s">
        <v>89</v>
      </c>
      <c r="E39" s="3"/>
    </row>
    <row r="40" spans="1:5" x14ac:dyDescent="0.25">
      <c r="A40" s="8" t="s">
        <v>17</v>
      </c>
      <c r="B40" s="20" t="s">
        <v>25</v>
      </c>
      <c r="C40" s="20" t="s">
        <v>44</v>
      </c>
      <c r="D40" s="2" t="s">
        <v>89</v>
      </c>
      <c r="E40" s="3" t="s">
        <v>90</v>
      </c>
    </row>
    <row r="41" spans="1:5" x14ac:dyDescent="0.25">
      <c r="A41" s="8" t="s">
        <v>17</v>
      </c>
      <c r="B41" s="8" t="s">
        <v>82</v>
      </c>
      <c r="C41" s="20"/>
      <c r="D41" s="2" t="s">
        <v>89</v>
      </c>
      <c r="E41" s="3"/>
    </row>
    <row r="42" spans="1:5" x14ac:dyDescent="0.25">
      <c r="A42" s="8" t="s">
        <v>17</v>
      </c>
      <c r="B42" s="8" t="s">
        <v>83</v>
      </c>
      <c r="C42" s="20"/>
      <c r="D42" s="2" t="s">
        <v>89</v>
      </c>
      <c r="E42" s="3"/>
    </row>
    <row r="43" spans="1:5" x14ac:dyDescent="0.25">
      <c r="A43" s="8" t="s">
        <v>17</v>
      </c>
      <c r="B43" s="8" t="s">
        <v>84</v>
      </c>
      <c r="C43" s="20"/>
      <c r="D43" s="2" t="s">
        <v>89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18</v>
      </c>
      <c r="B45" s="10" t="s">
        <v>24</v>
      </c>
      <c r="C45" s="11" t="s">
        <v>45</v>
      </c>
      <c r="D45" s="2" t="s">
        <v>89</v>
      </c>
      <c r="E45" s="3" t="s">
        <v>91</v>
      </c>
    </row>
    <row r="46" spans="1:5" x14ac:dyDescent="0.25">
      <c r="A46" s="11" t="s">
        <v>88</v>
      </c>
      <c r="B46" s="10" t="s">
        <v>26</v>
      </c>
      <c r="C46" s="10" t="s">
        <v>46</v>
      </c>
      <c r="D46" s="2" t="s">
        <v>89</v>
      </c>
      <c r="E46" s="3"/>
    </row>
    <row r="47" spans="1:5" x14ac:dyDescent="0.25">
      <c r="A47" s="10" t="s">
        <v>19</v>
      </c>
      <c r="B47" s="10" t="s">
        <v>27</v>
      </c>
      <c r="C47" s="10" t="s">
        <v>47</v>
      </c>
      <c r="D47" s="2" t="s">
        <v>89</v>
      </c>
      <c r="E47" s="3" t="s">
        <v>91</v>
      </c>
    </row>
    <row r="48" spans="1:5" x14ac:dyDescent="0.25">
      <c r="A48" s="12" t="s">
        <v>19</v>
      </c>
      <c r="B48" s="12" t="s">
        <v>27</v>
      </c>
      <c r="C48" s="12" t="s">
        <v>48</v>
      </c>
      <c r="D48" s="2" t="s">
        <v>89</v>
      </c>
      <c r="E48" s="3" t="s">
        <v>91</v>
      </c>
    </row>
    <row r="49" spans="1:5" x14ac:dyDescent="0.25">
      <c r="A49" s="11" t="s">
        <v>20</v>
      </c>
      <c r="B49" s="12" t="s">
        <v>28</v>
      </c>
      <c r="C49" s="12" t="s">
        <v>49</v>
      </c>
      <c r="D49" s="2" t="s">
        <v>89</v>
      </c>
      <c r="E49" s="3"/>
    </row>
    <row r="50" spans="1:5" x14ac:dyDescent="0.25">
      <c r="A50" s="11" t="s">
        <v>20</v>
      </c>
      <c r="B50" s="10" t="s">
        <v>29</v>
      </c>
      <c r="C50" s="10" t="s">
        <v>50</v>
      </c>
      <c r="D50" s="2" t="s">
        <v>89</v>
      </c>
      <c r="E50" s="3"/>
    </row>
    <row r="51" spans="1:5" x14ac:dyDescent="0.25">
      <c r="A51" s="13" t="s">
        <v>23</v>
      </c>
      <c r="B51" s="13"/>
      <c r="C51" s="13" t="s">
        <v>51</v>
      </c>
      <c r="D51" s="2" t="s">
        <v>89</v>
      </c>
      <c r="E51" s="3" t="s">
        <v>91</v>
      </c>
    </row>
    <row r="52" spans="1:5" x14ac:dyDescent="0.25">
      <c r="A52" s="11" t="s">
        <v>21</v>
      </c>
      <c r="B52" s="10" t="s">
        <v>30</v>
      </c>
      <c r="C52" s="11" t="s">
        <v>52</v>
      </c>
      <c r="D52" s="2" t="s">
        <v>89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115</v>
      </c>
    </row>
    <row r="2" spans="1:14" ht="30" customHeight="1" x14ac:dyDescent="0.25">
      <c r="A2" s="5" t="s">
        <v>12</v>
      </c>
      <c r="B2" s="5" t="s">
        <v>0</v>
      </c>
      <c r="C2" s="5" t="s">
        <v>1</v>
      </c>
      <c r="D2" s="4" t="s">
        <v>3</v>
      </c>
      <c r="E2" s="4" t="s">
        <v>109</v>
      </c>
      <c r="F2" s="4" t="s">
        <v>2</v>
      </c>
      <c r="G2" s="4" t="s">
        <v>15</v>
      </c>
      <c r="H2" s="4" t="s">
        <v>109</v>
      </c>
      <c r="I2" s="4" t="s">
        <v>16</v>
      </c>
      <c r="J2" s="4" t="s">
        <v>8</v>
      </c>
      <c r="K2" s="4" t="s">
        <v>109</v>
      </c>
      <c r="L2" s="4" t="s">
        <v>9</v>
      </c>
      <c r="M2" s="4" t="s">
        <v>10</v>
      </c>
    </row>
    <row r="3" spans="1:14" x14ac:dyDescent="0.25">
      <c r="A3" s="21" t="s">
        <v>85</v>
      </c>
      <c r="B3" s="21" t="s">
        <v>25</v>
      </c>
      <c r="C3" s="21" t="s">
        <v>53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85</v>
      </c>
      <c r="B4" s="21" t="s">
        <v>25</v>
      </c>
      <c r="C4" s="21" t="s">
        <v>54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85</v>
      </c>
      <c r="B5" s="21" t="s">
        <v>25</v>
      </c>
      <c r="C5" s="21" t="s">
        <v>55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85</v>
      </c>
      <c r="B6" s="22" t="s">
        <v>31</v>
      </c>
      <c r="C6" s="22" t="s">
        <v>56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85</v>
      </c>
      <c r="B7" s="22" t="s">
        <v>31</v>
      </c>
      <c r="C7" s="22" t="s">
        <v>57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85</v>
      </c>
      <c r="B8" s="22" t="s">
        <v>32</v>
      </c>
      <c r="C8" s="22" t="s">
        <v>58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85</v>
      </c>
      <c r="B9" s="22" t="s">
        <v>33</v>
      </c>
      <c r="C9" s="21" t="s">
        <v>59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85</v>
      </c>
      <c r="B10" s="22" t="s">
        <v>34</v>
      </c>
      <c r="C10" s="21" t="s">
        <v>60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85</v>
      </c>
      <c r="B11" s="21" t="s">
        <v>35</v>
      </c>
      <c r="C11" s="21" t="s">
        <v>61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104</v>
      </c>
    </row>
    <row r="12" spans="1:14" x14ac:dyDescent="0.25">
      <c r="A12" s="21" t="s">
        <v>85</v>
      </c>
      <c r="B12" s="22" t="s">
        <v>33</v>
      </c>
      <c r="C12" s="21" t="s">
        <v>62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17</v>
      </c>
      <c r="B13" s="22" t="s">
        <v>25</v>
      </c>
      <c r="C13" s="21" t="s">
        <v>44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110</v>
      </c>
      <c r="B16" s="23"/>
      <c r="C16" s="23"/>
    </row>
    <row r="17" spans="1:18" ht="30" customHeight="1" x14ac:dyDescent="0.25">
      <c r="A17" s="5" t="s">
        <v>12</v>
      </c>
      <c r="B17" s="5" t="s">
        <v>0</v>
      </c>
      <c r="C17" s="5" t="s">
        <v>1</v>
      </c>
      <c r="D17" s="4" t="s">
        <v>3</v>
      </c>
      <c r="E17" s="4" t="s">
        <v>111</v>
      </c>
      <c r="F17" s="4" t="s">
        <v>109</v>
      </c>
      <c r="G17" s="4" t="s">
        <v>2</v>
      </c>
      <c r="H17" s="4" t="s">
        <v>15</v>
      </c>
      <c r="I17" s="4" t="s">
        <v>111</v>
      </c>
      <c r="J17" s="4" t="s">
        <v>109</v>
      </c>
      <c r="K17" s="4" t="s">
        <v>16</v>
      </c>
      <c r="L17" s="4" t="s">
        <v>8</v>
      </c>
      <c r="M17" s="4" t="s">
        <v>111</v>
      </c>
      <c r="N17" s="4" t="s">
        <v>109</v>
      </c>
      <c r="O17" s="4" t="s">
        <v>9</v>
      </c>
      <c r="P17" s="4" t="s">
        <v>10</v>
      </c>
    </row>
    <row r="18" spans="1:18" x14ac:dyDescent="0.25">
      <c r="A18" s="21" t="s">
        <v>85</v>
      </c>
      <c r="B18" s="21" t="s">
        <v>25</v>
      </c>
      <c r="C18" s="21" t="s">
        <v>53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85</v>
      </c>
      <c r="B19" s="21" t="s">
        <v>25</v>
      </c>
      <c r="C19" s="21" t="s">
        <v>54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85</v>
      </c>
      <c r="B20" s="21" t="s">
        <v>25</v>
      </c>
      <c r="C20" s="21" t="s">
        <v>55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85</v>
      </c>
      <c r="B21" s="22" t="s">
        <v>31</v>
      </c>
      <c r="C21" s="22" t="s">
        <v>56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85</v>
      </c>
      <c r="B22" s="22" t="s">
        <v>31</v>
      </c>
      <c r="C22" s="22" t="s">
        <v>57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85</v>
      </c>
      <c r="B23" s="22" t="s">
        <v>32</v>
      </c>
      <c r="C23" s="22" t="s">
        <v>58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85</v>
      </c>
      <c r="B24" s="22" t="s">
        <v>33</v>
      </c>
      <c r="C24" s="21" t="s">
        <v>59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85</v>
      </c>
      <c r="B25" s="22" t="s">
        <v>34</v>
      </c>
      <c r="C25" s="21" t="s">
        <v>60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85</v>
      </c>
      <c r="B26" s="21" t="s">
        <v>35</v>
      </c>
      <c r="C26" s="21" t="s">
        <v>61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104</v>
      </c>
    </row>
    <row r="27" spans="1:18" x14ac:dyDescent="0.25">
      <c r="A27" s="21" t="s">
        <v>85</v>
      </c>
      <c r="B27" s="22" t="s">
        <v>33</v>
      </c>
      <c r="C27" s="21" t="s">
        <v>62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17</v>
      </c>
      <c r="B28" s="22" t="s">
        <v>25</v>
      </c>
      <c r="C28" s="21" t="s">
        <v>44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108</v>
      </c>
      <c r="B30" s="30" t="s">
        <v>106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107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113</v>
      </c>
      <c r="G32" s="50" t="s">
        <v>114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112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12</v>
      </c>
      <c r="B40" s="5" t="s">
        <v>0</v>
      </c>
      <c r="C40" s="5" t="s">
        <v>1</v>
      </c>
      <c r="D40" s="4" t="s">
        <v>3</v>
      </c>
      <c r="E40" s="4" t="s">
        <v>109</v>
      </c>
      <c r="F40" s="4" t="s">
        <v>2</v>
      </c>
      <c r="G40" s="4" t="s">
        <v>15</v>
      </c>
      <c r="H40" s="4" t="s">
        <v>109</v>
      </c>
      <c r="I40" s="4" t="s">
        <v>16</v>
      </c>
      <c r="J40" s="4" t="s">
        <v>8</v>
      </c>
      <c r="K40" s="4" t="s">
        <v>109</v>
      </c>
      <c r="L40" s="4" t="s">
        <v>9</v>
      </c>
      <c r="M40" s="4" t="s">
        <v>10</v>
      </c>
    </row>
    <row r="41" spans="1:18" x14ac:dyDescent="0.25">
      <c r="A41" s="14" t="s">
        <v>85</v>
      </c>
      <c r="B41" s="24" t="s">
        <v>30</v>
      </c>
      <c r="C41" s="14" t="s">
        <v>63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85</v>
      </c>
      <c r="B42" s="24" t="s">
        <v>30</v>
      </c>
      <c r="C42" s="14" t="s">
        <v>64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85</v>
      </c>
      <c r="B43" s="24" t="s">
        <v>30</v>
      </c>
      <c r="C43" s="14" t="s">
        <v>65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85</v>
      </c>
      <c r="B44" s="24" t="s">
        <v>36</v>
      </c>
      <c r="C44" s="24" t="s">
        <v>66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86</v>
      </c>
      <c r="B45" s="24" t="s">
        <v>30</v>
      </c>
      <c r="C45" s="14" t="s">
        <v>68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86</v>
      </c>
      <c r="B46" s="24" t="s">
        <v>30</v>
      </c>
      <c r="C46" s="14" t="s">
        <v>69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87</v>
      </c>
      <c r="B47" s="24" t="s">
        <v>30</v>
      </c>
      <c r="C47" s="14" t="s">
        <v>70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97</v>
      </c>
      <c r="B48" s="24" t="s">
        <v>30</v>
      </c>
      <c r="C48" s="14" t="s">
        <v>96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98</v>
      </c>
      <c r="B49" s="24" t="s">
        <v>39</v>
      </c>
      <c r="C49" s="14" t="s">
        <v>95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99</v>
      </c>
      <c r="B50" s="24"/>
      <c r="C50" s="14" t="s">
        <v>100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99</v>
      </c>
      <c r="B51" s="24"/>
      <c r="C51" s="14" t="s">
        <v>101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99</v>
      </c>
      <c r="B52" s="24"/>
      <c r="C52" s="14" t="s">
        <v>102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86</v>
      </c>
      <c r="B54" s="18" t="s">
        <v>30</v>
      </c>
      <c r="C54" s="15" t="s">
        <v>67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86</v>
      </c>
      <c r="B55" s="18" t="s">
        <v>37</v>
      </c>
      <c r="C55" s="16" t="s">
        <v>71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22</v>
      </c>
      <c r="B56" s="18" t="s">
        <v>37</v>
      </c>
      <c r="C56" s="16" t="s">
        <v>72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86</v>
      </c>
      <c r="B57" s="17" t="s">
        <v>27</v>
      </c>
      <c r="C57" s="17" t="s">
        <v>73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86</v>
      </c>
      <c r="B58" s="18" t="s">
        <v>38</v>
      </c>
      <c r="C58" s="18" t="s">
        <v>74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86</v>
      </c>
      <c r="B59" s="18" t="s">
        <v>38</v>
      </c>
      <c r="C59" s="18" t="s">
        <v>75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86</v>
      </c>
      <c r="B60" s="18" t="s">
        <v>38</v>
      </c>
      <c r="C60" s="18" t="s">
        <v>76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86</v>
      </c>
      <c r="B61" s="18" t="s">
        <v>38</v>
      </c>
      <c r="C61" s="18" t="s">
        <v>77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86</v>
      </c>
      <c r="B62" s="18" t="s">
        <v>39</v>
      </c>
      <c r="C62" s="18" t="s">
        <v>79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22</v>
      </c>
      <c r="B63" s="18" t="s">
        <v>39</v>
      </c>
      <c r="C63" s="18" t="s">
        <v>78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110</v>
      </c>
      <c r="B66" s="23"/>
      <c r="C66" s="23"/>
    </row>
    <row r="67" spans="1:16" ht="30" customHeight="1" x14ac:dyDescent="0.25">
      <c r="A67" s="5" t="s">
        <v>12</v>
      </c>
      <c r="B67" s="5" t="s">
        <v>0</v>
      </c>
      <c r="C67" s="5" t="s">
        <v>1</v>
      </c>
      <c r="D67" s="4" t="s">
        <v>3</v>
      </c>
      <c r="E67" s="4" t="s">
        <v>111</v>
      </c>
      <c r="F67" s="4" t="s">
        <v>109</v>
      </c>
      <c r="G67" s="4" t="s">
        <v>2</v>
      </c>
      <c r="H67" s="4" t="s">
        <v>15</v>
      </c>
      <c r="I67" s="4" t="s">
        <v>111</v>
      </c>
      <c r="J67" s="4" t="s">
        <v>109</v>
      </c>
      <c r="K67" s="4" t="s">
        <v>16</v>
      </c>
      <c r="L67" s="4" t="s">
        <v>8</v>
      </c>
      <c r="M67" s="4" t="s">
        <v>111</v>
      </c>
      <c r="N67" s="4" t="s">
        <v>109</v>
      </c>
      <c r="O67" s="4" t="s">
        <v>9</v>
      </c>
      <c r="P67" s="4" t="s">
        <v>10</v>
      </c>
    </row>
    <row r="68" spans="1:16" x14ac:dyDescent="0.25">
      <c r="A68" s="14" t="s">
        <v>85</v>
      </c>
      <c r="B68" s="24" t="s">
        <v>30</v>
      </c>
      <c r="C68" s="14" t="s">
        <v>63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85</v>
      </c>
      <c r="B69" s="24" t="s">
        <v>30</v>
      </c>
      <c r="C69" s="14" t="s">
        <v>64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85</v>
      </c>
      <c r="B70" s="24" t="s">
        <v>30</v>
      </c>
      <c r="C70" s="14" t="s">
        <v>65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85</v>
      </c>
      <c r="B71" s="24" t="s">
        <v>36</v>
      </c>
      <c r="C71" s="24" t="s">
        <v>66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86</v>
      </c>
      <c r="B72" s="24" t="s">
        <v>30</v>
      </c>
      <c r="C72" s="14" t="s">
        <v>68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86</v>
      </c>
      <c r="B73" s="24" t="s">
        <v>30</v>
      </c>
      <c r="C73" s="14" t="s">
        <v>69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87</v>
      </c>
      <c r="B74" s="24" t="s">
        <v>30</v>
      </c>
      <c r="C74" s="14" t="s">
        <v>70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97</v>
      </c>
      <c r="B75" s="24" t="s">
        <v>30</v>
      </c>
      <c r="C75" s="14" t="s">
        <v>96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98</v>
      </c>
      <c r="B76" s="24" t="s">
        <v>39</v>
      </c>
      <c r="C76" s="14" t="s">
        <v>95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99</v>
      </c>
      <c r="B77" s="24"/>
      <c r="C77" s="14" t="s">
        <v>100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99</v>
      </c>
      <c r="B78" s="24"/>
      <c r="C78" s="14" t="s">
        <v>101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99</v>
      </c>
      <c r="B79" s="24"/>
      <c r="C79" s="14" t="s">
        <v>102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86</v>
      </c>
      <c r="B81" s="18" t="s">
        <v>30</v>
      </c>
      <c r="C81" s="15" t="s">
        <v>67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86</v>
      </c>
      <c r="B82" s="18" t="s">
        <v>37</v>
      </c>
      <c r="C82" s="16" t="s">
        <v>71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22</v>
      </c>
      <c r="B83" s="18" t="s">
        <v>37</v>
      </c>
      <c r="C83" s="16" t="s">
        <v>72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86</v>
      </c>
      <c r="B84" s="17" t="s">
        <v>27</v>
      </c>
      <c r="C84" s="17" t="s">
        <v>73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86</v>
      </c>
      <c r="B85" s="18" t="s">
        <v>38</v>
      </c>
      <c r="C85" s="18" t="s">
        <v>74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86</v>
      </c>
      <c r="B86" s="18" t="s">
        <v>38</v>
      </c>
      <c r="C86" s="18" t="s">
        <v>75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86</v>
      </c>
      <c r="B87" s="18" t="s">
        <v>38</v>
      </c>
      <c r="C87" s="18" t="s">
        <v>76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86</v>
      </c>
      <c r="B88" s="18" t="s">
        <v>38</v>
      </c>
      <c r="C88" s="18" t="s">
        <v>77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86</v>
      </c>
      <c r="B89" s="18" t="s">
        <v>39</v>
      </c>
      <c r="C89" s="18" t="s">
        <v>79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22</v>
      </c>
      <c r="B90" s="18" t="s">
        <v>39</v>
      </c>
      <c r="C90" s="18" t="s">
        <v>78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105</v>
      </c>
      <c r="B92" s="30" t="s">
        <v>106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107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113</v>
      </c>
      <c r="G94" s="50" t="s">
        <v>114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93</v>
      </c>
    </row>
    <row r="105" spans="1:18" x14ac:dyDescent="0.25">
      <c r="A105" s="8" t="s">
        <v>17</v>
      </c>
      <c r="B105" s="19" t="s">
        <v>24</v>
      </c>
      <c r="C105" s="8" t="s">
        <v>41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17</v>
      </c>
      <c r="B106" s="19" t="s">
        <v>24</v>
      </c>
      <c r="C106" s="8" t="s">
        <v>42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17</v>
      </c>
      <c r="B107" s="19" t="s">
        <v>24</v>
      </c>
      <c r="C107" s="8" t="s">
        <v>43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17</v>
      </c>
      <c r="B108" s="20" t="s">
        <v>25</v>
      </c>
      <c r="C108" s="20" t="s">
        <v>44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17</v>
      </c>
      <c r="B109" s="8" t="s">
        <v>82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17</v>
      </c>
      <c r="B110" s="8" t="s">
        <v>83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17</v>
      </c>
      <c r="B111" s="8" t="s">
        <v>84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18</v>
      </c>
      <c r="B113" s="10" t="s">
        <v>24</v>
      </c>
      <c r="C113" s="11" t="s">
        <v>45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88</v>
      </c>
      <c r="B114" s="10" t="s">
        <v>26</v>
      </c>
      <c r="C114" s="10" t="s">
        <v>46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19</v>
      </c>
      <c r="B115" s="10" t="s">
        <v>27</v>
      </c>
      <c r="C115" s="10" t="s">
        <v>47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92</v>
      </c>
    </row>
    <row r="116" spans="1:15" x14ac:dyDescent="0.25">
      <c r="A116" s="12" t="s">
        <v>19</v>
      </c>
      <c r="B116" s="12" t="s">
        <v>27</v>
      </c>
      <c r="C116" s="12" t="s">
        <v>48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20</v>
      </c>
      <c r="B117" s="12" t="s">
        <v>28</v>
      </c>
      <c r="C117" s="12" t="s">
        <v>49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20</v>
      </c>
      <c r="B118" s="10" t="s">
        <v>29</v>
      </c>
      <c r="C118" s="10" t="s">
        <v>50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23</v>
      </c>
      <c r="B119" s="13"/>
      <c r="C119" s="13" t="s">
        <v>51</v>
      </c>
      <c r="D119" s="2"/>
      <c r="E119" s="2"/>
      <c r="F119" s="2"/>
      <c r="G119" s="7" t="s">
        <v>23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21</v>
      </c>
      <c r="B120" s="10" t="s">
        <v>30</v>
      </c>
      <c r="C120" s="11" t="s">
        <v>52</v>
      </c>
      <c r="D120" s="2"/>
      <c r="E120" s="2"/>
      <c r="F120" s="2"/>
      <c r="G120" s="7" t="s">
        <v>23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defaultColWidth="11.42578125" defaultRowHeight="15" x14ac:dyDescent="0.25"/>
  <sheetData>
    <row r="1" spans="1:6" ht="15.75" thickBot="1" x14ac:dyDescent="0.3">
      <c r="A1" s="210"/>
      <c r="B1" s="211"/>
      <c r="C1" s="212"/>
      <c r="D1" s="213"/>
      <c r="E1" s="214"/>
      <c r="F1" s="214"/>
    </row>
    <row r="2" spans="1:6" ht="15.75" thickBot="1" x14ac:dyDescent="0.3">
      <c r="A2" s="215"/>
      <c r="B2" s="216"/>
      <c r="C2" s="217"/>
      <c r="D2" s="217"/>
      <c r="E2" s="216"/>
      <c r="F2" s="216"/>
    </row>
    <row r="3" spans="1:6" ht="15.75" thickBot="1" x14ac:dyDescent="0.3">
      <c r="A3" s="218"/>
      <c r="B3" s="219"/>
      <c r="C3" s="219"/>
      <c r="D3" s="221"/>
      <c r="E3" s="221"/>
      <c r="F3" s="221"/>
    </row>
    <row r="4" spans="1:6" ht="15.75" thickBot="1" x14ac:dyDescent="0.3">
      <c r="A4" s="218"/>
      <c r="B4" s="219"/>
      <c r="C4" s="219"/>
      <c r="D4" s="221"/>
      <c r="E4" s="221"/>
      <c r="F4" s="221"/>
    </row>
    <row r="5" spans="1:6" ht="15.75" thickBot="1" x14ac:dyDescent="0.3">
      <c r="A5" s="218"/>
      <c r="B5" s="219"/>
      <c r="C5" s="219"/>
      <c r="D5" s="221"/>
      <c r="E5" s="221"/>
      <c r="F5" s="221"/>
    </row>
    <row r="6" spans="1:6" ht="15.75" thickBot="1" x14ac:dyDescent="0.3">
      <c r="A6" s="218"/>
      <c r="B6" s="219"/>
      <c r="C6" s="219"/>
      <c r="D6" s="221"/>
      <c r="E6" s="221"/>
      <c r="F6" s="221"/>
    </row>
    <row r="7" spans="1:6" ht="15.75" thickBot="1" x14ac:dyDescent="0.3">
      <c r="A7" s="218"/>
      <c r="B7" s="219"/>
      <c r="C7" s="219"/>
      <c r="D7" s="221"/>
      <c r="E7" s="221"/>
      <c r="F7" s="221"/>
    </row>
    <row r="8" spans="1:6" ht="15.75" thickBot="1" x14ac:dyDescent="0.3">
      <c r="A8" s="218"/>
      <c r="B8" s="222"/>
      <c r="C8" s="222"/>
      <c r="D8" s="223"/>
      <c r="E8" s="224"/>
      <c r="F8" s="225"/>
    </row>
    <row r="9" spans="1:6" x14ac:dyDescent="0.25">
      <c r="A9" s="226"/>
    </row>
    <row r="10" spans="1:6" x14ac:dyDescent="0.25">
      <c r="D10" s="220"/>
      <c r="E10" s="220"/>
      <c r="F10" s="220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B1:W84"/>
  <sheetViews>
    <sheetView zoomScale="85" zoomScaleNormal="85" workbookViewId="0">
      <pane xSplit="18945" topLeftCell="Q1"/>
      <selection activeCell="I56" sqref="I56"/>
      <selection pane="topRight" activeCell="Q5" sqref="Q5:Q10"/>
    </sheetView>
  </sheetViews>
  <sheetFormatPr defaultColWidth="14.42578125" defaultRowHeight="15.75" customHeight="1" outlineLevelRow="2" x14ac:dyDescent="0.2"/>
  <cols>
    <col min="1" max="1" width="2.85546875" style="163" customWidth="1"/>
    <col min="2" max="2" width="29.140625" style="163" customWidth="1"/>
    <col min="3" max="3" width="8.28515625" style="163" customWidth="1"/>
    <col min="4" max="4" width="10.140625" style="163" customWidth="1"/>
    <col min="5" max="5" width="10.42578125" style="163" customWidth="1"/>
    <col min="6" max="6" width="10" style="163" customWidth="1"/>
    <col min="7" max="7" width="13.7109375" style="190" customWidth="1"/>
    <col min="8" max="8" width="10" style="190" customWidth="1"/>
    <col min="9" max="9" width="12" style="190" customWidth="1"/>
    <col min="10" max="12" width="11" style="190" customWidth="1"/>
    <col min="13" max="13" width="20.5703125" style="190" customWidth="1"/>
    <col min="14" max="14" width="13.7109375" style="163" customWidth="1"/>
    <col min="15" max="15" width="14" style="163" customWidth="1"/>
    <col min="16" max="16" width="12.42578125" style="163" customWidth="1"/>
    <col min="17" max="17" width="15.5703125" style="163" customWidth="1"/>
    <col min="18" max="18" width="17.42578125" style="163" customWidth="1"/>
    <col min="19" max="19" width="18.28515625" style="163" customWidth="1"/>
    <col min="20" max="21" width="14.42578125" style="163"/>
    <col min="22" max="22" width="16.85546875" style="163" customWidth="1"/>
    <col min="23" max="23" width="16" style="163" customWidth="1"/>
    <col min="24" max="16384" width="14.42578125" style="163"/>
  </cols>
  <sheetData>
    <row r="1" spans="2:23" ht="15.75" customHeight="1" x14ac:dyDescent="0.25">
      <c r="B1" s="164" t="s">
        <v>189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  <c r="O1" s="165"/>
      <c r="P1" s="165"/>
      <c r="Q1" s="165"/>
      <c r="R1" s="165"/>
    </row>
    <row r="2" spans="2:23" ht="15.75" customHeight="1" x14ac:dyDescent="0.2">
      <c r="O2" s="234">
        <v>0.21</v>
      </c>
      <c r="V2" s="163" t="s">
        <v>255</v>
      </c>
    </row>
    <row r="3" spans="2:23" ht="41.25" customHeight="1" x14ac:dyDescent="0.2">
      <c r="B3" s="167" t="s">
        <v>214</v>
      </c>
      <c r="C3" s="167" t="s">
        <v>236</v>
      </c>
      <c r="D3" s="167" t="s">
        <v>237</v>
      </c>
      <c r="E3" s="191" t="s">
        <v>201</v>
      </c>
      <c r="F3" s="167" t="s">
        <v>190</v>
      </c>
      <c r="G3" s="167" t="s">
        <v>191</v>
      </c>
      <c r="H3" s="191" t="s">
        <v>194</v>
      </c>
      <c r="I3" s="191" t="s">
        <v>195</v>
      </c>
      <c r="J3" s="191" t="s">
        <v>196</v>
      </c>
      <c r="K3" s="191" t="s">
        <v>198</v>
      </c>
      <c r="L3" s="191" t="s">
        <v>200</v>
      </c>
      <c r="M3" s="191"/>
      <c r="N3" s="168" t="s">
        <v>256</v>
      </c>
      <c r="O3" s="169" t="s">
        <v>261</v>
      </c>
      <c r="P3" s="169" t="s">
        <v>175</v>
      </c>
      <c r="Q3" s="170" t="s">
        <v>262</v>
      </c>
      <c r="R3" s="167" t="s">
        <v>263</v>
      </c>
    </row>
    <row r="4" spans="2:23" s="190" customFormat="1" ht="15" x14ac:dyDescent="0.25">
      <c r="B4" s="171"/>
      <c r="C4" s="172"/>
      <c r="D4" s="173"/>
      <c r="E4" s="173"/>
      <c r="F4" s="173"/>
      <c r="G4" s="174"/>
      <c r="H4" s="196"/>
      <c r="I4" s="196"/>
      <c r="J4" s="196"/>
      <c r="K4" s="196"/>
      <c r="L4" s="196"/>
      <c r="M4" s="196"/>
      <c r="N4" s="175"/>
      <c r="O4" s="176"/>
      <c r="P4" s="177"/>
      <c r="Q4" s="178"/>
      <c r="R4" s="179"/>
      <c r="V4" s="240"/>
    </row>
    <row r="5" spans="2:23" s="190" customFormat="1" ht="15.75" customHeight="1" x14ac:dyDescent="0.25">
      <c r="B5" s="171" t="s">
        <v>181</v>
      </c>
      <c r="C5" s="199">
        <v>6</v>
      </c>
      <c r="D5" s="173">
        <v>1</v>
      </c>
      <c r="E5" s="198" t="s">
        <v>202</v>
      </c>
      <c r="F5" s="200" t="s">
        <v>192</v>
      </c>
      <c r="G5" s="201" t="s">
        <v>193</v>
      </c>
      <c r="H5" s="202">
        <v>120</v>
      </c>
      <c r="I5" s="196">
        <v>25</v>
      </c>
      <c r="J5" s="202" t="s">
        <v>197</v>
      </c>
      <c r="K5" s="202" t="s">
        <v>177</v>
      </c>
      <c r="L5" s="202" t="s">
        <v>199</v>
      </c>
      <c r="M5" s="196"/>
      <c r="N5" s="175">
        <f>ROUND(Q34* $N$15, 2)</f>
        <v>125.95</v>
      </c>
      <c r="O5" s="176">
        <f>N5*(1+$O$2)</f>
        <v>152.39949999999999</v>
      </c>
      <c r="P5" s="177">
        <v>1</v>
      </c>
      <c r="Q5" s="178">
        <f t="shared" ref="Q5:Q10" si="0">P5*O5</f>
        <v>152.39949999999999</v>
      </c>
      <c r="R5" s="179">
        <f>Q5*12</f>
        <v>1828.7939999999999</v>
      </c>
      <c r="T5" s="240">
        <f>ROUND(O5/1.21,2)</f>
        <v>125.95</v>
      </c>
      <c r="U5" s="239">
        <f>O5</f>
        <v>152.39949999999999</v>
      </c>
      <c r="V5" s="240">
        <v>296.47000000000003</v>
      </c>
    </row>
    <row r="6" spans="2:23" s="238" customFormat="1" ht="15.75" customHeight="1" x14ac:dyDescent="0.25">
      <c r="B6" s="171" t="s">
        <v>244</v>
      </c>
      <c r="C6" s="199">
        <v>6</v>
      </c>
      <c r="D6" s="173">
        <v>1</v>
      </c>
      <c r="E6" s="198" t="s">
        <v>202</v>
      </c>
      <c r="F6" s="200" t="s">
        <v>192</v>
      </c>
      <c r="G6" s="201" t="s">
        <v>193</v>
      </c>
      <c r="H6" s="202">
        <v>120</v>
      </c>
      <c r="I6" s="196">
        <v>25</v>
      </c>
      <c r="J6" s="202" t="s">
        <v>197</v>
      </c>
      <c r="K6" s="202" t="s">
        <v>177</v>
      </c>
      <c r="L6" s="202" t="s">
        <v>199</v>
      </c>
      <c r="M6" s="196"/>
      <c r="N6" s="175">
        <f>ROUND(Q34* $N$15, 2)</f>
        <v>125.95</v>
      </c>
      <c r="O6" s="176">
        <f t="shared" ref="O6:O10" si="1">N6*(1+$O$2)</f>
        <v>152.39949999999999</v>
      </c>
      <c r="P6" s="177">
        <v>1</v>
      </c>
      <c r="Q6" s="178">
        <f t="shared" si="0"/>
        <v>152.39949999999999</v>
      </c>
      <c r="R6" s="179">
        <f>Q6*12</f>
        <v>1828.7939999999999</v>
      </c>
      <c r="T6" s="240">
        <f t="shared" ref="T6:T10" si="2">ROUND(O6/1.21,2)</f>
        <v>125.95</v>
      </c>
      <c r="U6" s="239">
        <f t="shared" ref="U6:U10" si="3">O6</f>
        <v>152.39949999999999</v>
      </c>
      <c r="V6" s="240">
        <v>296.47000000000003</v>
      </c>
    </row>
    <row r="7" spans="2:23" s="190" customFormat="1" ht="15.75" customHeight="1" x14ac:dyDescent="0.25">
      <c r="B7" s="171" t="s">
        <v>182</v>
      </c>
      <c r="C7" s="199">
        <v>12</v>
      </c>
      <c r="D7" s="173">
        <v>2</v>
      </c>
      <c r="E7" s="198" t="s">
        <v>257</v>
      </c>
      <c r="F7" s="200" t="s">
        <v>192</v>
      </c>
      <c r="G7" s="201" t="s">
        <v>192</v>
      </c>
      <c r="H7" s="202">
        <v>120</v>
      </c>
      <c r="I7" s="196">
        <v>25</v>
      </c>
      <c r="J7" s="202" t="s">
        <v>203</v>
      </c>
      <c r="K7" s="202" t="s">
        <v>176</v>
      </c>
      <c r="L7" s="227" t="s">
        <v>199</v>
      </c>
      <c r="M7" s="196"/>
      <c r="N7" s="175">
        <f>ROUND(Q45* $N$15, 2)</f>
        <v>1113.5</v>
      </c>
      <c r="O7" s="176">
        <f t="shared" si="1"/>
        <v>1347.335</v>
      </c>
      <c r="P7" s="177">
        <v>1</v>
      </c>
      <c r="Q7" s="178">
        <f t="shared" si="0"/>
        <v>1347.335</v>
      </c>
      <c r="R7" s="179">
        <f t="shared" ref="R7:R10" si="4">Q7*12</f>
        <v>16168.02</v>
      </c>
      <c r="T7" s="240">
        <f t="shared" si="2"/>
        <v>1113.5</v>
      </c>
      <c r="U7" s="239">
        <f t="shared" si="3"/>
        <v>1347.335</v>
      </c>
      <c r="V7" s="240">
        <v>1264.28</v>
      </c>
    </row>
    <row r="8" spans="2:23" s="190" customFormat="1" ht="15.75" customHeight="1" x14ac:dyDescent="0.25">
      <c r="B8" s="171" t="s">
        <v>243</v>
      </c>
      <c r="C8" s="199">
        <v>4</v>
      </c>
      <c r="D8" s="172">
        <v>1</v>
      </c>
      <c r="E8" s="198" t="s">
        <v>202</v>
      </c>
      <c r="F8" s="287" t="s">
        <v>205</v>
      </c>
      <c r="G8" s="288"/>
      <c r="H8" s="196">
        <v>20</v>
      </c>
      <c r="I8" s="196">
        <v>5</v>
      </c>
      <c r="J8" s="202" t="s">
        <v>197</v>
      </c>
      <c r="K8" s="202" t="s">
        <v>177</v>
      </c>
      <c r="L8" s="202" t="s">
        <v>204</v>
      </c>
      <c r="M8" s="196"/>
      <c r="N8" s="175">
        <f>ROUND(Q56* $N$15, 2)</f>
        <v>118.89</v>
      </c>
      <c r="O8" s="176">
        <f t="shared" si="1"/>
        <v>143.8569</v>
      </c>
      <c r="P8" s="177">
        <v>1</v>
      </c>
      <c r="Q8" s="178">
        <f t="shared" si="0"/>
        <v>143.8569</v>
      </c>
      <c r="R8" s="179">
        <f t="shared" si="4"/>
        <v>1726.2828</v>
      </c>
      <c r="T8" s="240">
        <f t="shared" si="2"/>
        <v>118.89</v>
      </c>
      <c r="U8" s="239">
        <f t="shared" si="3"/>
        <v>143.8569</v>
      </c>
      <c r="V8" s="240">
        <v>141</v>
      </c>
      <c r="W8" s="190">
        <v>117.3</v>
      </c>
    </row>
    <row r="9" spans="2:23" s="190" customFormat="1" ht="15.75" customHeight="1" x14ac:dyDescent="0.25">
      <c r="B9" s="171" t="s">
        <v>183</v>
      </c>
      <c r="C9" s="199">
        <v>4</v>
      </c>
      <c r="D9" s="173">
        <v>1</v>
      </c>
      <c r="E9" s="198" t="s">
        <v>202</v>
      </c>
      <c r="F9" s="200" t="s">
        <v>192</v>
      </c>
      <c r="G9" s="201" t="s">
        <v>193</v>
      </c>
      <c r="H9" s="196">
        <v>120</v>
      </c>
      <c r="I9" s="196">
        <v>25</v>
      </c>
      <c r="J9" s="202" t="s">
        <v>197</v>
      </c>
      <c r="K9" s="202" t="s">
        <v>177</v>
      </c>
      <c r="L9" s="202" t="s">
        <v>199</v>
      </c>
      <c r="M9" s="196"/>
      <c r="N9" s="175">
        <f>ROUND(Q65*$N$15,2)</f>
        <v>118.89</v>
      </c>
      <c r="O9" s="176">
        <f t="shared" si="1"/>
        <v>143.8569</v>
      </c>
      <c r="P9" s="177">
        <v>1</v>
      </c>
      <c r="Q9" s="178">
        <f t="shared" si="0"/>
        <v>143.8569</v>
      </c>
      <c r="R9" s="179">
        <f t="shared" si="4"/>
        <v>1726.2828</v>
      </c>
      <c r="T9" s="240">
        <f t="shared" si="2"/>
        <v>118.89</v>
      </c>
      <c r="U9" s="239">
        <f t="shared" si="3"/>
        <v>143.8569</v>
      </c>
      <c r="V9" s="240">
        <v>243.03</v>
      </c>
    </row>
    <row r="10" spans="2:23" s="190" customFormat="1" ht="15" x14ac:dyDescent="0.25">
      <c r="B10" s="171" t="s">
        <v>206</v>
      </c>
      <c r="C10" s="199">
        <v>2</v>
      </c>
      <c r="D10" s="173">
        <v>1</v>
      </c>
      <c r="E10" s="198" t="s">
        <v>202</v>
      </c>
      <c r="F10" s="200" t="s">
        <v>192</v>
      </c>
      <c r="G10" s="201" t="s">
        <v>193</v>
      </c>
      <c r="H10" s="196">
        <v>120</v>
      </c>
      <c r="I10" s="196">
        <v>25</v>
      </c>
      <c r="J10" s="202" t="s">
        <v>197</v>
      </c>
      <c r="K10" s="202" t="s">
        <v>177</v>
      </c>
      <c r="L10" s="202" t="s">
        <v>199</v>
      </c>
      <c r="M10" s="209"/>
      <c r="N10" s="175">
        <f>ROUND(Q75*$N$15, 2)</f>
        <v>233.86</v>
      </c>
      <c r="O10" s="176">
        <f t="shared" si="1"/>
        <v>282.97059999999999</v>
      </c>
      <c r="P10" s="177">
        <v>1</v>
      </c>
      <c r="Q10" s="178">
        <f t="shared" si="0"/>
        <v>282.97059999999999</v>
      </c>
      <c r="R10" s="179">
        <f t="shared" si="4"/>
        <v>3395.6471999999999</v>
      </c>
      <c r="T10" s="240">
        <f t="shared" si="2"/>
        <v>233.86</v>
      </c>
      <c r="U10" s="239">
        <f t="shared" si="3"/>
        <v>282.97059999999999</v>
      </c>
      <c r="V10" s="240"/>
    </row>
    <row r="11" spans="2:23" s="190" customFormat="1" thickBot="1" x14ac:dyDescent="0.3">
      <c r="B11" s="171" t="s">
        <v>241</v>
      </c>
      <c r="C11" s="172"/>
      <c r="D11" s="173"/>
      <c r="E11" s="173"/>
      <c r="F11" s="173"/>
      <c r="G11" s="174"/>
      <c r="H11" s="196"/>
      <c r="I11" s="196"/>
      <c r="J11" s="196"/>
      <c r="K11" s="196"/>
      <c r="L11" s="196"/>
      <c r="M11" s="196"/>
      <c r="N11" s="175"/>
      <c r="O11" s="176"/>
      <c r="P11" s="177"/>
      <c r="Q11" s="178"/>
      <c r="R11" s="179">
        <v>490</v>
      </c>
    </row>
    <row r="12" spans="2:23" ht="15.75" customHeight="1" thickBot="1" x14ac:dyDescent="0.3">
      <c r="B12" s="292"/>
      <c r="C12" s="293"/>
      <c r="D12" s="293"/>
      <c r="E12" s="293"/>
      <c r="F12" s="293"/>
      <c r="N12" s="181"/>
      <c r="O12" s="182"/>
      <c r="P12" s="183"/>
      <c r="Q12" s="181"/>
      <c r="R12" s="184">
        <f>SUM(R4:R11)</f>
        <v>27163.820800000001</v>
      </c>
      <c r="S12" s="185"/>
      <c r="T12" s="185"/>
    </row>
    <row r="13" spans="2:23" ht="16.5" customHeight="1" x14ac:dyDescent="0.2">
      <c r="P13" s="189"/>
    </row>
    <row r="14" spans="2:23" ht="16.5" customHeight="1" x14ac:dyDescent="0.2">
      <c r="B14" s="289"/>
      <c r="C14" s="290"/>
      <c r="D14" s="290"/>
      <c r="E14" s="290"/>
      <c r="F14" s="291"/>
      <c r="G14" s="197"/>
      <c r="H14" s="197"/>
      <c r="I14" s="197"/>
      <c r="J14" s="197"/>
      <c r="K14" s="197"/>
      <c r="L14" s="197"/>
      <c r="M14" s="197"/>
      <c r="O14" s="294" t="s">
        <v>178</v>
      </c>
      <c r="P14" s="290"/>
      <c r="Q14" s="291"/>
    </row>
    <row r="15" spans="2:23" ht="16.5" customHeight="1" x14ac:dyDescent="0.25">
      <c r="B15" s="295"/>
      <c r="C15" s="293"/>
      <c r="D15" s="293"/>
      <c r="E15" s="293"/>
      <c r="F15" s="296"/>
      <c r="G15" s="197"/>
      <c r="H15" s="197"/>
      <c r="I15" s="197"/>
      <c r="J15" s="197"/>
      <c r="K15" s="197"/>
      <c r="L15" s="197"/>
      <c r="M15" s="197"/>
      <c r="N15" s="163">
        <v>0.84</v>
      </c>
      <c r="O15" s="297" t="s">
        <v>233</v>
      </c>
      <c r="P15" s="293"/>
      <c r="Q15" s="296"/>
    </row>
    <row r="16" spans="2:23" ht="16.5" customHeight="1" x14ac:dyDescent="0.2">
      <c r="B16" s="289"/>
      <c r="C16" s="290"/>
      <c r="D16" s="290"/>
      <c r="E16" s="290"/>
      <c r="F16" s="291"/>
      <c r="G16" s="197"/>
      <c r="H16" s="197"/>
      <c r="I16" s="197"/>
      <c r="J16" s="197"/>
      <c r="K16" s="197"/>
      <c r="L16" s="197"/>
      <c r="M16" s="197"/>
      <c r="O16" s="281" t="s">
        <v>234</v>
      </c>
      <c r="P16" s="282"/>
      <c r="Q16" s="283"/>
    </row>
    <row r="17" spans="2:20" ht="16.5" customHeight="1" x14ac:dyDescent="0.2">
      <c r="B17" s="278"/>
      <c r="C17" s="279"/>
      <c r="D17" s="279"/>
      <c r="E17" s="279"/>
      <c r="F17" s="280"/>
      <c r="G17" s="197"/>
      <c r="H17" s="197"/>
      <c r="I17" s="197"/>
      <c r="J17" s="197"/>
      <c r="K17" s="197"/>
      <c r="L17" s="197"/>
      <c r="M17" s="197"/>
    </row>
    <row r="18" spans="2:20" ht="16.5" customHeight="1" x14ac:dyDescent="0.2">
      <c r="B18" s="203"/>
      <c r="C18" s="204"/>
      <c r="D18" s="204"/>
      <c r="E18" s="204"/>
      <c r="F18" s="205"/>
      <c r="G18" s="197"/>
      <c r="H18" s="197"/>
      <c r="I18" s="197"/>
      <c r="J18" s="197"/>
      <c r="K18" s="197"/>
      <c r="L18" s="197"/>
      <c r="M18" s="197"/>
    </row>
    <row r="19" spans="2:20" ht="16.5" customHeight="1" x14ac:dyDescent="0.2">
      <c r="B19" s="284"/>
      <c r="C19" s="285"/>
      <c r="D19" s="285"/>
      <c r="E19" s="285"/>
      <c r="F19" s="286"/>
      <c r="G19" s="197"/>
      <c r="H19" s="197"/>
      <c r="I19" s="197"/>
      <c r="J19" s="197"/>
      <c r="K19" s="197"/>
      <c r="L19" s="197"/>
      <c r="M19" s="197"/>
    </row>
    <row r="21" spans="2:20" s="190" customFormat="1" ht="15.75" customHeight="1" x14ac:dyDescent="0.25">
      <c r="B21" s="164" t="s">
        <v>208</v>
      </c>
      <c r="C21" s="165"/>
      <c r="D21" s="165"/>
      <c r="E21" s="165"/>
      <c r="F21" s="165"/>
      <c r="G21" s="165"/>
      <c r="H21" s="165"/>
      <c r="I21" s="165"/>
      <c r="J21" s="165"/>
      <c r="K21" s="165"/>
      <c r="L21" s="165"/>
      <c r="M21" s="165"/>
      <c r="N21" s="166"/>
      <c r="O21" s="165"/>
      <c r="P21" s="165"/>
      <c r="Q21" s="165"/>
      <c r="R21" s="165"/>
    </row>
    <row r="22" spans="2:20" s="190" customFormat="1" ht="40.5" customHeight="1" x14ac:dyDescent="0.2">
      <c r="M22" s="191"/>
      <c r="N22" s="168"/>
      <c r="O22" s="169" t="s">
        <v>264</v>
      </c>
      <c r="P22" s="169" t="s">
        <v>175</v>
      </c>
      <c r="Q22" s="170" t="s">
        <v>262</v>
      </c>
      <c r="R22" s="191" t="s">
        <v>263</v>
      </c>
    </row>
    <row r="23" spans="2:20" s="190" customFormat="1" ht="15.75" customHeight="1" thickBot="1" x14ac:dyDescent="0.3">
      <c r="B23" s="207"/>
      <c r="M23" s="174"/>
      <c r="N23" s="175"/>
      <c r="O23" s="176">
        <f>Perfils!G10</f>
        <v>64.39</v>
      </c>
      <c r="P23" s="177">
        <v>10</v>
      </c>
      <c r="Q23" s="178">
        <f>P23*O23</f>
        <v>643.9</v>
      </c>
      <c r="R23" s="179">
        <f>Q23*12</f>
        <v>7726.7999999999993</v>
      </c>
    </row>
    <row r="24" spans="2:20" s="190" customFormat="1" ht="15.75" customHeight="1" thickBot="1" x14ac:dyDescent="0.3">
      <c r="N24" s="181"/>
      <c r="O24" s="182"/>
      <c r="P24" s="183"/>
      <c r="Q24" s="181"/>
      <c r="R24" s="184">
        <f>SUM(R23:R23)</f>
        <v>7726.7999999999993</v>
      </c>
    </row>
    <row r="25" spans="2:20" s="190" customFormat="1" ht="15.75" customHeight="1" x14ac:dyDescent="0.2"/>
    <row r="26" spans="2:20" s="190" customFormat="1" ht="15.75" customHeight="1" x14ac:dyDescent="0.25">
      <c r="B26" s="164"/>
      <c r="C26" s="165"/>
      <c r="D26" s="165"/>
      <c r="E26" s="165"/>
      <c r="F26" s="165"/>
      <c r="G26" s="165"/>
      <c r="H26" s="165"/>
      <c r="I26" s="165"/>
      <c r="J26" s="165"/>
      <c r="K26" s="165"/>
      <c r="L26" s="165"/>
      <c r="M26" s="165"/>
      <c r="N26" s="166"/>
      <c r="O26" s="165"/>
      <c r="P26" s="165"/>
      <c r="Q26" s="165"/>
      <c r="R26" s="165"/>
    </row>
    <row r="27" spans="2:20" s="190" customFormat="1" ht="15.75" customHeight="1" x14ac:dyDescent="0.2">
      <c r="N27" s="190" t="s">
        <v>209</v>
      </c>
      <c r="R27" s="206">
        <f>R12</f>
        <v>27163.820800000001</v>
      </c>
    </row>
    <row r="28" spans="2:20" s="190" customFormat="1" ht="15.75" customHeight="1" x14ac:dyDescent="0.2">
      <c r="N28" s="190" t="s">
        <v>210</v>
      </c>
      <c r="R28" s="206">
        <f>R24</f>
        <v>7726.7999999999993</v>
      </c>
    </row>
    <row r="29" spans="2:20" s="190" customFormat="1" ht="15.75" customHeight="1" x14ac:dyDescent="0.2">
      <c r="Q29" s="190" t="s">
        <v>168</v>
      </c>
      <c r="R29" s="208">
        <f>SUM(R27:R28)</f>
        <v>34890.620800000004</v>
      </c>
      <c r="S29" s="206"/>
      <c r="T29" s="190">
        <v>32839</v>
      </c>
    </row>
    <row r="30" spans="2:20" s="190" customFormat="1" ht="15.75" customHeight="1" x14ac:dyDescent="0.2"/>
    <row r="31" spans="2:20" ht="15.75" customHeight="1" thickBot="1" x14ac:dyDescent="0.25">
      <c r="B31" s="186" t="s">
        <v>207</v>
      </c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8"/>
      <c r="Q31" s="188"/>
      <c r="R31" s="188"/>
    </row>
    <row r="32" spans="2:20" ht="15.75" customHeight="1" thickBot="1" x14ac:dyDescent="0.25">
      <c r="Q32" s="234">
        <v>0.2</v>
      </c>
      <c r="R32" s="184"/>
    </row>
    <row r="33" spans="2:18" ht="15.75" customHeight="1" x14ac:dyDescent="0.2">
      <c r="O33" s="163" t="s">
        <v>184</v>
      </c>
      <c r="P33" s="163" t="s">
        <v>188</v>
      </c>
      <c r="Q33" s="163" t="s">
        <v>232</v>
      </c>
      <c r="R33" s="163" t="s">
        <v>187</v>
      </c>
    </row>
    <row r="34" spans="2:18" ht="15.75" customHeight="1" collapsed="1" x14ac:dyDescent="0.2">
      <c r="B34" s="193" t="s">
        <v>181</v>
      </c>
      <c r="O34" s="255">
        <f>SUM(O35:O43)</f>
        <v>0</v>
      </c>
      <c r="P34" s="231">
        <f>SUM(P35:P43)</f>
        <v>124.95</v>
      </c>
      <c r="Q34" s="232">
        <f>P34*(1+$Q$32)</f>
        <v>149.94</v>
      </c>
      <c r="R34" s="233">
        <f>Q34*12</f>
        <v>1799.28</v>
      </c>
    </row>
    <row r="35" spans="2:18" ht="14.25" hidden="1" outlineLevel="1" x14ac:dyDescent="0.2">
      <c r="B35" s="194" t="s">
        <v>235</v>
      </c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>
        <v>6</v>
      </c>
      <c r="N35" s="254">
        <f>M35*$C$33</f>
        <v>0</v>
      </c>
      <c r="O35" s="254"/>
      <c r="P35" s="232">
        <f>N35</f>
        <v>0</v>
      </c>
      <c r="Q35" s="232"/>
      <c r="R35" s="233"/>
    </row>
    <row r="36" spans="2:18" s="254" customFormat="1" ht="14.25" hidden="1" outlineLevel="1" x14ac:dyDescent="0.2">
      <c r="B36" s="194" t="s">
        <v>220</v>
      </c>
      <c r="M36" s="254">
        <v>1</v>
      </c>
      <c r="N36" s="254">
        <f>M36*$C$33</f>
        <v>0</v>
      </c>
      <c r="P36" s="232">
        <f>N36</f>
        <v>0</v>
      </c>
      <c r="Q36" s="232"/>
      <c r="R36" s="233"/>
    </row>
    <row r="37" spans="2:18" ht="15" hidden="1" outlineLevel="1" x14ac:dyDescent="0.25">
      <c r="B37" t="s">
        <v>218</v>
      </c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  <c r="O37" s="254"/>
      <c r="P37" s="232">
        <v>50</v>
      </c>
      <c r="Q37" s="232"/>
      <c r="R37" s="233"/>
    </row>
    <row r="38" spans="2:18" ht="14.25" hidden="1" outlineLevel="1" x14ac:dyDescent="0.2">
      <c r="B38" s="194" t="s">
        <v>223</v>
      </c>
      <c r="C38" s="254"/>
      <c r="D38" s="254"/>
      <c r="E38" s="254"/>
      <c r="F38" s="254"/>
      <c r="G38" s="254"/>
      <c r="H38" s="254"/>
      <c r="I38" s="254"/>
      <c r="J38" s="254"/>
      <c r="K38" s="254"/>
      <c r="L38" s="254"/>
      <c r="M38" s="254"/>
      <c r="N38" s="254"/>
      <c r="O38" s="254"/>
      <c r="P38" s="232">
        <v>60</v>
      </c>
      <c r="Q38" s="232"/>
      <c r="R38" s="233"/>
    </row>
    <row r="39" spans="2:18" ht="14.25" hidden="1" outlineLevel="1" x14ac:dyDescent="0.2">
      <c r="B39" s="194" t="s">
        <v>219</v>
      </c>
      <c r="C39" s="254"/>
      <c r="D39" s="254"/>
      <c r="E39" s="254"/>
      <c r="F39" s="254"/>
      <c r="G39" s="254"/>
      <c r="H39" s="254"/>
      <c r="I39" s="254"/>
      <c r="J39" s="254"/>
      <c r="K39" s="254"/>
      <c r="L39" s="254"/>
      <c r="M39" s="254"/>
      <c r="N39" s="254"/>
      <c r="O39" s="254"/>
      <c r="P39" s="232">
        <v>14.95</v>
      </c>
      <c r="Q39" s="232"/>
      <c r="R39" s="233" t="s">
        <v>185</v>
      </c>
    </row>
    <row r="40" spans="2:18" ht="14.25" hidden="1" outlineLevel="1" x14ac:dyDescent="0.2">
      <c r="B40" s="194"/>
      <c r="P40" s="232"/>
      <c r="Q40" s="232"/>
      <c r="R40" s="233"/>
    </row>
    <row r="41" spans="2:18" ht="18.75" hidden="1" customHeight="1" outlineLevel="1" x14ac:dyDescent="0.2">
      <c r="B41" s="194"/>
      <c r="P41" s="232"/>
      <c r="Q41" s="232"/>
      <c r="R41" s="233" t="s">
        <v>186</v>
      </c>
    </row>
    <row r="42" spans="2:18" ht="22.5" hidden="1" customHeight="1" outlineLevel="1" x14ac:dyDescent="0.2">
      <c r="P42" s="232"/>
      <c r="Q42" s="232"/>
      <c r="R42" s="233"/>
    </row>
    <row r="43" spans="2:18" ht="16.5" hidden="1" customHeight="1" outlineLevel="1" x14ac:dyDescent="0.2">
      <c r="B43" s="194"/>
      <c r="P43" s="232"/>
      <c r="Q43" s="232"/>
      <c r="R43" s="233"/>
    </row>
    <row r="44" spans="2:18" ht="15.75" customHeight="1" x14ac:dyDescent="0.2">
      <c r="B44" s="192"/>
      <c r="P44" s="232"/>
      <c r="Q44" s="232"/>
      <c r="R44" s="233"/>
    </row>
    <row r="45" spans="2:18" ht="15.75" customHeight="1" collapsed="1" x14ac:dyDescent="0.2">
      <c r="B45" s="193" t="s">
        <v>182</v>
      </c>
      <c r="O45" s="195">
        <f>SUM(O46:O54)</f>
        <v>591.66</v>
      </c>
      <c r="P45" s="231">
        <f>SUM(P46:P54)</f>
        <v>1104.6599999999999</v>
      </c>
      <c r="Q45" s="232">
        <f>P45*(1+$Q$32)</f>
        <v>1325.5919999999999</v>
      </c>
      <c r="R45" s="233">
        <f>Q45*12</f>
        <v>15907.103999999999</v>
      </c>
    </row>
    <row r="46" spans="2:18" ht="14.25" hidden="1" outlineLevel="1" x14ac:dyDescent="0.2">
      <c r="B46" s="194" t="s">
        <v>258</v>
      </c>
      <c r="M46" s="254">
        <v>2</v>
      </c>
      <c r="N46" s="254">
        <v>250</v>
      </c>
      <c r="O46" s="233">
        <f>ROUND(N46*M46*(11/12),2)</f>
        <v>458.33</v>
      </c>
      <c r="P46" s="232">
        <f>O46</f>
        <v>458.33</v>
      </c>
      <c r="Q46" s="232"/>
      <c r="R46" s="233"/>
    </row>
    <row r="47" spans="2:18" s="254" customFormat="1" ht="14.25" hidden="1" outlineLevel="1" x14ac:dyDescent="0.2">
      <c r="B47" s="194" t="s">
        <v>259</v>
      </c>
      <c r="M47" s="254">
        <v>2</v>
      </c>
      <c r="N47" s="254">
        <v>500</v>
      </c>
      <c r="O47" s="233">
        <f>ROUND(N47*M47*(1/12),2)</f>
        <v>83.33</v>
      </c>
      <c r="P47" s="232">
        <f>O47</f>
        <v>83.33</v>
      </c>
      <c r="Q47" s="232"/>
      <c r="R47" s="233"/>
    </row>
    <row r="48" spans="2:18" ht="14.25" hidden="1" outlineLevel="1" x14ac:dyDescent="0.2">
      <c r="B48" s="194" t="s">
        <v>220</v>
      </c>
      <c r="M48" s="254">
        <v>2</v>
      </c>
      <c r="N48" s="254">
        <v>25</v>
      </c>
      <c r="O48" s="254">
        <f>N48*M48</f>
        <v>50</v>
      </c>
      <c r="P48" s="232">
        <f>O48</f>
        <v>50</v>
      </c>
      <c r="Q48" s="232"/>
      <c r="R48" s="233"/>
    </row>
    <row r="49" spans="2:18" ht="14.25" hidden="1" outlineLevel="1" x14ac:dyDescent="0.2">
      <c r="B49" s="194" t="s">
        <v>221</v>
      </c>
      <c r="P49" s="232">
        <v>14</v>
      </c>
      <c r="Q49" s="232"/>
      <c r="R49" s="233"/>
    </row>
    <row r="50" spans="2:18" ht="14.25" hidden="1" outlineLevel="1" x14ac:dyDescent="0.2">
      <c r="B50" s="194" t="s">
        <v>260</v>
      </c>
      <c r="O50" s="180"/>
      <c r="P50" s="232">
        <v>200</v>
      </c>
      <c r="Q50" s="232"/>
      <c r="R50" s="233"/>
    </row>
    <row r="51" spans="2:18" ht="14.25" hidden="1" outlineLevel="1" x14ac:dyDescent="0.2">
      <c r="B51" s="194" t="s">
        <v>222</v>
      </c>
      <c r="P51" s="232">
        <v>39</v>
      </c>
      <c r="Q51" s="232"/>
      <c r="R51" s="233"/>
    </row>
    <row r="52" spans="2:18" ht="14.25" hidden="1" outlineLevel="1" x14ac:dyDescent="0.2">
      <c r="B52" s="194" t="s">
        <v>223</v>
      </c>
      <c r="P52" s="232">
        <v>60</v>
      </c>
      <c r="Q52" s="232"/>
      <c r="R52" s="233"/>
    </row>
    <row r="53" spans="2:18" ht="14.25" hidden="1" outlineLevel="1" x14ac:dyDescent="0.2">
      <c r="B53" s="194" t="s">
        <v>238</v>
      </c>
      <c r="P53" s="232">
        <v>200</v>
      </c>
      <c r="Q53" s="232"/>
      <c r="R53" s="233"/>
    </row>
    <row r="54" spans="2:18" ht="14.25" hidden="1" outlineLevel="1" x14ac:dyDescent="0.2">
      <c r="B54" s="194"/>
      <c r="P54" s="232"/>
      <c r="Q54" s="232"/>
      <c r="R54" s="233"/>
    </row>
    <row r="55" spans="2:18" ht="15.75" customHeight="1" x14ac:dyDescent="0.2">
      <c r="B55" s="192"/>
      <c r="P55" s="232"/>
      <c r="Q55" s="232"/>
      <c r="R55" s="233"/>
    </row>
    <row r="56" spans="2:18" ht="15.75" customHeight="1" collapsed="1" x14ac:dyDescent="0.25">
      <c r="B56" s="68" t="s">
        <v>225</v>
      </c>
      <c r="O56" s="195">
        <f>SUM(O57:O63)</f>
        <v>0</v>
      </c>
      <c r="P56" s="231">
        <f>SUM(P57:P63)</f>
        <v>117.95</v>
      </c>
      <c r="Q56" s="232">
        <f>P56*(1+$Q$32)</f>
        <v>141.54</v>
      </c>
      <c r="R56" s="233">
        <f>Q56*12</f>
        <v>1698.48</v>
      </c>
    </row>
    <row r="57" spans="2:18" ht="15" hidden="1" outlineLevel="1" x14ac:dyDescent="0.25">
      <c r="B57" t="s">
        <v>226</v>
      </c>
      <c r="M57" s="228">
        <v>4</v>
      </c>
      <c r="N57" s="228">
        <f>M57*$C$33</f>
        <v>0</v>
      </c>
      <c r="O57" s="228"/>
      <c r="P57" s="232">
        <f>N57</f>
        <v>0</v>
      </c>
      <c r="Q57" s="232"/>
      <c r="R57" s="233"/>
    </row>
    <row r="58" spans="2:18" ht="15" hidden="1" outlineLevel="1" x14ac:dyDescent="0.25">
      <c r="B58" t="s">
        <v>226</v>
      </c>
      <c r="M58" s="228">
        <v>1</v>
      </c>
      <c r="N58" s="228">
        <f>M58*$C$33</f>
        <v>0</v>
      </c>
      <c r="O58" s="228"/>
      <c r="P58" s="232">
        <f>N58</f>
        <v>0</v>
      </c>
      <c r="Q58" s="232"/>
      <c r="R58" s="233"/>
    </row>
    <row r="59" spans="2:18" ht="15" hidden="1" outlineLevel="1" x14ac:dyDescent="0.25">
      <c r="B59" t="s">
        <v>221</v>
      </c>
      <c r="P59" s="232">
        <v>14</v>
      </c>
      <c r="Q59" s="232"/>
      <c r="R59" s="233"/>
    </row>
    <row r="60" spans="2:18" ht="15" hidden="1" outlineLevel="1" x14ac:dyDescent="0.25">
      <c r="B60" t="s">
        <v>218</v>
      </c>
      <c r="P60" s="232">
        <v>50</v>
      </c>
      <c r="Q60" s="232"/>
      <c r="R60" s="233"/>
    </row>
    <row r="61" spans="2:18" ht="15" hidden="1" outlineLevel="1" x14ac:dyDescent="0.25">
      <c r="B61" t="s">
        <v>227</v>
      </c>
      <c r="P61" s="232">
        <v>39</v>
      </c>
      <c r="Q61" s="232"/>
      <c r="R61" s="233"/>
    </row>
    <row r="62" spans="2:18" ht="14.25" hidden="1" outlineLevel="1" x14ac:dyDescent="0.2">
      <c r="B62" s="194" t="s">
        <v>228</v>
      </c>
      <c r="P62" s="232">
        <v>14.95</v>
      </c>
      <c r="Q62" s="232"/>
      <c r="R62" s="233"/>
    </row>
    <row r="63" spans="2:18" ht="14.25" hidden="1" outlineLevel="1" x14ac:dyDescent="0.2">
      <c r="B63" s="194"/>
      <c r="P63" s="232"/>
      <c r="Q63" s="232"/>
      <c r="R63" s="233"/>
    </row>
    <row r="64" spans="2:18" ht="15.75" customHeight="1" x14ac:dyDescent="0.2">
      <c r="B64" s="192"/>
      <c r="P64" s="232"/>
      <c r="Q64" s="232"/>
      <c r="R64" s="233"/>
    </row>
    <row r="65" spans="2:19" ht="15.75" customHeight="1" collapsed="1" x14ac:dyDescent="0.2">
      <c r="B65" s="193" t="s">
        <v>183</v>
      </c>
      <c r="O65" s="195">
        <f>SUM(O66:O73)</f>
        <v>0</v>
      </c>
      <c r="P65" s="231">
        <f>SUM(P66:P73)</f>
        <v>117.95</v>
      </c>
      <c r="Q65" s="232">
        <f>P65*(1+$Q$32)</f>
        <v>141.54</v>
      </c>
      <c r="R65" s="233">
        <f>Q65*12</f>
        <v>1698.48</v>
      </c>
    </row>
    <row r="66" spans="2:19" ht="15" hidden="1" outlineLevel="2" x14ac:dyDescent="0.25">
      <c r="B66" t="s">
        <v>224</v>
      </c>
      <c r="M66" s="228">
        <v>4</v>
      </c>
      <c r="N66" s="228">
        <f>M66*$C$33</f>
        <v>0</v>
      </c>
      <c r="O66" s="228"/>
      <c r="P66" s="232">
        <f>N66</f>
        <v>0</v>
      </c>
      <c r="Q66" s="232"/>
      <c r="R66" s="233"/>
    </row>
    <row r="67" spans="2:19" ht="15" hidden="1" outlineLevel="2" x14ac:dyDescent="0.25">
      <c r="B67" t="s">
        <v>226</v>
      </c>
      <c r="C67" s="228"/>
      <c r="M67" s="228">
        <v>1</v>
      </c>
      <c r="N67" s="228">
        <f>M67*$C$33</f>
        <v>0</v>
      </c>
      <c r="O67" s="228"/>
      <c r="P67" s="232">
        <f>N67</f>
        <v>0</v>
      </c>
      <c r="Q67" s="232"/>
      <c r="R67" s="233"/>
    </row>
    <row r="68" spans="2:19" ht="15" hidden="1" outlineLevel="2" x14ac:dyDescent="0.25">
      <c r="B68" t="s">
        <v>221</v>
      </c>
      <c r="P68" s="232">
        <v>14</v>
      </c>
      <c r="Q68" s="232"/>
      <c r="R68" s="233"/>
    </row>
    <row r="69" spans="2:19" ht="15" hidden="1" outlineLevel="2" x14ac:dyDescent="0.25">
      <c r="B69" t="s">
        <v>218</v>
      </c>
      <c r="O69" s="180"/>
      <c r="P69" s="232">
        <v>50</v>
      </c>
      <c r="Q69" s="232"/>
      <c r="R69" s="233"/>
    </row>
    <row r="70" spans="2:19" ht="15" hidden="1" outlineLevel="2" x14ac:dyDescent="0.25">
      <c r="B70" t="s">
        <v>227</v>
      </c>
      <c r="P70" s="232">
        <v>39</v>
      </c>
      <c r="Q70" s="232"/>
      <c r="R70" s="233"/>
    </row>
    <row r="71" spans="2:19" ht="15" hidden="1" outlineLevel="2" x14ac:dyDescent="0.25">
      <c r="B71" t="s">
        <v>228</v>
      </c>
      <c r="O71" s="180"/>
      <c r="P71" s="232">
        <v>14.95</v>
      </c>
      <c r="Q71" s="232"/>
      <c r="R71" s="233"/>
    </row>
    <row r="72" spans="2:19" ht="14.25" hidden="1" outlineLevel="2" x14ac:dyDescent="0.2">
      <c r="B72" s="194"/>
      <c r="P72" s="232"/>
      <c r="Q72" s="232"/>
      <c r="R72" s="233"/>
    </row>
    <row r="73" spans="2:19" ht="14.25" hidden="1" outlineLevel="2" x14ac:dyDescent="0.2">
      <c r="B73" s="194"/>
      <c r="P73" s="232"/>
      <c r="Q73" s="232"/>
      <c r="R73" s="233"/>
    </row>
    <row r="74" spans="2:19" ht="15.75" customHeight="1" x14ac:dyDescent="0.2">
      <c r="P74" s="232"/>
      <c r="Q74" s="232"/>
      <c r="R74" s="233"/>
    </row>
    <row r="75" spans="2:19" s="190" customFormat="1" ht="15.75" customHeight="1" collapsed="1" x14ac:dyDescent="0.25">
      <c r="B75" s="193" t="s">
        <v>206</v>
      </c>
      <c r="O75" s="195">
        <f>SUM(O76:O83)</f>
        <v>0</v>
      </c>
      <c r="P75" s="231">
        <v>232</v>
      </c>
      <c r="Q75" s="232">
        <f>P75*(1+$Q$32)</f>
        <v>278.39999999999998</v>
      </c>
      <c r="R75" s="233">
        <f>Q75*12</f>
        <v>3340.7999999999997</v>
      </c>
      <c r="S75" s="230" t="s">
        <v>231</v>
      </c>
    </row>
    <row r="76" spans="2:19" s="190" customFormat="1" ht="14.25" hidden="1" outlineLevel="1" x14ac:dyDescent="0.2">
      <c r="B76" s="194" t="s">
        <v>230</v>
      </c>
      <c r="P76" s="190">
        <v>154</v>
      </c>
    </row>
    <row r="77" spans="2:19" s="190" customFormat="1" ht="14.25" hidden="1" outlineLevel="1" x14ac:dyDescent="0.2">
      <c r="B77" s="229" t="s">
        <v>229</v>
      </c>
      <c r="P77" s="190">
        <v>36</v>
      </c>
    </row>
    <row r="78" spans="2:19" s="190" customFormat="1" ht="14.25" hidden="1" outlineLevel="1" x14ac:dyDescent="0.2">
      <c r="B78" s="194"/>
      <c r="P78" s="190">
        <f t="shared" ref="P78" si="5">O78</f>
        <v>0</v>
      </c>
    </row>
    <row r="79" spans="2:19" s="190" customFormat="1" ht="14.25" hidden="1" outlineLevel="1" x14ac:dyDescent="0.2">
      <c r="B79" s="194"/>
    </row>
    <row r="80" spans="2:19" s="190" customFormat="1" ht="12.75" hidden="1" outlineLevel="1" x14ac:dyDescent="0.2"/>
    <row r="81" spans="2:2" s="190" customFormat="1" ht="14.25" hidden="1" outlineLevel="1" x14ac:dyDescent="0.2">
      <c r="B81" s="194"/>
    </row>
    <row r="82" spans="2:2" s="190" customFormat="1" ht="14.25" hidden="1" outlineLevel="1" x14ac:dyDescent="0.2">
      <c r="B82" s="194"/>
    </row>
    <row r="83" spans="2:2" s="190" customFormat="1" ht="14.25" hidden="1" outlineLevel="1" x14ac:dyDescent="0.2">
      <c r="B83" s="194"/>
    </row>
    <row r="84" spans="2:2" s="190" customFormat="1" ht="15.75" customHeight="1" x14ac:dyDescent="0.2">
      <c r="B84" s="192"/>
    </row>
  </sheetData>
  <mergeCells count="10">
    <mergeCell ref="B17:F17"/>
    <mergeCell ref="O16:Q16"/>
    <mergeCell ref="B19:F19"/>
    <mergeCell ref="F8:G8"/>
    <mergeCell ref="B16:F16"/>
    <mergeCell ref="B12:F12"/>
    <mergeCell ref="B14:F14"/>
    <mergeCell ref="O14:Q14"/>
    <mergeCell ref="B15:F15"/>
    <mergeCell ref="O15:Q15"/>
  </mergeCells>
  <hyperlinks>
    <hyperlink ref="S75" r:id="rId1"/>
  </hyperlinks>
  <pageMargins left="0.7" right="0.7" top="0.75" bottom="0.75" header="0.3" footer="0.3"/>
  <pageSetup paperSize="9" orientation="portrait"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Taula LOT-SERV-APP</vt:lpstr>
      <vt:lpstr>Taula Estimació de dades</vt:lpstr>
      <vt:lpstr>Hoja2</vt:lpstr>
      <vt:lpstr>Infraestructura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Victor Milan</cp:lastModifiedBy>
  <dcterms:created xsi:type="dcterms:W3CDTF">2017-03-09T17:46:58Z</dcterms:created>
  <dcterms:modified xsi:type="dcterms:W3CDTF">2021-11-03T13:06:02Z</dcterms:modified>
</cp:coreProperties>
</file>