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M0181 Nou AM eArxiu\"/>
    </mc:Choice>
  </mc:AlternateContent>
  <bookViews>
    <workbookView xWindow="0" yWindow="0" windowWidth="19305" windowHeight="10905" tabRatio="589" activeTab="1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</sheets>
  <externalReferences>
    <externalReference r:id="rId8"/>
    <externalReference r:id="rId9"/>
  </externalReferences>
  <definedNames>
    <definedName name="_xlnm._FilterDatabase" localSheetId="0" hidden="1">'Càlcul pressupost '!$B$14:$AC$23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4" l="1"/>
  <c r="D5" i="4"/>
  <c r="D6" i="4"/>
  <c r="D7" i="4"/>
  <c r="D8" i="4"/>
  <c r="D9" i="4"/>
  <c r="D10" i="4"/>
  <c r="D11" i="4"/>
  <c r="D3" i="4"/>
  <c r="N57" i="14" l="1"/>
  <c r="N53" i="14"/>
  <c r="H50" i="11"/>
  <c r="C47" i="4" l="1"/>
  <c r="C45" i="4"/>
  <c r="C46" i="4"/>
  <c r="F43" i="4" l="1"/>
  <c r="E43" i="4"/>
  <c r="C43" i="4" l="1"/>
  <c r="G43" i="4"/>
  <c r="F32" i="11" l="1"/>
  <c r="E32" i="11"/>
  <c r="D32" i="11"/>
  <c r="F40" i="4" l="1"/>
  <c r="E40" i="4"/>
  <c r="G40" i="4" s="1"/>
  <c r="C40" i="4"/>
  <c r="F39" i="4"/>
  <c r="E39" i="4"/>
  <c r="G39" i="4" s="1"/>
  <c r="C39" i="4"/>
  <c r="F38" i="4"/>
  <c r="E38" i="4"/>
  <c r="G38" i="4" s="1"/>
  <c r="C38" i="4"/>
  <c r="F37" i="4"/>
  <c r="E37" i="4"/>
  <c r="G37" i="4" s="1"/>
  <c r="C37" i="4"/>
  <c r="F36" i="4"/>
  <c r="E36" i="4"/>
  <c r="G36" i="4" s="1"/>
  <c r="C36" i="4"/>
  <c r="F35" i="4"/>
  <c r="E35" i="4"/>
  <c r="G35" i="4" s="1"/>
  <c r="C35" i="4"/>
  <c r="F34" i="4"/>
  <c r="E34" i="4"/>
  <c r="G34" i="4" s="1"/>
  <c r="C34" i="4"/>
  <c r="F33" i="4"/>
  <c r="E33" i="4"/>
  <c r="G33" i="4" s="1"/>
  <c r="C33" i="4"/>
  <c r="I8" i="14"/>
  <c r="R53" i="14"/>
  <c r="F44" i="4"/>
  <c r="E44" i="4"/>
  <c r="F49" i="4"/>
  <c r="E49" i="4"/>
  <c r="F48" i="4"/>
  <c r="E48" i="4"/>
  <c r="F47" i="4"/>
  <c r="E47" i="4"/>
  <c r="F46" i="4"/>
  <c r="E46" i="4"/>
  <c r="F45" i="4"/>
  <c r="E45" i="4"/>
  <c r="C49" i="4"/>
  <c r="C48" i="4"/>
  <c r="F42" i="4"/>
  <c r="E42" i="4"/>
  <c r="C44" i="4"/>
  <c r="C42" i="4"/>
  <c r="F31" i="4"/>
  <c r="F30" i="4"/>
  <c r="F29" i="4"/>
  <c r="F28" i="4"/>
  <c r="F27" i="4"/>
  <c r="F26" i="4"/>
  <c r="F25" i="4"/>
  <c r="F24" i="4"/>
  <c r="F22" i="4"/>
  <c r="F21" i="4"/>
  <c r="F20" i="4"/>
  <c r="F19" i="4"/>
  <c r="F18" i="4"/>
  <c r="F17" i="4"/>
  <c r="F16" i="4"/>
  <c r="F15" i="4"/>
  <c r="E31" i="4"/>
  <c r="C31" i="4"/>
  <c r="E30" i="4"/>
  <c r="C30" i="4"/>
  <c r="E29" i="4"/>
  <c r="C29" i="4"/>
  <c r="E28" i="4"/>
  <c r="C28" i="4"/>
  <c r="E27" i="4"/>
  <c r="C27" i="4"/>
  <c r="E26" i="4"/>
  <c r="C26" i="4"/>
  <c r="E25" i="4"/>
  <c r="C25" i="4"/>
  <c r="E24" i="4"/>
  <c r="C24" i="4"/>
  <c r="E20" i="4"/>
  <c r="C18" i="4"/>
  <c r="E22" i="4"/>
  <c r="C22" i="4"/>
  <c r="C20" i="4"/>
  <c r="C19" i="4"/>
  <c r="E21" i="4"/>
  <c r="C21" i="4"/>
  <c r="C17" i="4"/>
  <c r="C16" i="4"/>
  <c r="C15" i="4"/>
  <c r="E19" i="4"/>
  <c r="E18" i="4"/>
  <c r="E17" i="4"/>
  <c r="E16" i="4"/>
  <c r="E15" i="4"/>
  <c r="K24" i="14" l="1"/>
  <c r="H24" i="14" l="1"/>
  <c r="S22" i="14"/>
  <c r="S21" i="14"/>
  <c r="S20" i="14"/>
  <c r="S19" i="14"/>
  <c r="S18" i="14"/>
  <c r="S17" i="14"/>
  <c r="S16" i="14"/>
  <c r="S15" i="14"/>
  <c r="H41" i="4" l="1"/>
  <c r="K8" i="11" l="1"/>
  <c r="L8" i="11" s="1"/>
  <c r="M8" i="11" s="1"/>
  <c r="H50" i="4"/>
  <c r="H32" i="4"/>
  <c r="H23" i="4"/>
  <c r="G49" i="4"/>
  <c r="G48" i="4"/>
  <c r="G47" i="4"/>
  <c r="G46" i="4"/>
  <c r="G45" i="4"/>
  <c r="G44" i="4"/>
  <c r="G42" i="4"/>
  <c r="G31" i="4"/>
  <c r="G30" i="4"/>
  <c r="G29" i="4"/>
  <c r="G28" i="4"/>
  <c r="G27" i="4"/>
  <c r="G26" i="4"/>
  <c r="G25" i="4"/>
  <c r="G24" i="4"/>
  <c r="G22" i="4"/>
  <c r="G21" i="4"/>
  <c r="G20" i="4"/>
  <c r="G19" i="4"/>
  <c r="G18" i="4"/>
  <c r="G17" i="4"/>
  <c r="G16" i="4"/>
  <c r="G15" i="4"/>
  <c r="G32" i="4" l="1"/>
  <c r="G23" i="4"/>
  <c r="G50" i="4"/>
  <c r="G41" i="4"/>
  <c r="J50" i="14" l="1"/>
  <c r="K50" i="14" s="1"/>
  <c r="J46" i="14"/>
  <c r="K46" i="14" s="1"/>
  <c r="J45" i="14"/>
  <c r="K45" i="14" s="1"/>
  <c r="J48" i="14"/>
  <c r="K48" i="14" s="1"/>
  <c r="J52" i="14"/>
  <c r="K52" i="14" s="1"/>
  <c r="J51" i="14"/>
  <c r="K51" i="14" s="1"/>
  <c r="J49" i="14"/>
  <c r="K49" i="14" s="1"/>
  <c r="J47" i="14"/>
  <c r="K47" i="14" s="1"/>
  <c r="P51" i="14"/>
  <c r="Q51" i="14" s="1"/>
  <c r="P48" i="14"/>
  <c r="Q48" i="14" s="1"/>
  <c r="P47" i="14"/>
  <c r="Q47" i="14" s="1"/>
  <c r="P52" i="14"/>
  <c r="Q52" i="14" s="1"/>
  <c r="P49" i="14"/>
  <c r="Q49" i="14" s="1"/>
  <c r="P50" i="14"/>
  <c r="Q50" i="14" s="1"/>
  <c r="P46" i="14"/>
  <c r="Q46" i="14" s="1"/>
  <c r="P45" i="14"/>
  <c r="Q45" i="14" s="1"/>
  <c r="G52" i="14"/>
  <c r="H52" i="14" s="1"/>
  <c r="G49" i="14"/>
  <c r="H49" i="14" s="1"/>
  <c r="G50" i="14"/>
  <c r="H50" i="14" s="1"/>
  <c r="G51" i="14"/>
  <c r="H51" i="14" s="1"/>
  <c r="G47" i="14"/>
  <c r="H47" i="14" s="1"/>
  <c r="G46" i="14"/>
  <c r="H46" i="14" s="1"/>
  <c r="G48" i="14"/>
  <c r="H48" i="14" s="1"/>
  <c r="G45" i="14"/>
  <c r="H45" i="14" s="1"/>
  <c r="M36" i="14"/>
  <c r="N36" i="14" s="1"/>
  <c r="M32" i="14"/>
  <c r="N32" i="14" s="1"/>
  <c r="M22" i="14"/>
  <c r="N22" i="14" s="1"/>
  <c r="M18" i="14"/>
  <c r="N18" i="14" s="1"/>
  <c r="M33" i="14"/>
  <c r="N33" i="14" s="1"/>
  <c r="M35" i="14"/>
  <c r="N35" i="14" s="1"/>
  <c r="M31" i="14"/>
  <c r="N31" i="14" s="1"/>
  <c r="M21" i="14"/>
  <c r="N21" i="14" s="1"/>
  <c r="M17" i="14"/>
  <c r="N17" i="14" s="1"/>
  <c r="M37" i="14"/>
  <c r="N37" i="14" s="1"/>
  <c r="M19" i="14"/>
  <c r="N19" i="14" s="1"/>
  <c r="M34" i="14"/>
  <c r="N34" i="14" s="1"/>
  <c r="M30" i="14"/>
  <c r="N30" i="14" s="1"/>
  <c r="M20" i="14"/>
  <c r="N20" i="14" s="1"/>
  <c r="M16" i="14"/>
  <c r="N16" i="14" s="1"/>
  <c r="M15" i="14"/>
  <c r="N15" i="14" s="1"/>
  <c r="P30" i="14"/>
  <c r="Q30" i="14" s="1"/>
  <c r="P15" i="14"/>
  <c r="Q15" i="14" s="1"/>
  <c r="P37" i="14"/>
  <c r="Q37" i="14" s="1"/>
  <c r="P22" i="14"/>
  <c r="Q22" i="14" s="1"/>
  <c r="P36" i="14"/>
  <c r="Q36" i="14" s="1"/>
  <c r="P21" i="14"/>
  <c r="Q21" i="14" s="1"/>
  <c r="P35" i="14"/>
  <c r="Q35" i="14" s="1"/>
  <c r="P20" i="14"/>
  <c r="Q20" i="14" s="1"/>
  <c r="P34" i="14"/>
  <c r="Q34" i="14" s="1"/>
  <c r="P19" i="14"/>
  <c r="Q19" i="14" s="1"/>
  <c r="P33" i="14"/>
  <c r="Q33" i="14" s="1"/>
  <c r="P18" i="14"/>
  <c r="Q18" i="14" s="1"/>
  <c r="P32" i="14"/>
  <c r="Q32" i="14" s="1"/>
  <c r="P17" i="14"/>
  <c r="Q17" i="14" s="1"/>
  <c r="P31" i="14"/>
  <c r="Q31" i="14" s="1"/>
  <c r="P16" i="14"/>
  <c r="Q16" i="14" s="1"/>
  <c r="G30" i="14"/>
  <c r="H30" i="14" s="1"/>
  <c r="G15" i="14"/>
  <c r="H15" i="14" s="1"/>
  <c r="G37" i="14"/>
  <c r="H37" i="14" s="1"/>
  <c r="G22" i="14"/>
  <c r="G36" i="14"/>
  <c r="H36" i="14" s="1"/>
  <c r="G21" i="14"/>
  <c r="H21" i="14" s="1"/>
  <c r="G35" i="14"/>
  <c r="H35" i="14" s="1"/>
  <c r="G20" i="14"/>
  <c r="H20" i="14" s="1"/>
  <c r="G34" i="14"/>
  <c r="H34" i="14" s="1"/>
  <c r="G19" i="14"/>
  <c r="H19" i="14" s="1"/>
  <c r="G33" i="14"/>
  <c r="H33" i="14" s="1"/>
  <c r="G18" i="14"/>
  <c r="H18" i="14" s="1"/>
  <c r="G32" i="14"/>
  <c r="H32" i="14" s="1"/>
  <c r="G17" i="14"/>
  <c r="H17" i="14" s="1"/>
  <c r="G31" i="14"/>
  <c r="H31" i="14" s="1"/>
  <c r="G16" i="14"/>
  <c r="H16" i="14" s="1"/>
  <c r="J30" i="14"/>
  <c r="K30" i="14" s="1"/>
  <c r="J15" i="14"/>
  <c r="K15" i="14" s="1"/>
  <c r="J37" i="14"/>
  <c r="K37" i="14" s="1"/>
  <c r="J22" i="14"/>
  <c r="K22" i="14" s="1"/>
  <c r="J36" i="14"/>
  <c r="K36" i="14" s="1"/>
  <c r="J21" i="14"/>
  <c r="K21" i="14" s="1"/>
  <c r="J35" i="14"/>
  <c r="K35" i="14" s="1"/>
  <c r="J20" i="14"/>
  <c r="K20" i="14" s="1"/>
  <c r="J34" i="14"/>
  <c r="K34" i="14" s="1"/>
  <c r="J19" i="14"/>
  <c r="K19" i="14" s="1"/>
  <c r="J33" i="14"/>
  <c r="K33" i="14" s="1"/>
  <c r="J18" i="14"/>
  <c r="K18" i="14" s="1"/>
  <c r="J32" i="14"/>
  <c r="K32" i="14" s="1"/>
  <c r="J17" i="14"/>
  <c r="K17" i="14" s="1"/>
  <c r="J31" i="14"/>
  <c r="K31" i="14" s="1"/>
  <c r="J16" i="14"/>
  <c r="K16" i="14" s="1"/>
  <c r="S49" i="14" l="1"/>
  <c r="S30" i="14"/>
  <c r="S52" i="14"/>
  <c r="S34" i="14"/>
  <c r="K23" i="14"/>
  <c r="S50" i="14"/>
  <c r="K53" i="14"/>
  <c r="I7" i="14" s="1"/>
  <c r="V15" i="14"/>
  <c r="V20" i="14"/>
  <c r="N23" i="14"/>
  <c r="F8" i="14" s="1"/>
  <c r="H53" i="14"/>
  <c r="I6" i="14" s="1"/>
  <c r="S45" i="14"/>
  <c r="Q53" i="14"/>
  <c r="I9" i="14" s="1"/>
  <c r="S48" i="14"/>
  <c r="S35" i="14"/>
  <c r="S32" i="14"/>
  <c r="S36" i="14"/>
  <c r="V17" i="14"/>
  <c r="V21" i="14"/>
  <c r="S46" i="14"/>
  <c r="S31" i="14"/>
  <c r="N38" i="14"/>
  <c r="S47" i="14"/>
  <c r="V19" i="14"/>
  <c r="V16" i="14"/>
  <c r="S33" i="14"/>
  <c r="H22" i="14"/>
  <c r="S37" i="14"/>
  <c r="V18" i="14"/>
  <c r="V22" i="14"/>
  <c r="S51" i="14"/>
  <c r="L23" i="14"/>
  <c r="L25" i="14" s="1"/>
  <c r="F53" i="14"/>
  <c r="F55" i="14" s="1"/>
  <c r="L38" i="14"/>
  <c r="L40" i="14" s="1"/>
  <c r="O53" i="14"/>
  <c r="O55" i="14" s="1"/>
  <c r="Q55" i="14"/>
  <c r="I53" i="14"/>
  <c r="I55" i="14" s="1"/>
  <c r="R23" i="14"/>
  <c r="R38" i="14"/>
  <c r="Q38" i="14"/>
  <c r="K38" i="14"/>
  <c r="H38" i="14"/>
  <c r="W22" i="14" l="1"/>
  <c r="B8" i="11"/>
  <c r="V23" i="14"/>
  <c r="G8" i="14"/>
  <c r="E8" i="11" s="1"/>
  <c r="H8" i="14"/>
  <c r="H8" i="11" s="1"/>
  <c r="S53" i="14"/>
  <c r="S55" i="14"/>
  <c r="H6" i="14"/>
  <c r="K6" i="11"/>
  <c r="G7" i="14"/>
  <c r="K7" i="11"/>
  <c r="K9" i="11"/>
  <c r="H9" i="14"/>
  <c r="G6" i="14"/>
  <c r="G9" i="14"/>
  <c r="H7" i="14"/>
  <c r="S38" i="14"/>
  <c r="I8" i="11" l="1"/>
  <c r="F30" i="11" s="1"/>
  <c r="E30" i="11"/>
  <c r="J8" i="14"/>
  <c r="K8" i="14" s="1"/>
  <c r="F8" i="11"/>
  <c r="F28" i="11" s="1"/>
  <c r="E28" i="11"/>
  <c r="G8" i="11"/>
  <c r="D28" i="11" s="1"/>
  <c r="E26" i="11"/>
  <c r="C8" i="11"/>
  <c r="D8" i="11" s="1"/>
  <c r="N8" i="11"/>
  <c r="L7" i="11"/>
  <c r="M7" i="11" s="1"/>
  <c r="E31" i="11"/>
  <c r="G10" i="14"/>
  <c r="H10" i="14"/>
  <c r="L6" i="11"/>
  <c r="I10" i="14"/>
  <c r="L9" i="11"/>
  <c r="T22" i="14"/>
  <c r="J8" i="11" l="1"/>
  <c r="D30" i="11" s="1"/>
  <c r="D26" i="11"/>
  <c r="P8" i="11"/>
  <c r="F26" i="11"/>
  <c r="O8" i="11"/>
  <c r="M6" i="11"/>
  <c r="F31" i="11"/>
  <c r="M9" i="11"/>
  <c r="D31" i="11" l="1"/>
  <c r="T21" i="14"/>
  <c r="T17" i="14" l="1"/>
  <c r="T18" i="14"/>
  <c r="T19" i="14"/>
  <c r="T20" i="14"/>
  <c r="I38" i="14" l="1"/>
  <c r="T16" i="14"/>
  <c r="T15" i="14"/>
  <c r="I40" i="14" l="1"/>
  <c r="C38" i="11"/>
  <c r="E38" i="11"/>
  <c r="I23" i="14" l="1"/>
  <c r="I25" i="14" s="1"/>
  <c r="F38" i="14" l="1"/>
  <c r="F40" i="14" s="1"/>
  <c r="O38" i="14" l="1"/>
  <c r="O40" i="14" s="1"/>
  <c r="S40" i="14" s="1"/>
  <c r="E9" i="11"/>
  <c r="F9" i="11" s="1"/>
  <c r="G9" i="11" s="1"/>
  <c r="E7" i="11"/>
  <c r="F7" i="11" l="1"/>
  <c r="G7" i="11" l="1"/>
  <c r="H7" i="11"/>
  <c r="I18" i="2"/>
  <c r="M18" i="2"/>
  <c r="E18" i="2"/>
  <c r="G18" i="2" s="1"/>
  <c r="I7" i="11" l="1"/>
  <c r="H9" i="11"/>
  <c r="F6" i="2"/>
  <c r="J7" i="11" l="1"/>
  <c r="I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9" i="11" l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F7" i="14" l="1"/>
  <c r="J7" i="14" s="1"/>
  <c r="K7" i="14" s="1"/>
  <c r="E6" i="11"/>
  <c r="E27" i="11" s="1"/>
  <c r="E10" i="11" l="1"/>
  <c r="B17" i="11" s="1"/>
  <c r="K10" i="11"/>
  <c r="B19" i="11" s="1"/>
  <c r="L10" i="11"/>
  <c r="C19" i="11" s="1"/>
  <c r="B7" i="11"/>
  <c r="H6" i="11"/>
  <c r="F6" i="11"/>
  <c r="F10" i="11" l="1"/>
  <c r="C17" i="11" s="1"/>
  <c r="F27" i="11"/>
  <c r="H10" i="11"/>
  <c r="B18" i="11" s="1"/>
  <c r="B46" i="11" s="1"/>
  <c r="E29" i="11"/>
  <c r="B45" i="11"/>
  <c r="H45" i="11" s="1"/>
  <c r="B47" i="11"/>
  <c r="M10" i="11"/>
  <c r="D19" i="11" s="1"/>
  <c r="C7" i="11"/>
  <c r="O7" i="11" s="1"/>
  <c r="N7" i="11"/>
  <c r="G6" i="11"/>
  <c r="I6" i="11"/>
  <c r="C47" i="11" l="1"/>
  <c r="C49" i="11"/>
  <c r="H49" i="11" s="1"/>
  <c r="I10" i="11"/>
  <c r="C18" i="11" s="1"/>
  <c r="F29" i="11"/>
  <c r="G10" i="11"/>
  <c r="D17" i="11" s="1"/>
  <c r="D27" i="11"/>
  <c r="D7" i="11"/>
  <c r="P7" i="11" s="1"/>
  <c r="J6" i="11"/>
  <c r="D29" i="11" s="1"/>
  <c r="H46" i="11"/>
  <c r="C48" i="11"/>
  <c r="E49" i="11" l="1"/>
  <c r="E50" i="11"/>
  <c r="G50" i="11" s="1"/>
  <c r="C51" i="11"/>
  <c r="J10" i="11"/>
  <c r="D18" i="11" s="1"/>
  <c r="H47" i="11"/>
  <c r="H48" i="11"/>
  <c r="E51" i="11" l="1"/>
  <c r="F23" i="14"/>
  <c r="F25" i="14" s="1"/>
  <c r="H23" i="14"/>
  <c r="F6" i="14" s="1"/>
  <c r="B6" i="11" s="1"/>
  <c r="C6" i="11" l="1"/>
  <c r="N6" i="11"/>
  <c r="J6" i="14"/>
  <c r="D6" i="11" l="1"/>
  <c r="O6" i="11"/>
  <c r="K6" i="14"/>
  <c r="P6" i="11" l="1"/>
  <c r="Q25" i="14"/>
  <c r="W18" i="14"/>
  <c r="W21" i="14"/>
  <c r="W20" i="14"/>
  <c r="W16" i="14"/>
  <c r="W17" i="14"/>
  <c r="W15" i="14"/>
  <c r="W19" i="14"/>
  <c r="Q23" i="14"/>
  <c r="F9" i="14" s="1"/>
  <c r="J9" i="14" s="1"/>
  <c r="O23" i="14"/>
  <c r="O25" i="14" s="1"/>
  <c r="S25" i="14" s="1"/>
  <c r="F10" i="14" l="1"/>
  <c r="B9" i="11"/>
  <c r="C9" i="11" s="1"/>
  <c r="F25" i="11" s="1"/>
  <c r="F33" i="11" s="1"/>
  <c r="W23" i="14"/>
  <c r="J10" i="14"/>
  <c r="K9" i="14"/>
  <c r="K10" i="14" s="1"/>
  <c r="E25" i="11" l="1"/>
  <c r="E33" i="11" s="1"/>
  <c r="B10" i="11"/>
  <c r="B16" i="11" s="1"/>
  <c r="B44" i="11" s="1"/>
  <c r="O9" i="11"/>
  <c r="O10" i="11" s="1"/>
  <c r="C10" i="11"/>
  <c r="C16" i="11" s="1"/>
  <c r="C20" i="11" s="1"/>
  <c r="N9" i="11"/>
  <c r="N10" i="11" s="1"/>
  <c r="D9" i="11"/>
  <c r="D10" i="11" s="1"/>
  <c r="P9" i="11"/>
  <c r="P10" i="11" s="1"/>
  <c r="D25" i="11" l="1"/>
  <c r="D33" i="11" s="1"/>
  <c r="B20" i="11"/>
  <c r="D16" i="11"/>
  <c r="D20" i="11" s="1"/>
  <c r="B37" i="11" s="1"/>
  <c r="F37" i="11" s="1"/>
  <c r="F38" i="11" s="1"/>
  <c r="F39" i="11" s="1"/>
  <c r="C5" i="17"/>
  <c r="D21" i="11"/>
  <c r="B51" i="11"/>
  <c r="H44" i="11"/>
  <c r="B38" i="11" l="1"/>
  <c r="D37" i="11"/>
  <c r="D38" i="11" s="1"/>
  <c r="D39" i="11" s="1"/>
  <c r="H51" i="11"/>
  <c r="F44" i="11" s="1"/>
  <c r="D5" i="17"/>
  <c r="E5" i="17" s="1"/>
  <c r="D44" i="11" l="1"/>
  <c r="F5" i="17"/>
  <c r="D13" i="17" s="1"/>
  <c r="D14" i="17"/>
  <c r="G44" i="11"/>
  <c r="F47" i="11"/>
  <c r="D45" i="11"/>
  <c r="G45" i="11" s="1"/>
  <c r="D47" i="11"/>
  <c r="G47" i="11" s="1"/>
  <c r="F46" i="11"/>
  <c r="F45" i="11"/>
  <c r="F49" i="11"/>
  <c r="D46" i="11"/>
  <c r="G46" i="11" s="1"/>
  <c r="F48" i="11"/>
  <c r="D48" i="11"/>
  <c r="G48" i="11" s="1"/>
  <c r="D49" i="11"/>
  <c r="G49" i="11" s="1"/>
  <c r="G5" i="17" l="1"/>
  <c r="D15" i="17" s="1"/>
  <c r="F51" i="11"/>
  <c r="D51" i="11"/>
  <c r="G51" i="11"/>
  <c r="A57" i="11" s="1"/>
  <c r="H5" i="17"/>
  <c r="I5" i="17" l="1"/>
  <c r="D9" i="17" s="1"/>
  <c r="K5" i="17"/>
  <c r="D10" i="17" s="1"/>
  <c r="D17" i="17" s="1"/>
  <c r="C59" i="11"/>
  <c r="D59" i="11"/>
  <c r="J5" i="17" l="1"/>
  <c r="D8" i="17" s="1"/>
  <c r="E59" i="11"/>
  <c r="B59" i="11"/>
</calcChain>
</file>

<file path=xl/sharedStrings.xml><?xml version="1.0" encoding="utf-8"?>
<sst xmlns="http://schemas.openxmlformats.org/spreadsheetml/2006/main" count="801" uniqueCount="264">
  <si>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</si>
  <si>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</si>
  <si>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</si>
  <si>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</si>
  <si>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</si>
  <si>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</si>
  <si>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</si>
  <si>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</si>
  <si>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</si>
  <si>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</si>
  <si>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</si>
  <si>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</si>
  <si>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</si>
  <si>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</si>
  <si>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</si>
  <si>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</si>
  <si>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</si>
  <si>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</si>
  <si>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</si>
  <si>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</si>
  <si>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</si>
  <si>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</si>
  <si>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</si>
  <si>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</si>
  <si>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</si>
  <si>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</si>
  <si>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</si>
  <si>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</si>
  <si>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</si>
  <si>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</si>
  <si>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</si>
  <si>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</si>
  <si>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</si>
  <si>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</si>
  <si>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</si>
  <si>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</si>
  <si>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</si>
  <si>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</si>
  <si>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</si>
  <si>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</si>
  <si>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</si>
  <si>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</si>
  <si>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</si>
  <si>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</si>
  <si>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</si>
  <si>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</si>
  <si>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</si>
  <si>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</si>
  <si>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</si>
  <si>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</si>
  <si>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</si>
  <si>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</si>
  <si>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</si>
  <si>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</si>
  <si>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</si>
  <si>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</si>
  <si>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</si>
  <si>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</si>
  <si>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</si>
  <si>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</si>
  <si>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</si>
  <si>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</si>
  <si>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</si>
  <si>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</si>
  <si>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</si>
  <si>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</si>
  <si>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</si>
  <si>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</si>
  <si>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</si>
  <si>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</si>
  <si>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</si>
  <si>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</si>
  <si>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</si>
  <si>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</si>
  <si>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</si>
  <si>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</si>
  <si>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</si>
  <si>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</si>
  <si>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</si>
  <si>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</si>
  <si>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</si>
  <si>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</si>
  <si>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</si>
  <si>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</si>
  <si>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</si>
  <si>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</si>
  <si>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</si>
  <si>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</si>
  <si>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</si>
  <si>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</si>
  <si>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</si>
  <si>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</si>
  <si>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</si>
  <si>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</si>
  <si>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</si>
  <si>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</si>
  <si>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</si>
  <si>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</si>
  <si>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</si>
  <si>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</si>
  <si>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</si>
  <si>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</si>
  <si>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</si>
  <si>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</si>
  <si>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</si>
  <si>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</si>
  <si>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</si>
  <si>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</si>
  <si>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</si>
  <si>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</si>
  <si>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</si>
  <si>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</si>
  <si>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</si>
  <si>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</si>
  <si>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</si>
  <si>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</si>
  <si>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</si>
  <si>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</si>
  <si>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</si>
  <si>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</si>
  <si>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</si>
  <si>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</si>
  <si>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</si>
  <si>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</si>
  <si>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</si>
  <si>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</si>
  <si>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</si>
  <si>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</si>
  <si>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</si>
  <si>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</si>
  <si>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</si>
  <si>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</si>
  <si>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</si>
  <si>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</si>
  <si>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</si>
  <si>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</si>
  <si>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</si>
  <si>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</si>
  <si>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</si>
  <si>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</si>
  <si>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</si>
  <si>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</si>
  <si>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</si>
  <si>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</si>
  <si>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</si>
  <si>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</si>
  <si>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</si>
  <si>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</si>
  <si>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</si>
  <si>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</si>
  <si>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</si>
  <si>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</si>
  <si>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</si>
  <si>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</si>
  <si>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</si>
  <si>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</si>
  <si>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</si>
  <si>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</si>
  <si>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</si>
  <si>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</si>
  <si>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</si>
  <si>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</si>
  <si>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</si>
  <si>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</si>
  <si>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</si>
  <si>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</si>
  <si>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</si>
  <si>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</si>
  <si>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</si>
  <si>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</si>
  <si>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</si>
  <si>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</si>
  <si>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</si>
  <si>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</si>
  <si>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</si>
  <si>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</si>
  <si>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</si>
  <si>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2022</t>
  </si>
  <si>
    <t>Import 2023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</si>
  <si>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</si>
  <si>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</si>
  <si>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</si>
  <si>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</si>
  <si>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</si>
  <si>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</si>
  <si>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</si>
  <si>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</si>
  <si>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</si>
  <si>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€ Llicències</t>
  </si>
  <si>
    <t>Preu perfil IVA inclòs</t>
  </si>
  <si>
    <t>Preu perfil IVA exclòs</t>
  </si>
  <si>
    <t>Import Total IVA exclòs</t>
  </si>
  <si>
    <t>Import Total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</si>
  <si>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</si>
  <si>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</si>
  <si>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</si>
  <si>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</si>
  <si>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SER9999</t>
  </si>
  <si>
    <t>Genèric</t>
  </si>
  <si>
    <t>APP9999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</si>
  <si>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</si>
  <si>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</si>
  <si>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</si>
  <si>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</si>
  <si>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</si>
  <si>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Mesos transició</t>
  </si>
  <si>
    <t>Mesos</t>
  </si>
  <si>
    <t>Analista programador/a SAP</t>
  </si>
  <si>
    <t>Benefici industrial (20%)</t>
  </si>
  <si>
    <t>Despeses generals d’estructura (8%)</t>
  </si>
  <si>
    <t>AM eArxiu (3+2)</t>
  </si>
  <si>
    <t>SER0372</t>
  </si>
  <si>
    <t>eArxiu i Gestió Documental</t>
  </si>
  <si>
    <t>APP0228</t>
  </si>
  <si>
    <t xml:space="preserve">eArxiu Gestió arxius electrònics  </t>
  </si>
  <si>
    <t>APP0718</t>
  </si>
  <si>
    <t>Catàleg de Documents</t>
  </si>
  <si>
    <t xml:space="preserve">eArxiu  Gestió arxius físics  </t>
  </si>
  <si>
    <t>Mòdul de digitalització segura</t>
  </si>
  <si>
    <t>Aplicació pública de recerca OPAC</t>
  </si>
  <si>
    <t>Preu / hora /perfil</t>
  </si>
  <si>
    <t>Serveis d’evolutius recurrents</t>
  </si>
  <si>
    <t>PT  Evolutius recurrents</t>
  </si>
  <si>
    <t>€ Evolutius recurrents</t>
  </si>
  <si>
    <t>Import 2025</t>
  </si>
  <si>
    <t>Arquitecte OPENTEXT / Responsable tècnic/a de seguretat</t>
  </si>
  <si>
    <t>Analista programador/a J2EE</t>
  </si>
  <si>
    <t>Consultor/a sènior OPENTEXT</t>
  </si>
  <si>
    <t>Programador/a J2EE</t>
  </si>
  <si>
    <t>APP1140</t>
  </si>
  <si>
    <t>Framework OpenText eArxiu</t>
  </si>
  <si>
    <t>APP1164</t>
  </si>
  <si>
    <t>eOficines i Configuració CS OpenText</t>
  </si>
  <si>
    <t>APP1138</t>
  </si>
  <si>
    <t>APP1038</t>
  </si>
  <si>
    <t>APP0979</t>
  </si>
  <si>
    <t>Gestor/a de servei/Cap de projecte</t>
  </si>
  <si>
    <t>Consultor/a SAP</t>
  </si>
  <si>
    <t xml:space="preserve"> </t>
  </si>
  <si>
    <t>Consultor/a OPENTEXT</t>
  </si>
  <si>
    <t>ANYS 2023-2024</t>
  </si>
  <si>
    <t xml:space="preserve">TOTAL </t>
  </si>
  <si>
    <t>Període</t>
  </si>
  <si>
    <t>Capítol</t>
  </si>
  <si>
    <t>II</t>
  </si>
  <si>
    <t>de l'1-1 al 31-12</t>
  </si>
  <si>
    <t>VI</t>
  </si>
  <si>
    <t>  </t>
  </si>
  <si>
    <t>Arquitecte J2EE</t>
  </si>
  <si>
    <t>ANY 2022 2 mesos de transició + 2 mesos de servei</t>
  </si>
  <si>
    <t>36 mesos</t>
  </si>
  <si>
    <t>2 transició</t>
  </si>
  <si>
    <t>34 servei</t>
  </si>
  <si>
    <t>ANY 2025 8 mesos de servei</t>
  </si>
  <si>
    <t>de l'1-11 al 31-12</t>
  </si>
  <si>
    <t>de l'1-9 al 31-12</t>
  </si>
  <si>
    <t>de l'1-1 al 31-8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</si>
  <si>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</si>
  <si>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VE possible pròrroga excepcional ex art. 29.4 LCSP</t>
  </si>
  <si>
    <t>Data inici possible pròrroga</t>
  </si>
  <si>
    <t>Data màxima fi pròrroga</t>
  </si>
  <si>
    <t>9 mesos pròrroga excepcional (01/09/2027-27/31/05/2028)</t>
  </si>
  <si>
    <t>Ev.Recurrents 8 mesos amb IVA</t>
  </si>
  <si>
    <t>Ev.Recurrents 8 mesos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</si>
</sst>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#,##0.00000000"/>
    <numFmt numFmtId="172" formatCode="_-* #,##0\ _€_-;\-* #,##0\ _€_-;_-* &quot;-&quot;??\ _€_-;_-@_-"/>
    <numFmt numFmtId="173" formatCode="#,##0.000"/>
    <numFmt numFmtId="174" formatCode="#,##0.00000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0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286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13" borderId="0" xfId="0" applyFont="1" applyFill="1"/>
    <xf numFmtId="0" fontId="0" fillId="0" borderId="2" xfId="0" applyBorder="1" applyAlignment="1">
      <alignment horizontal="left"/>
    </xf>
    <xf numFmtId="4" fontId="1" fillId="17" borderId="2" xfId="0" applyNumberFormat="1" applyFont="1" applyFill="1" applyBorder="1" applyAlignment="1">
      <alignment horizontal="center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5" fillId="17" borderId="0" xfId="0" applyFont="1" applyFill="1" applyAlignment="1">
      <alignment horizontal="left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171" fontId="29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4" fontId="29" fillId="0" borderId="2" xfId="0" applyNumberFormat="1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 applyAlignment="1" applyProtection="1">
      <alignment wrapText="1"/>
      <protection locked="0"/>
    </xf>
    <xf numFmtId="0" fontId="9" fillId="17" borderId="0" xfId="0" applyFont="1" applyFill="1" applyProtection="1">
      <protection locked="0"/>
    </xf>
    <xf numFmtId="4" fontId="1" fillId="0" borderId="2" xfId="0" applyNumberFormat="1" applyFont="1" applyFill="1" applyBorder="1" applyAlignment="1">
      <alignment horizontal="center"/>
    </xf>
    <xf numFmtId="9" fontId="0" fillId="0" borderId="0" xfId="2" applyFont="1"/>
    <xf numFmtId="3" fontId="3" fillId="0" borderId="2" xfId="0" applyNumberFormat="1" applyFont="1" applyBorder="1" applyAlignment="1">
      <alignment horizontal="center" vertical="center"/>
    </xf>
    <xf numFmtId="0" fontId="0" fillId="0" borderId="2" xfId="0" applyFont="1" applyBorder="1" applyProtection="1">
      <protection locked="0"/>
    </xf>
    <xf numFmtId="0" fontId="0" fillId="0" borderId="7" xfId="0" applyFill="1" applyBorder="1"/>
    <xf numFmtId="0" fontId="0" fillId="0" borderId="7" xfId="0" applyBorder="1"/>
    <xf numFmtId="2" fontId="0" fillId="0" borderId="7" xfId="0" applyNumberFormat="1" applyFill="1" applyBorder="1"/>
    <xf numFmtId="4" fontId="0" fillId="0" borderId="7" xfId="0" applyNumberFormat="1" applyBorder="1"/>
    <xf numFmtId="0" fontId="0" fillId="0" borderId="0" xfId="0" applyFont="1" applyAlignment="1">
      <alignment horizontal="center" wrapText="1"/>
    </xf>
    <xf numFmtId="14" fontId="9" fillId="0" borderId="0" xfId="0" applyNumberFormat="1" applyFont="1" applyAlignment="1">
      <alignment horizontal="center"/>
    </xf>
    <xf numFmtId="172" fontId="9" fillId="0" borderId="0" xfId="10" applyNumberFormat="1" applyFont="1" applyAlignment="1">
      <alignment horizontal="center"/>
    </xf>
    <xf numFmtId="164" fontId="29" fillId="0" borderId="2" xfId="1" applyNumberFormat="1" applyFont="1" applyFill="1" applyBorder="1" applyAlignment="1">
      <alignment horizontal="center" vertical="center"/>
    </xf>
    <xf numFmtId="173" fontId="29" fillId="0" borderId="0" xfId="0" applyNumberFormat="1" applyFont="1" applyBorder="1" applyAlignment="1">
      <alignment horizontal="center" vertical="center"/>
    </xf>
    <xf numFmtId="173" fontId="11" fillId="11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Border="1" applyAlignment="1">
      <alignment horizontal="right" vertical="center"/>
    </xf>
    <xf numFmtId="0" fontId="0" fillId="0" borderId="0" xfId="0" applyFont="1"/>
    <xf numFmtId="174" fontId="29" fillId="0" borderId="0" xfId="0" applyNumberFormat="1" applyFont="1" applyFill="1" applyBorder="1" applyAlignment="1">
      <alignment horizontal="center" vertical="center"/>
    </xf>
    <xf numFmtId="174" fontId="29" fillId="0" borderId="0" xfId="0" applyNumberFormat="1" applyFont="1" applyBorder="1" applyAlignment="1">
      <alignment horizontal="center" vertical="center"/>
    </xf>
    <xf numFmtId="0" fontId="0" fillId="0" borderId="2" xfId="0" applyBorder="1" applyAlignment="1"/>
    <xf numFmtId="44" fontId="14" fillId="11" borderId="2" xfId="0" applyNumberFormat="1" applyFont="1" applyFill="1" applyBorder="1" applyAlignment="1">
      <alignment horizontal="center" vertical="center"/>
    </xf>
    <xf numFmtId="10" fontId="15" fillId="0" borderId="0" xfId="0" applyNumberFormat="1" applyFont="1"/>
    <xf numFmtId="164" fontId="15" fillId="0" borderId="0" xfId="0" applyNumberFormat="1" applyFont="1"/>
    <xf numFmtId="0" fontId="20" fillId="20" borderId="10" xfId="0" applyFont="1" applyFill="1" applyBorder="1" applyAlignment="1">
      <alignment horizontal="center" vertical="center" wrapText="1"/>
    </xf>
    <xf numFmtId="0" fontId="20" fillId="20" borderId="17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8" fontId="22" fillId="0" borderId="18" xfId="0" applyNumberFormat="1" applyFont="1" applyBorder="1" applyAlignment="1">
      <alignment horizontal="right" vertical="center"/>
    </xf>
    <xf numFmtId="8" fontId="22" fillId="0" borderId="16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6" xfId="0" applyNumberFormat="1" applyFont="1" applyBorder="1" applyAlignment="1">
      <alignment horizontal="right" vertical="center" wrapText="1"/>
    </xf>
    <xf numFmtId="4" fontId="1" fillId="0" borderId="0" xfId="0" applyNumberFormat="1" applyFont="1" applyAlignment="1">
      <alignment horizontal="left"/>
    </xf>
    <xf numFmtId="0" fontId="0" fillId="0" borderId="2" xfId="0" applyBorder="1" applyAlignment="1">
      <alignment horizontal="center"/>
    </xf>
    <xf numFmtId="0" fontId="1" fillId="0" borderId="0" xfId="0" applyFont="1" applyAlignment="1" applyProtection="1">
      <alignment horizontal="right"/>
      <protection locked="0"/>
    </xf>
    <xf numFmtId="9" fontId="9" fillId="0" borderId="0" xfId="2" applyFont="1"/>
    <xf numFmtId="14" fontId="29" fillId="21" borderId="0" xfId="0" applyNumberFormat="1" applyFont="1" applyFill="1" applyAlignment="1">
      <alignment wrapText="1"/>
    </xf>
    <xf numFmtId="14" fontId="29" fillId="21" borderId="0" xfId="0" applyNumberFormat="1" applyFont="1" applyFill="1"/>
    <xf numFmtId="0" fontId="1" fillId="17" borderId="0" xfId="0" applyFont="1" applyFill="1" applyAlignment="1" applyProtection="1">
      <alignment horizontal="right"/>
      <protection locked="0"/>
    </xf>
    <xf numFmtId="10" fontId="2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44" fontId="15" fillId="17" borderId="2" xfId="0" applyNumberFormat="1" applyFont="1" applyFill="1" applyBorder="1" applyAlignment="1">
      <alignment horizontal="center" vertical="center"/>
    </xf>
    <xf numFmtId="44" fontId="41" fillId="11" borderId="2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44" fontId="21" fillId="0" borderId="2" xfId="0" applyNumberFormat="1" applyFont="1" applyFill="1" applyBorder="1" applyAlignment="1">
      <alignment horizontal="right" vertical="center"/>
    </xf>
    <xf numFmtId="0" fontId="1" fillId="11" borderId="7" xfId="0" applyFont="1" applyFill="1" applyBorder="1" applyAlignment="1">
      <alignment horizontal="left"/>
    </xf>
    <xf numFmtId="0" fontId="7" fillId="18" borderId="24" xfId="0" applyFont="1" applyFill="1" applyBorder="1" applyAlignment="1">
      <alignment horizontal="center" vertical="center" wrapText="1"/>
    </xf>
    <xf numFmtId="0" fontId="7" fillId="18" borderId="25" xfId="0" applyFont="1" applyFill="1" applyBorder="1" applyAlignment="1">
      <alignment horizontal="center" vertical="center" wrapText="1"/>
    </xf>
    <xf numFmtId="0" fontId="7" fillId="18" borderId="26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39" fillId="14" borderId="23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1">
    <cellStyle name="Coma 2" xfId="5"/>
    <cellStyle name="Millares" xfId="10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188119</xdr:rowOff>
        </xdr:from>
        <xdr:to>
          <xdr:col>2</xdr:col>
          <xdr:colOff>147637</xdr:colOff>
          <xdr:row>28</xdr:row>
          <xdr:rowOff>166687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188119</xdr:rowOff>
        </xdr:from>
        <xdr:to>
          <xdr:col>2</xdr:col>
          <xdr:colOff>147637</xdr:colOff>
          <xdr:row>28</xdr:row>
          <xdr:rowOff>166687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188119</xdr:rowOff>
        </xdr:from>
        <xdr:to>
          <xdr:col>2</xdr:col>
          <xdr:colOff>147637</xdr:colOff>
          <xdr:row>28</xdr:row>
          <xdr:rowOff>166687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188119</xdr:rowOff>
        </xdr:from>
        <xdr:to>
          <xdr:col>2</xdr:col>
          <xdr:colOff>147637</xdr:colOff>
          <xdr:row>28</xdr:row>
          <xdr:rowOff>166687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188119</xdr:rowOff>
        </xdr:from>
        <xdr:to>
          <xdr:col>2</xdr:col>
          <xdr:colOff>147637</xdr:colOff>
          <xdr:row>28</xdr:row>
          <xdr:rowOff>166687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C61"/>
  <sheetViews>
    <sheetView zoomScale="80" zoomScaleNormal="80" workbookViewId="0"/>
  </sheetViews>
  <sheetFormatPr baseColWidth="10" defaultColWidth="11.42578125" defaultRowHeight="15" x14ac:dyDescent="0.25"/>
  <cols>
    <col min="1" max="1" width="17.85546875" style="209" customWidth="1"/>
    <col min="2" max="2" width="11.85546875" style="58" customWidth="1"/>
    <col min="3" max="3" width="5.85546875" style="57" customWidth="1"/>
    <col min="4" max="4" width="8.28515625" style="58" customWidth="1"/>
    <col min="5" max="5" width="33.140625" style="215" customWidth="1"/>
    <col min="6" max="6" width="13.28515625" style="57" customWidth="1"/>
    <col min="7" max="7" width="12.28515625" style="57" customWidth="1"/>
    <col min="8" max="8" width="13.140625" style="59" customWidth="1"/>
    <col min="9" max="9" width="13.28515625" style="59" customWidth="1"/>
    <col min="10" max="10" width="14" style="59" customWidth="1"/>
    <col min="11" max="11" width="13.85546875" style="59" customWidth="1"/>
    <col min="12" max="12" width="12.5703125" style="59" customWidth="1"/>
    <col min="13" max="13" width="7.42578125" style="59" customWidth="1"/>
    <col min="14" max="14" width="12.140625" style="59" customWidth="1"/>
    <col min="15" max="15" width="14.42578125" style="59" customWidth="1"/>
    <col min="16" max="16" width="6.85546875" style="59" customWidth="1"/>
    <col min="17" max="17" width="12.42578125" style="59" customWidth="1"/>
    <col min="18" max="18" width="7.28515625" style="59" customWidth="1"/>
    <col min="19" max="19" width="14.7109375" style="59" customWidth="1"/>
    <col min="20" max="20" width="9.5703125" style="59" customWidth="1"/>
    <col min="21" max="21" width="8.85546875" style="209" customWidth="1"/>
    <col min="22" max="22" width="11.42578125" style="59" customWidth="1"/>
    <col min="23" max="23" width="20.140625" style="59" bestFit="1" customWidth="1"/>
    <col min="24" max="25" width="17.85546875" style="60" bestFit="1" customWidth="1"/>
    <col min="26" max="26" width="14.42578125" style="99" customWidth="1"/>
    <col min="27" max="27" width="11.5703125" style="60" bestFit="1" customWidth="1"/>
    <col min="28" max="28" width="18.28515625" style="60" bestFit="1" customWidth="1"/>
    <col min="29" max="29" width="17.28515625" style="60" customWidth="1"/>
    <col min="30" max="30" width="14" style="59" customWidth="1"/>
    <col min="31" max="32" width="11.42578125" style="59"/>
    <col min="33" max="33" width="12.7109375" style="59" bestFit="1" customWidth="1"/>
    <col min="34" max="16384" width="11.42578125" style="59"/>
  </cols>
  <sheetData>
    <row r="1" spans="1:29" ht="31.5" customHeight="1" x14ac:dyDescent="0.25">
      <c r="A1" s="64" t="s">
        <v>210</v>
      </c>
      <c r="B1" s="105"/>
      <c r="C1" s="177"/>
      <c r="D1" s="64"/>
      <c r="E1" s="212"/>
      <c r="F1" s="63" t="s">
        <v>250</v>
      </c>
      <c r="G1" s="59"/>
      <c r="J1" s="236"/>
      <c r="T1" s="209"/>
      <c r="U1" s="59"/>
      <c r="V1" s="221"/>
      <c r="X1" s="59"/>
      <c r="Z1" s="59"/>
      <c r="AA1" s="59"/>
      <c r="AB1" s="59"/>
      <c r="AC1" s="59"/>
    </row>
    <row r="2" spans="1:29" ht="16.5" customHeight="1" x14ac:dyDescent="0.25">
      <c r="A2" s="208" t="s">
        <v>115</v>
      </c>
      <c r="B2" s="264">
        <v>44805</v>
      </c>
      <c r="C2" s="265"/>
      <c r="D2" s="108"/>
      <c r="E2" s="213"/>
      <c r="F2" s="268" t="s">
        <v>251</v>
      </c>
      <c r="G2" s="71"/>
      <c r="I2" s="237"/>
      <c r="S2" s="99"/>
      <c r="T2" s="221"/>
      <c r="U2" s="59"/>
      <c r="V2" s="221"/>
      <c r="X2" s="59"/>
      <c r="Y2" s="59"/>
      <c r="Z2" s="59"/>
      <c r="AA2" s="59"/>
      <c r="AB2" s="59"/>
      <c r="AC2" s="59"/>
    </row>
    <row r="3" spans="1:29" ht="18" customHeight="1" x14ac:dyDescent="0.25">
      <c r="A3" s="39" t="s">
        <v>137</v>
      </c>
      <c r="B3" s="264">
        <v>44866</v>
      </c>
      <c r="C3" s="265"/>
      <c r="D3" s="108"/>
      <c r="E3" s="213"/>
      <c r="F3" s="268" t="s">
        <v>252</v>
      </c>
      <c r="G3" s="71"/>
      <c r="I3" s="237"/>
      <c r="S3" s="99"/>
      <c r="T3" s="221"/>
      <c r="U3" s="59"/>
      <c r="V3" s="221"/>
      <c r="X3" s="59"/>
      <c r="Y3" s="59"/>
      <c r="Z3" s="59"/>
      <c r="AA3" s="59"/>
      <c r="AB3" s="59"/>
      <c r="AC3" s="59"/>
    </row>
    <row r="4" spans="1:29" ht="21.75" customHeight="1" x14ac:dyDescent="0.25">
      <c r="A4" s="208" t="s">
        <v>173</v>
      </c>
      <c r="B4" s="264">
        <v>45900</v>
      </c>
      <c r="C4" s="265"/>
      <c r="D4" s="107"/>
      <c r="E4" s="214"/>
      <c r="F4" s="180" t="s">
        <v>261</v>
      </c>
      <c r="G4" s="59"/>
      <c r="I4" s="238"/>
      <c r="S4" s="99"/>
      <c r="T4" s="221"/>
      <c r="U4" s="60"/>
      <c r="V4" s="221"/>
      <c r="X4" s="59"/>
      <c r="Y4" s="59"/>
      <c r="Z4" s="59"/>
      <c r="AA4" s="59"/>
      <c r="AB4" s="59"/>
      <c r="AC4" s="59"/>
    </row>
    <row r="5" spans="1:29" ht="30" x14ac:dyDescent="0.25">
      <c r="A5" s="208" t="s">
        <v>259</v>
      </c>
      <c r="B5" s="264">
        <v>45901</v>
      </c>
      <c r="C5" s="106"/>
      <c r="D5" s="61"/>
      <c r="E5" s="109" t="s">
        <v>0</v>
      </c>
      <c r="F5" s="56" t="s">
        <v>177</v>
      </c>
      <c r="G5" s="56" t="s">
        <v>178</v>
      </c>
      <c r="H5" s="56" t="s">
        <v>196</v>
      </c>
      <c r="I5" s="56" t="s">
        <v>224</v>
      </c>
      <c r="J5" s="202" t="s">
        <v>192</v>
      </c>
      <c r="K5" s="202" t="s">
        <v>191</v>
      </c>
      <c r="U5" s="99"/>
      <c r="V5" s="221"/>
      <c r="X5" s="59"/>
      <c r="Z5" s="59"/>
      <c r="AA5" s="59"/>
      <c r="AB5" s="59"/>
      <c r="AC5" s="59"/>
    </row>
    <row r="6" spans="1:29" x14ac:dyDescent="0.25">
      <c r="A6" s="271" t="s">
        <v>260</v>
      </c>
      <c r="B6" s="264">
        <v>46630</v>
      </c>
      <c r="C6" s="180" t="s">
        <v>202</v>
      </c>
      <c r="E6" s="110" t="s">
        <v>7</v>
      </c>
      <c r="F6" s="71">
        <f>+H23</f>
        <v>20000</v>
      </c>
      <c r="G6" s="71">
        <f>+H38</f>
        <v>120000</v>
      </c>
      <c r="H6" s="71">
        <f>+H38</f>
        <v>120000</v>
      </c>
      <c r="I6" s="71">
        <f>H53</f>
        <v>80000</v>
      </c>
      <c r="J6" s="71">
        <f>SUM(F6:I6)</f>
        <v>340000</v>
      </c>
      <c r="K6" s="203">
        <f>+ROUND(J6/1.21,2)</f>
        <v>280991.74</v>
      </c>
      <c r="U6" s="99"/>
      <c r="V6" s="221"/>
      <c r="X6" s="59"/>
      <c r="Z6" s="103"/>
      <c r="AA6" s="59"/>
      <c r="AB6" s="59"/>
      <c r="AC6" s="59"/>
    </row>
    <row r="7" spans="1:29" ht="14.45" x14ac:dyDescent="0.35">
      <c r="B7" s="209"/>
      <c r="C7" s="180" t="s">
        <v>203</v>
      </c>
      <c r="E7" s="110" t="s">
        <v>13</v>
      </c>
      <c r="F7" s="71">
        <f>+K23+V23</f>
        <v>70583.33</v>
      </c>
      <c r="G7" s="71">
        <f>+K38</f>
        <v>296000</v>
      </c>
      <c r="H7" s="71">
        <f>+K38</f>
        <v>296000</v>
      </c>
      <c r="I7" s="71">
        <f>K53</f>
        <v>197333.33000000002</v>
      </c>
      <c r="J7" s="71">
        <f>SUM(F7:I7)</f>
        <v>859916.66000000015</v>
      </c>
      <c r="K7" s="203">
        <f>+ROUND(J7/1.21,2)</f>
        <v>710674.93</v>
      </c>
      <c r="U7" s="99"/>
      <c r="V7" s="221"/>
      <c r="X7" s="59"/>
      <c r="Y7" s="100"/>
      <c r="Z7" s="100"/>
      <c r="AA7" s="59"/>
      <c r="AB7" s="59"/>
      <c r="AC7" s="59"/>
    </row>
    <row r="8" spans="1:29" ht="15.95" customHeight="1" x14ac:dyDescent="0.25">
      <c r="B8" s="209"/>
      <c r="C8" s="180" t="s">
        <v>203</v>
      </c>
      <c r="E8" s="111" t="s">
        <v>221</v>
      </c>
      <c r="F8" s="71">
        <f>+N23</f>
        <v>130553.78</v>
      </c>
      <c r="G8" s="71">
        <f>+N38</f>
        <v>450226.79000000004</v>
      </c>
      <c r="H8" s="71">
        <f>+N38</f>
        <v>450226.79000000004</v>
      </c>
      <c r="I8" s="71">
        <f>N53</f>
        <v>0</v>
      </c>
      <c r="J8" s="71">
        <f>SUM(F8:I8)</f>
        <v>1031007.3600000001</v>
      </c>
      <c r="K8" s="203">
        <f>+ROUND(J8/1.21,2)</f>
        <v>852072.2</v>
      </c>
      <c r="U8" s="99"/>
      <c r="V8" s="221"/>
      <c r="X8" s="59"/>
      <c r="Y8" s="100"/>
      <c r="Z8" s="100"/>
      <c r="AA8" s="59"/>
      <c r="AB8" s="59"/>
      <c r="AC8" s="59"/>
    </row>
    <row r="9" spans="1:29" ht="14.45" x14ac:dyDescent="0.35">
      <c r="B9" s="209"/>
      <c r="C9" s="180" t="s">
        <v>204</v>
      </c>
      <c r="E9" s="260" t="s">
        <v>195</v>
      </c>
      <c r="F9" s="71">
        <f>+Q23</f>
        <v>18166.669999999998</v>
      </c>
      <c r="G9" s="71">
        <f>+Q38+R38</f>
        <v>109000</v>
      </c>
      <c r="H9" s="71">
        <f>+Q38+R38</f>
        <v>109000</v>
      </c>
      <c r="I9" s="71">
        <f>Q53</f>
        <v>72666.67</v>
      </c>
      <c r="J9" s="71">
        <f>SUM(F9:I9)</f>
        <v>308833.33999999997</v>
      </c>
      <c r="K9" s="203">
        <f>+ROUND(J9/1.21,2)</f>
        <v>255234.17</v>
      </c>
      <c r="U9" s="99"/>
      <c r="V9" s="221"/>
      <c r="X9" s="59"/>
      <c r="Y9" s="59"/>
      <c r="Z9" s="59"/>
      <c r="AA9" s="59"/>
      <c r="AB9" s="59"/>
      <c r="AC9" s="59"/>
    </row>
    <row r="10" spans="1:29" x14ac:dyDescent="0.25">
      <c r="B10" s="209"/>
      <c r="C10" s="58"/>
      <c r="D10" s="57"/>
      <c r="E10" s="112" t="s">
        <v>135</v>
      </c>
      <c r="F10" s="124">
        <f t="shared" ref="F10:K10" si="0">SUM(F6:F9)</f>
        <v>239303.77999999997</v>
      </c>
      <c r="G10" s="124">
        <f t="shared" si="0"/>
        <v>975226.79</v>
      </c>
      <c r="H10" s="124">
        <f t="shared" si="0"/>
        <v>975226.79</v>
      </c>
      <c r="I10" s="124">
        <f t="shared" si="0"/>
        <v>350000</v>
      </c>
      <c r="J10" s="72">
        <f t="shared" si="0"/>
        <v>2539757.3600000003</v>
      </c>
      <c r="K10" s="72">
        <f t="shared" si="0"/>
        <v>2098973.04</v>
      </c>
      <c r="U10" s="99"/>
      <c r="V10" s="221"/>
      <c r="X10" s="59"/>
      <c r="Y10" s="59"/>
      <c r="Z10" s="59"/>
      <c r="AA10" s="59"/>
      <c r="AB10" s="59"/>
      <c r="AC10" s="59"/>
    </row>
    <row r="11" spans="1:29" x14ac:dyDescent="0.25">
      <c r="B11" s="209"/>
      <c r="C11" s="58"/>
      <c r="D11" s="57"/>
      <c r="E11" s="112"/>
      <c r="F11" s="124"/>
      <c r="G11" s="124"/>
      <c r="H11" s="124"/>
      <c r="I11" s="124"/>
      <c r="J11" s="72"/>
      <c r="K11" s="72"/>
      <c r="U11" s="99"/>
      <c r="V11" s="221"/>
      <c r="W11" s="99"/>
      <c r="X11" s="59"/>
      <c r="Y11" s="59"/>
      <c r="Z11" s="59"/>
      <c r="AA11" s="59"/>
      <c r="AB11" s="59"/>
      <c r="AC11" s="59"/>
    </row>
    <row r="12" spans="1:29" x14ac:dyDescent="0.25">
      <c r="B12" s="209"/>
      <c r="C12" s="107"/>
      <c r="D12" s="59"/>
      <c r="E12" s="107"/>
      <c r="F12" s="59"/>
      <c r="G12" s="59"/>
      <c r="I12" s="73"/>
      <c r="J12" s="73"/>
      <c r="W12" s="99"/>
      <c r="X12" s="59"/>
      <c r="Y12" s="59"/>
      <c r="AA12" s="59"/>
      <c r="AB12" s="59"/>
      <c r="AC12" s="59"/>
    </row>
    <row r="13" spans="1:29" ht="15.75" x14ac:dyDescent="0.25">
      <c r="A13" s="211" t="s">
        <v>249</v>
      </c>
      <c r="B13" s="206"/>
      <c r="C13" s="227"/>
      <c r="D13" s="266"/>
      <c r="E13" s="226">
        <v>2</v>
      </c>
      <c r="S13" s="60"/>
      <c r="T13" s="104"/>
      <c r="U13" s="222"/>
      <c r="V13" s="104"/>
      <c r="W13" s="99"/>
      <c r="X13" s="63"/>
      <c r="Y13" s="63"/>
      <c r="Z13" s="60"/>
      <c r="AA13" s="59"/>
      <c r="AB13" s="59"/>
      <c r="AC13" s="59"/>
    </row>
    <row r="14" spans="1:29" s="63" customFormat="1" ht="54" customHeight="1" x14ac:dyDescent="0.25">
      <c r="B14" s="65" t="s">
        <v>0</v>
      </c>
      <c r="C14" s="65" t="s">
        <v>144</v>
      </c>
      <c r="D14" s="65" t="s">
        <v>136</v>
      </c>
      <c r="E14" s="65" t="s">
        <v>138</v>
      </c>
      <c r="F14" s="66" t="s">
        <v>133</v>
      </c>
      <c r="G14" s="66" t="s">
        <v>108</v>
      </c>
      <c r="H14" s="66" t="s">
        <v>2</v>
      </c>
      <c r="I14" s="66" t="s">
        <v>146</v>
      </c>
      <c r="J14" s="66" t="s">
        <v>108</v>
      </c>
      <c r="K14" s="66" t="s">
        <v>15</v>
      </c>
      <c r="L14" s="66" t="s">
        <v>222</v>
      </c>
      <c r="M14" s="66" t="s">
        <v>108</v>
      </c>
      <c r="N14" s="66" t="s">
        <v>223</v>
      </c>
      <c r="O14" s="66" t="s">
        <v>193</v>
      </c>
      <c r="P14" s="66" t="s">
        <v>108</v>
      </c>
      <c r="Q14" s="66" t="s">
        <v>194</v>
      </c>
      <c r="R14" s="66" t="s">
        <v>188</v>
      </c>
      <c r="S14" s="65" t="s">
        <v>147</v>
      </c>
      <c r="T14" s="65" t="s">
        <v>137</v>
      </c>
      <c r="U14" s="65" t="s">
        <v>205</v>
      </c>
      <c r="V14" s="66" t="s">
        <v>200</v>
      </c>
      <c r="W14" s="66" t="s">
        <v>154</v>
      </c>
      <c r="X14" s="102"/>
    </row>
    <row r="15" spans="1:29" s="63" customFormat="1" x14ac:dyDescent="0.25">
      <c r="B15" s="230" t="s">
        <v>211</v>
      </c>
      <c r="C15" s="30" t="s">
        <v>212</v>
      </c>
      <c r="D15" s="231" t="s">
        <v>213</v>
      </c>
      <c r="E15" s="30" t="s">
        <v>214</v>
      </c>
      <c r="F15" s="245">
        <v>74.371560315335415</v>
      </c>
      <c r="G15" s="114">
        <f>+Perfils!$G$23</f>
        <v>67.23</v>
      </c>
      <c r="H15" s="115">
        <f>ROUND(F15*G15,2)</f>
        <v>5000</v>
      </c>
      <c r="I15" s="245">
        <v>114.03644206455451</v>
      </c>
      <c r="J15" s="116">
        <f>+Perfils!$G$32</f>
        <v>67.23</v>
      </c>
      <c r="K15" s="115">
        <f t="shared" ref="K15:K22" si="1">ROUND(I15*J15,2)</f>
        <v>7666.67</v>
      </c>
      <c r="L15" s="245">
        <v>427.21746244236203</v>
      </c>
      <c r="M15" s="115">
        <f>+Perfils!$G$41</f>
        <v>67.23</v>
      </c>
      <c r="N15" s="115">
        <f t="shared" ref="N15:N22" si="2">ROUND(L15*M15,2)</f>
        <v>28721.83</v>
      </c>
      <c r="O15" s="245">
        <v>0</v>
      </c>
      <c r="P15" s="116">
        <f>+Perfils!$G$50</f>
        <v>68.34</v>
      </c>
      <c r="Q15" s="115">
        <f t="shared" ref="Q15:Q22" si="3">ROUND(O15*P15,2)</f>
        <v>0</v>
      </c>
      <c r="R15" s="115">
        <v>0</v>
      </c>
      <c r="S15" s="224">
        <f>+$B$2</f>
        <v>44805</v>
      </c>
      <c r="T15" s="224">
        <f>+$B$3</f>
        <v>44866</v>
      </c>
      <c r="U15" s="223">
        <v>2</v>
      </c>
      <c r="V15" s="239">
        <f t="shared" ref="V15:V22" si="4">+(Q30+K30+H30)/12*2*0.25</f>
        <v>3166.6666666666665</v>
      </c>
      <c r="W15" s="225">
        <f>+H15+K15+Q15+R15+N15+V15</f>
        <v>44555.166666666664</v>
      </c>
      <c r="X15" s="102"/>
    </row>
    <row r="16" spans="1:29" s="63" customFormat="1" x14ac:dyDescent="0.25">
      <c r="B16" s="230" t="s">
        <v>211</v>
      </c>
      <c r="C16" s="30" t="s">
        <v>212</v>
      </c>
      <c r="D16" s="231" t="s">
        <v>215</v>
      </c>
      <c r="E16" s="30" t="s">
        <v>216</v>
      </c>
      <c r="F16" s="245">
        <v>19.832366503049233</v>
      </c>
      <c r="G16" s="114">
        <f>+Perfils!$G$23</f>
        <v>67.23</v>
      </c>
      <c r="H16" s="115">
        <f t="shared" ref="H16:H21" si="5">ROUND(F16*G16,2)</f>
        <v>1333.33</v>
      </c>
      <c r="I16" s="245">
        <v>123.9525509445188</v>
      </c>
      <c r="J16" s="116">
        <f>+Perfils!$G$32</f>
        <v>67.23</v>
      </c>
      <c r="K16" s="115">
        <f t="shared" si="1"/>
        <v>8333.33</v>
      </c>
      <c r="L16" s="245">
        <v>155.3517774802915</v>
      </c>
      <c r="M16" s="115">
        <f>+Perfils!$G$41</f>
        <v>67.23</v>
      </c>
      <c r="N16" s="115">
        <f t="shared" si="2"/>
        <v>10444.299999999999</v>
      </c>
      <c r="O16" s="245">
        <v>0</v>
      </c>
      <c r="P16" s="116">
        <f>+Perfils!$G$50</f>
        <v>68.34</v>
      </c>
      <c r="Q16" s="115">
        <f t="shared" si="3"/>
        <v>0</v>
      </c>
      <c r="R16" s="115">
        <v>0</v>
      </c>
      <c r="S16" s="224">
        <f t="shared" ref="S16:S22" si="6">+$B$2</f>
        <v>44805</v>
      </c>
      <c r="T16" s="224">
        <f>+$B$3</f>
        <v>44866</v>
      </c>
      <c r="U16" s="223">
        <v>2</v>
      </c>
      <c r="V16" s="239">
        <f t="shared" si="4"/>
        <v>2416.6666666666665</v>
      </c>
      <c r="W16" s="225">
        <f t="shared" ref="W16:W22" si="7">+H16+K16+Q16+R16+N16+V16</f>
        <v>22527.626666666667</v>
      </c>
    </row>
    <row r="17" spans="1:29" s="63" customFormat="1" x14ac:dyDescent="0.25">
      <c r="B17" s="230" t="s">
        <v>211</v>
      </c>
      <c r="C17" s="30" t="s">
        <v>212</v>
      </c>
      <c r="D17" s="231" t="s">
        <v>229</v>
      </c>
      <c r="E17" s="30" t="s">
        <v>230</v>
      </c>
      <c r="F17" s="245">
        <v>74.371560315335415</v>
      </c>
      <c r="G17" s="114">
        <f>+Perfils!$G$23</f>
        <v>67.23</v>
      </c>
      <c r="H17" s="115">
        <f t="shared" si="5"/>
        <v>5000</v>
      </c>
      <c r="I17" s="245">
        <v>101.64108284991818</v>
      </c>
      <c r="J17" s="116">
        <f>+Perfils!$G$32</f>
        <v>67.23</v>
      </c>
      <c r="K17" s="115">
        <f t="shared" si="1"/>
        <v>6833.33</v>
      </c>
      <c r="L17" s="245">
        <v>368.96058307303286</v>
      </c>
      <c r="M17" s="115">
        <f>+Perfils!$G$41</f>
        <v>67.23</v>
      </c>
      <c r="N17" s="115">
        <f t="shared" si="2"/>
        <v>24805.22</v>
      </c>
      <c r="O17" s="245">
        <v>0</v>
      </c>
      <c r="P17" s="116">
        <f>+Perfils!$G$50</f>
        <v>68.34</v>
      </c>
      <c r="Q17" s="115">
        <f t="shared" si="3"/>
        <v>0</v>
      </c>
      <c r="R17" s="115">
        <v>0</v>
      </c>
      <c r="S17" s="224">
        <f t="shared" si="6"/>
        <v>44805</v>
      </c>
      <c r="T17" s="224">
        <f t="shared" ref="T17:T22" si="8">+$B$3</f>
        <v>44866</v>
      </c>
      <c r="U17" s="223">
        <v>2</v>
      </c>
      <c r="V17" s="239">
        <f t="shared" si="4"/>
        <v>2958.3333333333335</v>
      </c>
      <c r="W17" s="225">
        <f t="shared" si="7"/>
        <v>39596.883333333339</v>
      </c>
    </row>
    <row r="18" spans="1:29" s="63" customFormat="1" x14ac:dyDescent="0.25">
      <c r="B18" s="230" t="s">
        <v>211</v>
      </c>
      <c r="C18" s="30" t="s">
        <v>212</v>
      </c>
      <c r="D18" s="231" t="s">
        <v>231</v>
      </c>
      <c r="E18" s="30" t="s">
        <v>232</v>
      </c>
      <c r="F18" s="245">
        <v>32.227725717685558</v>
      </c>
      <c r="G18" s="114">
        <f>+Perfils!$G$23</f>
        <v>67.23</v>
      </c>
      <c r="H18" s="115">
        <f t="shared" si="5"/>
        <v>2166.67</v>
      </c>
      <c r="I18" s="245">
        <v>89.865684962070503</v>
      </c>
      <c r="J18" s="116">
        <f>+Perfils!$G$32</f>
        <v>67.23</v>
      </c>
      <c r="K18" s="115">
        <f t="shared" si="1"/>
        <v>6041.67</v>
      </c>
      <c r="L18" s="245">
        <v>291.28469433288706</v>
      </c>
      <c r="M18" s="115">
        <f>+Perfils!$G$41</f>
        <v>67.23</v>
      </c>
      <c r="N18" s="115">
        <f t="shared" si="2"/>
        <v>19583.07</v>
      </c>
      <c r="O18" s="245">
        <v>0</v>
      </c>
      <c r="P18" s="116">
        <f>+Perfils!$G$50</f>
        <v>68.34</v>
      </c>
      <c r="Q18" s="115">
        <f t="shared" si="3"/>
        <v>0</v>
      </c>
      <c r="R18" s="115">
        <v>0</v>
      </c>
      <c r="S18" s="224">
        <f t="shared" si="6"/>
        <v>44805</v>
      </c>
      <c r="T18" s="224">
        <f t="shared" si="8"/>
        <v>44866</v>
      </c>
      <c r="U18" s="223">
        <v>2</v>
      </c>
      <c r="V18" s="239">
        <f t="shared" si="4"/>
        <v>2208.3333333333335</v>
      </c>
      <c r="W18" s="225">
        <f t="shared" si="7"/>
        <v>29999.743333333332</v>
      </c>
    </row>
    <row r="19" spans="1:29" s="63" customFormat="1" x14ac:dyDescent="0.25">
      <c r="B19" s="230" t="s">
        <v>211</v>
      </c>
      <c r="C19" s="30" t="s">
        <v>212</v>
      </c>
      <c r="D19" s="231" t="s">
        <v>233</v>
      </c>
      <c r="E19" s="30" t="s">
        <v>217</v>
      </c>
      <c r="F19" s="245">
        <v>49.580990629183397</v>
      </c>
      <c r="G19" s="114">
        <f>+Perfils!$G$23</f>
        <v>67.23</v>
      </c>
      <c r="H19" s="115">
        <f t="shared" si="5"/>
        <v>3333.33</v>
      </c>
      <c r="I19" s="245">
        <v>118.99449650453666</v>
      </c>
      <c r="J19" s="116">
        <f>+Perfils!$G$32</f>
        <v>67.23</v>
      </c>
      <c r="K19" s="115">
        <f t="shared" si="1"/>
        <v>8000</v>
      </c>
      <c r="L19" s="245">
        <v>233.02766622043731</v>
      </c>
      <c r="M19" s="115">
        <f>+Perfils!$G$41</f>
        <v>67.23</v>
      </c>
      <c r="N19" s="115">
        <f t="shared" si="2"/>
        <v>15666.45</v>
      </c>
      <c r="O19" s="245">
        <v>0</v>
      </c>
      <c r="P19" s="116">
        <f>+Perfils!$G$50</f>
        <v>68.34</v>
      </c>
      <c r="Q19" s="115">
        <f t="shared" si="3"/>
        <v>0</v>
      </c>
      <c r="R19" s="115">
        <v>0</v>
      </c>
      <c r="S19" s="224">
        <f t="shared" si="6"/>
        <v>44805</v>
      </c>
      <c r="T19" s="224">
        <f t="shared" si="8"/>
        <v>44866</v>
      </c>
      <c r="U19" s="223">
        <v>2</v>
      </c>
      <c r="V19" s="239">
        <f t="shared" si="4"/>
        <v>2833.3333333333335</v>
      </c>
      <c r="W19" s="225">
        <f t="shared" si="7"/>
        <v>29833.113333333331</v>
      </c>
    </row>
    <row r="20" spans="1:29" s="63" customFormat="1" x14ac:dyDescent="0.25">
      <c r="B20" s="230" t="s">
        <v>211</v>
      </c>
      <c r="C20" s="30" t="s">
        <v>212</v>
      </c>
      <c r="D20" s="231" t="s">
        <v>234</v>
      </c>
      <c r="E20" s="30" t="s">
        <v>218</v>
      </c>
      <c r="F20" s="245">
        <v>14.874312063067082</v>
      </c>
      <c r="G20" s="114">
        <f>+Perfils!$G$23</f>
        <v>67.23</v>
      </c>
      <c r="H20" s="115">
        <f t="shared" si="5"/>
        <v>1000</v>
      </c>
      <c r="I20" s="245">
        <v>86.766770786851097</v>
      </c>
      <c r="J20" s="116">
        <f>+Perfils!$G$32</f>
        <v>67.23</v>
      </c>
      <c r="K20" s="115">
        <f t="shared" si="1"/>
        <v>5833.33</v>
      </c>
      <c r="L20" s="245">
        <v>291.28469433288706</v>
      </c>
      <c r="M20" s="115">
        <f>+Perfils!$G$41</f>
        <v>67.23</v>
      </c>
      <c r="N20" s="115">
        <f t="shared" si="2"/>
        <v>19583.07</v>
      </c>
      <c r="O20" s="245">
        <v>0</v>
      </c>
      <c r="P20" s="116">
        <f>+Perfils!$G$50</f>
        <v>68.34</v>
      </c>
      <c r="Q20" s="115">
        <f t="shared" si="3"/>
        <v>0</v>
      </c>
      <c r="R20" s="115">
        <v>0</v>
      </c>
      <c r="S20" s="224">
        <f t="shared" si="6"/>
        <v>44805</v>
      </c>
      <c r="T20" s="224">
        <f t="shared" si="8"/>
        <v>44866</v>
      </c>
      <c r="U20" s="223">
        <v>2</v>
      </c>
      <c r="V20" s="239">
        <f t="shared" si="4"/>
        <v>1708.3333333333333</v>
      </c>
      <c r="W20" s="225">
        <f t="shared" si="7"/>
        <v>28124.733333333334</v>
      </c>
    </row>
    <row r="21" spans="1:29" s="63" customFormat="1" x14ac:dyDescent="0.25">
      <c r="B21" s="230" t="s">
        <v>211</v>
      </c>
      <c r="C21" s="30" t="s">
        <v>212</v>
      </c>
      <c r="D21" s="231" t="s">
        <v>235</v>
      </c>
      <c r="E21" s="30" t="s">
        <v>219</v>
      </c>
      <c r="F21" s="245">
        <v>32.227725717685558</v>
      </c>
      <c r="G21" s="114">
        <f>+Perfils!$G$23</f>
        <v>67.23</v>
      </c>
      <c r="H21" s="115">
        <f t="shared" si="5"/>
        <v>2166.67</v>
      </c>
      <c r="I21" s="245">
        <v>89.245872378402495</v>
      </c>
      <c r="J21" s="116">
        <f>+Perfils!$G$32</f>
        <v>67.23</v>
      </c>
      <c r="K21" s="115">
        <f t="shared" si="1"/>
        <v>6000</v>
      </c>
      <c r="L21" s="245">
        <v>174.77078685110814</v>
      </c>
      <c r="M21" s="115">
        <f>+Perfils!$G$41</f>
        <v>67.23</v>
      </c>
      <c r="N21" s="115">
        <f t="shared" si="2"/>
        <v>11749.84</v>
      </c>
      <c r="O21" s="245">
        <v>0</v>
      </c>
      <c r="P21" s="116">
        <f>+Perfils!$G$50</f>
        <v>68.34</v>
      </c>
      <c r="Q21" s="115">
        <f t="shared" si="3"/>
        <v>0</v>
      </c>
      <c r="R21" s="115">
        <v>0</v>
      </c>
      <c r="S21" s="224">
        <f t="shared" si="6"/>
        <v>44805</v>
      </c>
      <c r="T21" s="224">
        <f t="shared" si="8"/>
        <v>44866</v>
      </c>
      <c r="U21" s="223">
        <v>2</v>
      </c>
      <c r="V21" s="239">
        <f t="shared" si="4"/>
        <v>2041.6666666666667</v>
      </c>
      <c r="W21" s="225">
        <f t="shared" si="7"/>
        <v>21958.17666666667</v>
      </c>
    </row>
    <row r="22" spans="1:29" s="63" customFormat="1" ht="30" x14ac:dyDescent="0.25">
      <c r="B22" s="210" t="s">
        <v>197</v>
      </c>
      <c r="C22" s="246" t="s">
        <v>198</v>
      </c>
      <c r="D22" s="182" t="s">
        <v>199</v>
      </c>
      <c r="E22" s="182" t="s">
        <v>198</v>
      </c>
      <c r="F22" s="240">
        <v>0</v>
      </c>
      <c r="G22" s="114">
        <f>+Perfils!$G$23</f>
        <v>67.23</v>
      </c>
      <c r="H22" s="115">
        <f t="shared" ref="H22" si="9">ROUND(H37/12*$E$13,2)</f>
        <v>0</v>
      </c>
      <c r="I22" s="245">
        <v>0</v>
      </c>
      <c r="J22" s="116">
        <f>+Perfils!$G$32</f>
        <v>67.23</v>
      </c>
      <c r="K22" s="115">
        <f t="shared" si="1"/>
        <v>0</v>
      </c>
      <c r="L22" s="245">
        <v>0</v>
      </c>
      <c r="M22" s="115">
        <f>+Perfils!$G$41</f>
        <v>67.23</v>
      </c>
      <c r="N22" s="115">
        <f t="shared" si="2"/>
        <v>0</v>
      </c>
      <c r="O22" s="245">
        <v>265.82777290020482</v>
      </c>
      <c r="P22" s="116">
        <f>+Perfils!$G$50</f>
        <v>68.34</v>
      </c>
      <c r="Q22" s="115">
        <f t="shared" si="3"/>
        <v>18166.669999999998</v>
      </c>
      <c r="R22" s="115">
        <v>0</v>
      </c>
      <c r="S22" s="224">
        <f t="shared" si="6"/>
        <v>44805</v>
      </c>
      <c r="T22" s="224">
        <f t="shared" si="8"/>
        <v>44866</v>
      </c>
      <c r="U22" s="223">
        <v>0</v>
      </c>
      <c r="V22" s="239">
        <f t="shared" si="4"/>
        <v>4541.666666666667</v>
      </c>
      <c r="W22" s="225">
        <f t="shared" si="7"/>
        <v>22708.336666666666</v>
      </c>
    </row>
    <row r="23" spans="1:29" s="63" customFormat="1" ht="15.75" x14ac:dyDescent="0.25">
      <c r="B23" s="65" t="s">
        <v>116</v>
      </c>
      <c r="C23" s="185"/>
      <c r="D23" s="186"/>
      <c r="E23" s="187"/>
      <c r="F23" s="183">
        <f>SUM(F15:F22)</f>
        <v>297.48624126134166</v>
      </c>
      <c r="G23" s="183"/>
      <c r="H23" s="184">
        <f>SUM(H15:H22)</f>
        <v>20000</v>
      </c>
      <c r="I23" s="183">
        <f>SUM(I15:I22)</f>
        <v>724.50290049085231</v>
      </c>
      <c r="J23" s="183"/>
      <c r="K23" s="184">
        <f>SUM(K15:K22)</f>
        <v>48708.33</v>
      </c>
      <c r="L23" s="183">
        <f>SUM(L15:L22)</f>
        <v>1941.897664733006</v>
      </c>
      <c r="M23" s="184"/>
      <c r="N23" s="184">
        <f>SUM(N15:N22)</f>
        <v>130553.78</v>
      </c>
      <c r="O23" s="183">
        <f>SUM(O15:O22)</f>
        <v>265.82777290020482</v>
      </c>
      <c r="P23" s="183"/>
      <c r="Q23" s="184">
        <f>SUM(Q15:Q22)</f>
        <v>18166.669999999998</v>
      </c>
      <c r="R23" s="184">
        <f>SUM(R15:R22)</f>
        <v>0</v>
      </c>
      <c r="S23" s="183"/>
      <c r="T23" s="183"/>
      <c r="U23" s="183"/>
      <c r="V23" s="184">
        <f>SUM(V15:V22)</f>
        <v>21875.000000000004</v>
      </c>
      <c r="W23" s="184">
        <f>SUM(W15:W22)</f>
        <v>239303.78</v>
      </c>
    </row>
    <row r="24" spans="1:29" s="63" customFormat="1" x14ac:dyDescent="0.25">
      <c r="B24" s="2"/>
      <c r="C24" s="101"/>
      <c r="D24" s="176"/>
      <c r="E24" s="113"/>
      <c r="F24" s="114"/>
      <c r="G24" s="114"/>
      <c r="H24" s="115">
        <f>Q6</f>
        <v>0</v>
      </c>
      <c r="I24" s="114"/>
      <c r="J24" s="116"/>
      <c r="K24" s="115">
        <f>Q7</f>
        <v>0</v>
      </c>
      <c r="L24" s="115"/>
      <c r="M24" s="115"/>
      <c r="N24" s="115"/>
      <c r="O24" s="114"/>
      <c r="P24" s="116"/>
      <c r="Q24" s="115"/>
      <c r="R24" s="115"/>
      <c r="S24" s="125"/>
      <c r="T24" s="125"/>
      <c r="U24" s="207"/>
      <c r="V24" s="207"/>
    </row>
    <row r="25" spans="1:29" s="63" customFormat="1" x14ac:dyDescent="0.25">
      <c r="B25" s="2"/>
      <c r="C25" s="101"/>
      <c r="D25" s="176"/>
      <c r="E25" s="217" t="s">
        <v>201</v>
      </c>
      <c r="F25" s="218">
        <f>(F23/$E$13/8)/20</f>
        <v>0.92964450394169273</v>
      </c>
      <c r="G25" s="218"/>
      <c r="H25" s="218"/>
      <c r="I25" s="218">
        <f>(I23/$E$13/8)/20</f>
        <v>2.2640715640339133</v>
      </c>
      <c r="J25" s="219"/>
      <c r="K25" s="220"/>
      <c r="L25" s="218">
        <f>(L23/$E$13/8)/20</f>
        <v>6.068430202290644</v>
      </c>
      <c r="M25" s="220"/>
      <c r="N25" s="220"/>
      <c r="O25" s="218">
        <f>(O23/$E$13/8)/20</f>
        <v>0.83071179031314002</v>
      </c>
      <c r="P25" s="116"/>
      <c r="Q25" s="218">
        <f>Q24/P22</f>
        <v>0</v>
      </c>
      <c r="R25" s="114"/>
      <c r="S25" s="218">
        <f>SUM(I25:R25)</f>
        <v>9.1632135566376984</v>
      </c>
      <c r="T25" s="125"/>
      <c r="U25" s="207"/>
      <c r="V25" s="207"/>
    </row>
    <row r="26" spans="1:29" s="63" customFormat="1" x14ac:dyDescent="0.25">
      <c r="B26" s="2"/>
      <c r="C26" s="101"/>
      <c r="D26" s="176"/>
      <c r="E26" s="113"/>
      <c r="F26" s="114"/>
      <c r="G26" s="114"/>
      <c r="H26" s="115"/>
      <c r="I26" s="114"/>
      <c r="J26" s="116"/>
      <c r="K26" s="115"/>
      <c r="L26" s="115"/>
      <c r="M26" s="115"/>
      <c r="N26" s="115"/>
      <c r="O26" s="114"/>
      <c r="P26" s="116"/>
      <c r="Q26" s="242"/>
      <c r="R26" s="115"/>
      <c r="S26" s="125"/>
      <c r="T26" s="125"/>
      <c r="U26" s="207"/>
      <c r="V26" s="207"/>
    </row>
    <row r="27" spans="1:29" x14ac:dyDescent="0.25">
      <c r="A27" s="59"/>
      <c r="B27" s="209"/>
      <c r="C27" s="107"/>
      <c r="D27" s="59"/>
      <c r="E27" s="107"/>
      <c r="F27" s="59"/>
      <c r="G27" s="59"/>
      <c r="V27" s="207"/>
      <c r="X27" s="62"/>
      <c r="Y27" s="62"/>
      <c r="AA27" s="59"/>
      <c r="AB27" s="59"/>
      <c r="AC27" s="59"/>
    </row>
    <row r="28" spans="1:29" ht="15.75" x14ac:dyDescent="0.25">
      <c r="A28" s="211" t="s">
        <v>240</v>
      </c>
      <c r="B28" s="206"/>
      <c r="C28" s="59"/>
      <c r="D28" s="262" t="s">
        <v>206</v>
      </c>
      <c r="E28" s="226">
        <v>12</v>
      </c>
      <c r="G28" s="59"/>
      <c r="S28" s="104"/>
      <c r="T28" s="222"/>
      <c r="U28" s="104"/>
      <c r="V28" s="207"/>
      <c r="W28" s="63"/>
      <c r="X28" s="63"/>
      <c r="Z28" s="59"/>
      <c r="AA28" s="59"/>
      <c r="AB28" s="59"/>
      <c r="AC28" s="59"/>
    </row>
    <row r="29" spans="1:29" s="63" customFormat="1" ht="54" customHeight="1" x14ac:dyDescent="0.25">
      <c r="B29" s="65" t="s">
        <v>0</v>
      </c>
      <c r="C29" s="65" t="s">
        <v>144</v>
      </c>
      <c r="D29" s="65" t="s">
        <v>136</v>
      </c>
      <c r="E29" s="65" t="s">
        <v>138</v>
      </c>
      <c r="F29" s="66" t="s">
        <v>133</v>
      </c>
      <c r="G29" s="66" t="s">
        <v>108</v>
      </c>
      <c r="H29" s="66" t="s">
        <v>2</v>
      </c>
      <c r="I29" s="66" t="s">
        <v>146</v>
      </c>
      <c r="J29" s="66" t="s">
        <v>108</v>
      </c>
      <c r="K29" s="66" t="s">
        <v>15</v>
      </c>
      <c r="L29" s="66" t="s">
        <v>222</v>
      </c>
      <c r="M29" s="66" t="s">
        <v>108</v>
      </c>
      <c r="N29" s="66" t="s">
        <v>223</v>
      </c>
      <c r="O29" s="66" t="s">
        <v>193</v>
      </c>
      <c r="P29" s="66" t="s">
        <v>108</v>
      </c>
      <c r="Q29" s="66" t="s">
        <v>194</v>
      </c>
      <c r="R29" s="66" t="s">
        <v>188</v>
      </c>
      <c r="S29" s="66" t="s">
        <v>154</v>
      </c>
      <c r="T29" s="102"/>
      <c r="V29" s="207"/>
    </row>
    <row r="30" spans="1:29" s="63" customFormat="1" x14ac:dyDescent="0.25">
      <c r="B30" s="230" t="s">
        <v>211</v>
      </c>
      <c r="C30" s="30" t="s">
        <v>212</v>
      </c>
      <c r="D30" s="231" t="s">
        <v>213</v>
      </c>
      <c r="E30" s="30" t="s">
        <v>214</v>
      </c>
      <c r="F30" s="244">
        <v>446.22936189201249</v>
      </c>
      <c r="G30" s="114">
        <f>+Perfils!$G$23</f>
        <v>67.23</v>
      </c>
      <c r="H30" s="115">
        <f t="shared" ref="H30:H37" si="10">ROUND(F30*G30,2)</f>
        <v>30000</v>
      </c>
      <c r="I30" s="244">
        <v>684.21835490108583</v>
      </c>
      <c r="J30" s="116">
        <f>+Perfils!$G$32</f>
        <v>67.23</v>
      </c>
      <c r="K30" s="115">
        <f t="shared" ref="K30:K37" si="11">ROUND(I30*J30,2)</f>
        <v>46000</v>
      </c>
      <c r="L30" s="245">
        <v>1473.299046556597</v>
      </c>
      <c r="M30" s="115">
        <f>+Perfils!$G$41</f>
        <v>67.23</v>
      </c>
      <c r="N30" s="115">
        <f t="shared" ref="N30:N37" si="12">ROUND(L30*M30,2)</f>
        <v>99049.89</v>
      </c>
      <c r="O30" s="240">
        <v>0</v>
      </c>
      <c r="P30" s="116">
        <f>+Perfils!$G$50</f>
        <v>68.34</v>
      </c>
      <c r="Q30" s="115">
        <f t="shared" ref="Q30:Q37" si="13">ROUND(O30*P30,2)</f>
        <v>0</v>
      </c>
      <c r="R30" s="115">
        <v>0</v>
      </c>
      <c r="S30" s="225">
        <f>+H30+K30+Q30+R30+N30</f>
        <v>175049.89</v>
      </c>
      <c r="T30" s="102"/>
    </row>
    <row r="31" spans="1:29" s="63" customFormat="1" x14ac:dyDescent="0.25">
      <c r="B31" s="230" t="s">
        <v>211</v>
      </c>
      <c r="C31" s="30" t="s">
        <v>212</v>
      </c>
      <c r="D31" s="231" t="s">
        <v>215</v>
      </c>
      <c r="E31" s="30" t="s">
        <v>216</v>
      </c>
      <c r="F31" s="244">
        <v>118.99449650453666</v>
      </c>
      <c r="G31" s="114">
        <f>+Perfils!$G$23</f>
        <v>67.23</v>
      </c>
      <c r="H31" s="115">
        <f t="shared" si="10"/>
        <v>8000</v>
      </c>
      <c r="I31" s="244">
        <v>743.7156031533541</v>
      </c>
      <c r="J31" s="116">
        <f>+Perfils!$G$32</f>
        <v>67.23</v>
      </c>
      <c r="K31" s="115">
        <f t="shared" si="11"/>
        <v>50000</v>
      </c>
      <c r="L31" s="245">
        <v>535.74510783876235</v>
      </c>
      <c r="M31" s="115">
        <f>+Perfils!$G$41</f>
        <v>67.23</v>
      </c>
      <c r="N31" s="115">
        <f t="shared" si="12"/>
        <v>36018.14</v>
      </c>
      <c r="O31" s="240">
        <v>0</v>
      </c>
      <c r="P31" s="116">
        <f>+Perfils!$G$50</f>
        <v>68.34</v>
      </c>
      <c r="Q31" s="115">
        <f t="shared" si="13"/>
        <v>0</v>
      </c>
      <c r="R31" s="115">
        <v>0</v>
      </c>
      <c r="S31" s="225">
        <f t="shared" ref="S31:S37" si="14">+H31+K31+Q31+R31+N31</f>
        <v>94018.14</v>
      </c>
    </row>
    <row r="32" spans="1:29" s="63" customFormat="1" x14ac:dyDescent="0.25">
      <c r="B32" s="230" t="s">
        <v>211</v>
      </c>
      <c r="C32" s="30" t="s">
        <v>212</v>
      </c>
      <c r="D32" s="231" t="s">
        <v>229</v>
      </c>
      <c r="E32" s="30" t="s">
        <v>230</v>
      </c>
      <c r="F32" s="244">
        <v>446.22936189201249</v>
      </c>
      <c r="G32" s="114">
        <f>+Perfils!$G$23</f>
        <v>67.23</v>
      </c>
      <c r="H32" s="115">
        <f t="shared" si="10"/>
        <v>30000</v>
      </c>
      <c r="I32" s="244">
        <v>609.84679458575033</v>
      </c>
      <c r="J32" s="116">
        <f>+Perfils!$G$32</f>
        <v>67.23</v>
      </c>
      <c r="K32" s="115">
        <f t="shared" si="11"/>
        <v>41000</v>
      </c>
      <c r="L32" s="245">
        <v>1272.3946311170607</v>
      </c>
      <c r="M32" s="115">
        <f>+Perfils!$G$41</f>
        <v>67.23</v>
      </c>
      <c r="N32" s="115">
        <f t="shared" si="12"/>
        <v>85543.09</v>
      </c>
      <c r="O32" s="240">
        <v>0</v>
      </c>
      <c r="P32" s="116">
        <f>+Perfils!$G$50</f>
        <v>68.34</v>
      </c>
      <c r="Q32" s="115">
        <f t="shared" si="13"/>
        <v>0</v>
      </c>
      <c r="R32" s="115">
        <v>0</v>
      </c>
      <c r="S32" s="225">
        <f t="shared" si="14"/>
        <v>156543.09</v>
      </c>
    </row>
    <row r="33" spans="1:29" s="63" customFormat="1" x14ac:dyDescent="0.25">
      <c r="B33" s="230" t="s">
        <v>211</v>
      </c>
      <c r="C33" s="30" t="s">
        <v>212</v>
      </c>
      <c r="D33" s="231" t="s">
        <v>231</v>
      </c>
      <c r="E33" s="30" t="s">
        <v>232</v>
      </c>
      <c r="F33" s="244">
        <v>193.36605681987206</v>
      </c>
      <c r="G33" s="114">
        <f>+Perfils!$G$23</f>
        <v>67.23</v>
      </c>
      <c r="H33" s="115">
        <f t="shared" si="10"/>
        <v>13000</v>
      </c>
      <c r="I33" s="244">
        <v>594.97248252268332</v>
      </c>
      <c r="J33" s="116">
        <f>+Perfils!$G$32</f>
        <v>67.23</v>
      </c>
      <c r="K33" s="115">
        <f t="shared" si="11"/>
        <v>40000</v>
      </c>
      <c r="L33" s="245">
        <v>1004.5220771976798</v>
      </c>
      <c r="M33" s="115">
        <f>+Perfils!$G$41</f>
        <v>67.23</v>
      </c>
      <c r="N33" s="115">
        <f t="shared" si="12"/>
        <v>67534.02</v>
      </c>
      <c r="O33" s="240">
        <v>0</v>
      </c>
      <c r="P33" s="116">
        <f>+Perfils!$G$50</f>
        <v>68.34</v>
      </c>
      <c r="Q33" s="115">
        <f t="shared" si="13"/>
        <v>0</v>
      </c>
      <c r="R33" s="115">
        <v>0</v>
      </c>
      <c r="S33" s="225">
        <f t="shared" si="14"/>
        <v>120534.02</v>
      </c>
    </row>
    <row r="34" spans="1:29" s="63" customFormat="1" x14ac:dyDescent="0.25">
      <c r="B34" s="230" t="s">
        <v>211</v>
      </c>
      <c r="C34" s="30" t="s">
        <v>212</v>
      </c>
      <c r="D34" s="231" t="s">
        <v>233</v>
      </c>
      <c r="E34" s="30" t="s">
        <v>217</v>
      </c>
      <c r="F34" s="244">
        <v>297.48624126134166</v>
      </c>
      <c r="G34" s="114">
        <f>+Perfils!$G$23</f>
        <v>67.23</v>
      </c>
      <c r="H34" s="115">
        <f t="shared" si="10"/>
        <v>20000</v>
      </c>
      <c r="I34" s="244">
        <v>713.96697902721996</v>
      </c>
      <c r="J34" s="116">
        <f>+Perfils!$G$32</f>
        <v>67.23</v>
      </c>
      <c r="K34" s="115">
        <f t="shared" si="11"/>
        <v>48000</v>
      </c>
      <c r="L34" s="245">
        <v>803.61766175814364</v>
      </c>
      <c r="M34" s="115">
        <f>+Perfils!$G$41</f>
        <v>67.23</v>
      </c>
      <c r="N34" s="115">
        <f t="shared" si="12"/>
        <v>54027.22</v>
      </c>
      <c r="O34" s="240">
        <v>0</v>
      </c>
      <c r="P34" s="116">
        <f>+Perfils!$G$50</f>
        <v>68.34</v>
      </c>
      <c r="Q34" s="115">
        <f t="shared" si="13"/>
        <v>0</v>
      </c>
      <c r="R34" s="115">
        <v>0</v>
      </c>
      <c r="S34" s="225">
        <f t="shared" si="14"/>
        <v>122027.22</v>
      </c>
    </row>
    <row r="35" spans="1:29" s="63" customFormat="1" x14ac:dyDescent="0.25">
      <c r="B35" s="230" t="s">
        <v>211</v>
      </c>
      <c r="C35" s="30" t="s">
        <v>212</v>
      </c>
      <c r="D35" s="231" t="s">
        <v>234</v>
      </c>
      <c r="E35" s="30" t="s">
        <v>218</v>
      </c>
      <c r="F35" s="244">
        <v>89.245872378402495</v>
      </c>
      <c r="G35" s="114">
        <f>+Perfils!$G$23</f>
        <v>67.23</v>
      </c>
      <c r="H35" s="115">
        <f t="shared" si="10"/>
        <v>6000</v>
      </c>
      <c r="I35" s="244">
        <v>520.60092220734794</v>
      </c>
      <c r="J35" s="116">
        <f>+Perfils!$G$32</f>
        <v>67.23</v>
      </c>
      <c r="K35" s="115">
        <f t="shared" si="11"/>
        <v>35000</v>
      </c>
      <c r="L35" s="245">
        <v>1004.5220771976798</v>
      </c>
      <c r="M35" s="115">
        <f>+Perfils!$G$41</f>
        <v>67.23</v>
      </c>
      <c r="N35" s="115">
        <f t="shared" si="12"/>
        <v>67534.02</v>
      </c>
      <c r="O35" s="240">
        <v>0</v>
      </c>
      <c r="P35" s="116">
        <f>+Perfils!$G$50</f>
        <v>68.34</v>
      </c>
      <c r="Q35" s="115">
        <f t="shared" si="13"/>
        <v>0</v>
      </c>
      <c r="R35" s="115">
        <v>0</v>
      </c>
      <c r="S35" s="225">
        <f t="shared" si="14"/>
        <v>108534.02</v>
      </c>
    </row>
    <row r="36" spans="1:29" s="63" customFormat="1" x14ac:dyDescent="0.25">
      <c r="B36" s="230" t="s">
        <v>211</v>
      </c>
      <c r="C36" s="30" t="s">
        <v>212</v>
      </c>
      <c r="D36" s="231" t="s">
        <v>235</v>
      </c>
      <c r="E36" s="30" t="s">
        <v>219</v>
      </c>
      <c r="F36" s="244">
        <v>193.36605681987206</v>
      </c>
      <c r="G36" s="114">
        <f>+Perfils!$G$23</f>
        <v>67.23</v>
      </c>
      <c r="H36" s="115">
        <f t="shared" si="10"/>
        <v>13000</v>
      </c>
      <c r="I36" s="244">
        <v>535.47523427041494</v>
      </c>
      <c r="J36" s="116">
        <f>+Perfils!$G$32</f>
        <v>67.23</v>
      </c>
      <c r="K36" s="115">
        <f t="shared" si="11"/>
        <v>36000</v>
      </c>
      <c r="L36" s="245">
        <v>602.71324631860773</v>
      </c>
      <c r="M36" s="115">
        <f>+Perfils!$G$41</f>
        <v>67.23</v>
      </c>
      <c r="N36" s="115">
        <f t="shared" si="12"/>
        <v>40520.410000000003</v>
      </c>
      <c r="O36" s="240">
        <v>0</v>
      </c>
      <c r="P36" s="116">
        <f>+Perfils!$G$50</f>
        <v>68.34</v>
      </c>
      <c r="Q36" s="115">
        <f t="shared" si="13"/>
        <v>0</v>
      </c>
      <c r="R36" s="115">
        <v>0</v>
      </c>
      <c r="S36" s="225">
        <f t="shared" si="14"/>
        <v>89520.41</v>
      </c>
    </row>
    <row r="37" spans="1:29" s="63" customFormat="1" ht="30" x14ac:dyDescent="0.25">
      <c r="B37" s="210" t="s">
        <v>197</v>
      </c>
      <c r="C37" s="246" t="s">
        <v>198</v>
      </c>
      <c r="D37" s="182" t="s">
        <v>199</v>
      </c>
      <c r="E37" s="182" t="s">
        <v>198</v>
      </c>
      <c r="F37" s="244">
        <v>0</v>
      </c>
      <c r="G37" s="114">
        <f>+Perfils!$G$23</f>
        <v>67.23</v>
      </c>
      <c r="H37" s="115">
        <f t="shared" si="10"/>
        <v>0</v>
      </c>
      <c r="I37" s="244">
        <v>0</v>
      </c>
      <c r="J37" s="116">
        <f>+Perfils!$G$32</f>
        <v>67.23</v>
      </c>
      <c r="K37" s="115">
        <f t="shared" si="11"/>
        <v>0</v>
      </c>
      <c r="L37" s="245">
        <v>0</v>
      </c>
      <c r="M37" s="115">
        <f>+Perfils!$G$41</f>
        <v>67.23</v>
      </c>
      <c r="N37" s="115">
        <f t="shared" si="12"/>
        <v>0</v>
      </c>
      <c r="O37" s="245">
        <v>1594.9663447468538</v>
      </c>
      <c r="P37" s="116">
        <f>+Perfils!$G$50</f>
        <v>68.34</v>
      </c>
      <c r="Q37" s="115">
        <f t="shared" si="13"/>
        <v>109000</v>
      </c>
      <c r="R37" s="115">
        <v>0</v>
      </c>
      <c r="S37" s="225">
        <f t="shared" si="14"/>
        <v>109000</v>
      </c>
    </row>
    <row r="38" spans="1:29" s="63" customFormat="1" ht="15.75" x14ac:dyDescent="0.25">
      <c r="B38" s="65" t="s">
        <v>116</v>
      </c>
      <c r="C38" s="185"/>
      <c r="D38" s="186"/>
      <c r="E38" s="187"/>
      <c r="F38" s="183">
        <f>SUM(F30:F37)</f>
        <v>1784.9174475680497</v>
      </c>
      <c r="G38" s="183"/>
      <c r="H38" s="184">
        <f>SUM(H30:H37)</f>
        <v>120000</v>
      </c>
      <c r="I38" s="241">
        <f>SUM(I30:I37)</f>
        <v>4402.7963706678565</v>
      </c>
      <c r="J38" s="183"/>
      <c r="K38" s="184">
        <f>SUM(K30:K37)</f>
        <v>296000</v>
      </c>
      <c r="L38" s="183">
        <f>SUM(L30:L36)</f>
        <v>6696.8138479845311</v>
      </c>
      <c r="M38" s="184"/>
      <c r="N38" s="184">
        <f>SUM(N30:N37)</f>
        <v>450226.79000000004</v>
      </c>
      <c r="O38" s="183">
        <f>SUM(O30:O37)</f>
        <v>1594.9663447468538</v>
      </c>
      <c r="P38" s="183"/>
      <c r="Q38" s="184">
        <f>SUM(Q30:Q37)</f>
        <v>109000</v>
      </c>
      <c r="R38" s="184">
        <f>SUM(R30:R37)</f>
        <v>0</v>
      </c>
      <c r="S38" s="184">
        <f>SUM(S30:S37)</f>
        <v>975226.79</v>
      </c>
    </row>
    <row r="39" spans="1:29" s="63" customFormat="1" x14ac:dyDescent="0.25">
      <c r="B39" s="2"/>
      <c r="C39" s="101"/>
      <c r="D39" s="176"/>
      <c r="E39" s="113"/>
      <c r="F39" s="114"/>
      <c r="G39" s="114"/>
      <c r="H39" s="115"/>
      <c r="I39" s="114"/>
      <c r="J39" s="116"/>
      <c r="K39" s="115"/>
      <c r="L39" s="115"/>
      <c r="M39" s="115"/>
      <c r="N39" s="115"/>
      <c r="O39" s="114"/>
      <c r="P39" s="116"/>
      <c r="Q39" s="115"/>
      <c r="R39" s="115"/>
      <c r="S39" s="125"/>
      <c r="T39" s="125"/>
      <c r="U39" s="207"/>
      <c r="V39" s="126"/>
    </row>
    <row r="40" spans="1:29" s="63" customFormat="1" x14ac:dyDescent="0.25">
      <c r="B40" s="2"/>
      <c r="C40" s="101"/>
      <c r="D40" s="176"/>
      <c r="E40" s="217" t="s">
        <v>201</v>
      </c>
      <c r="F40" s="218">
        <f>(F38/$E$28/8)/20</f>
        <v>0.92964450394169251</v>
      </c>
      <c r="G40" s="218"/>
      <c r="H40" s="218"/>
      <c r="I40" s="218">
        <f>(I38/$E$28/8)/20</f>
        <v>2.2931231097228419</v>
      </c>
      <c r="J40" s="219"/>
      <c r="K40" s="220"/>
      <c r="L40" s="218">
        <f>(L38/$E$28/8)/20</f>
        <v>3.4879238791586098</v>
      </c>
      <c r="M40" s="220"/>
      <c r="N40" s="220"/>
      <c r="O40" s="218">
        <f>(O38/$E$28/8)/20</f>
        <v>0.83071163788898639</v>
      </c>
      <c r="P40" s="116"/>
      <c r="Q40" s="114"/>
      <c r="R40" s="114"/>
      <c r="S40" s="218">
        <f>SUM(F40:R40)</f>
        <v>7.5414031307121308</v>
      </c>
      <c r="T40" s="218"/>
      <c r="U40" s="207"/>
      <c r="V40" s="114"/>
    </row>
    <row r="41" spans="1:29" s="63" customFormat="1" x14ac:dyDescent="0.25">
      <c r="B41" s="2"/>
      <c r="C41" s="101"/>
      <c r="D41" s="176"/>
      <c r="E41" s="113"/>
      <c r="F41" s="114"/>
      <c r="G41" s="114"/>
      <c r="H41" s="115"/>
      <c r="I41" s="114"/>
      <c r="J41" s="116"/>
      <c r="K41" s="115"/>
      <c r="L41" s="114"/>
      <c r="M41" s="115"/>
      <c r="N41" s="115"/>
      <c r="O41" s="114"/>
      <c r="P41" s="116"/>
      <c r="Q41" s="115"/>
      <c r="R41" s="115"/>
      <c r="S41" s="125"/>
      <c r="T41" s="125"/>
      <c r="U41" s="207"/>
      <c r="V41" s="126"/>
    </row>
    <row r="42" spans="1:29" x14ac:dyDescent="0.25">
      <c r="A42" s="59"/>
      <c r="B42" s="209"/>
      <c r="C42" s="58"/>
      <c r="D42" s="57"/>
      <c r="E42" s="58"/>
      <c r="F42" s="215"/>
      <c r="H42" s="57"/>
      <c r="O42" s="263"/>
      <c r="U42" s="60"/>
      <c r="V42" s="60"/>
      <c r="W42" s="99"/>
      <c r="Z42" s="60"/>
      <c r="AA42" s="59"/>
      <c r="AB42" s="59"/>
      <c r="AC42" s="59"/>
    </row>
    <row r="43" spans="1:29" ht="15.75" x14ac:dyDescent="0.25">
      <c r="A43" s="211" t="s">
        <v>253</v>
      </c>
      <c r="B43" s="206"/>
      <c r="C43" s="227"/>
      <c r="D43" s="262" t="s">
        <v>206</v>
      </c>
      <c r="E43" s="226">
        <v>8</v>
      </c>
      <c r="S43" s="99"/>
      <c r="T43" s="63"/>
      <c r="U43" s="63"/>
      <c r="V43" s="60"/>
      <c r="X43" s="59"/>
      <c r="Y43" s="59"/>
      <c r="Z43" s="59"/>
      <c r="AA43" s="59"/>
      <c r="AB43" s="59"/>
      <c r="AC43" s="59"/>
    </row>
    <row r="44" spans="1:29" s="63" customFormat="1" ht="54" customHeight="1" x14ac:dyDescent="0.25">
      <c r="B44" s="65" t="s">
        <v>0</v>
      </c>
      <c r="C44" s="65" t="s">
        <v>144</v>
      </c>
      <c r="D44" s="65" t="s">
        <v>136</v>
      </c>
      <c r="E44" s="65" t="s">
        <v>138</v>
      </c>
      <c r="F44" s="66" t="s">
        <v>133</v>
      </c>
      <c r="G44" s="66" t="s">
        <v>108</v>
      </c>
      <c r="H44" s="66" t="s">
        <v>2</v>
      </c>
      <c r="I44" s="66" t="s">
        <v>146</v>
      </c>
      <c r="J44" s="66" t="s">
        <v>108</v>
      </c>
      <c r="K44" s="66" t="s">
        <v>15</v>
      </c>
      <c r="L44" s="66" t="s">
        <v>222</v>
      </c>
      <c r="M44" s="66" t="s">
        <v>108</v>
      </c>
      <c r="N44" s="66" t="s">
        <v>223</v>
      </c>
      <c r="O44" s="66" t="s">
        <v>193</v>
      </c>
      <c r="P44" s="66" t="s">
        <v>108</v>
      </c>
      <c r="Q44" s="66" t="s">
        <v>194</v>
      </c>
      <c r="R44" s="66" t="s">
        <v>188</v>
      </c>
      <c r="S44" s="66" t="s">
        <v>241</v>
      </c>
      <c r="T44" s="102"/>
    </row>
    <row r="45" spans="1:29" s="63" customFormat="1" x14ac:dyDescent="0.25">
      <c r="B45" s="230" t="s">
        <v>211</v>
      </c>
      <c r="C45" s="30" t="s">
        <v>212</v>
      </c>
      <c r="D45" s="231" t="s">
        <v>213</v>
      </c>
      <c r="E45" s="30" t="s">
        <v>214</v>
      </c>
      <c r="F45" s="245">
        <v>297.48624126134166</v>
      </c>
      <c r="G45" s="114">
        <f>+Perfils!$G$23</f>
        <v>67.23</v>
      </c>
      <c r="H45" s="115">
        <f t="shared" ref="H45:H52" si="15">ROUND(F45*G45,2)</f>
        <v>20000</v>
      </c>
      <c r="I45" s="245">
        <v>456.14561951509739</v>
      </c>
      <c r="J45" s="116">
        <f>+Perfils!$G$32</f>
        <v>67.23</v>
      </c>
      <c r="K45" s="115">
        <f t="shared" ref="K45:K52" si="16">ROUND(I45*J45,2)</f>
        <v>30666.67</v>
      </c>
      <c r="L45" s="216"/>
      <c r="M45" s="115"/>
      <c r="N45" s="115"/>
      <c r="O45" s="245">
        <v>0</v>
      </c>
      <c r="P45" s="116">
        <f>+Perfils!$G$50</f>
        <v>68.34</v>
      </c>
      <c r="Q45" s="115">
        <f t="shared" ref="Q45:Q52" si="17">ROUND(O45*P45,2)</f>
        <v>0</v>
      </c>
      <c r="R45" s="115">
        <v>0</v>
      </c>
      <c r="S45" s="225">
        <f>+H45+K45+Q45+R45+N45</f>
        <v>50666.67</v>
      </c>
      <c r="T45" s="102"/>
    </row>
    <row r="46" spans="1:29" s="63" customFormat="1" x14ac:dyDescent="0.25">
      <c r="B46" s="230" t="s">
        <v>211</v>
      </c>
      <c r="C46" s="30" t="s">
        <v>212</v>
      </c>
      <c r="D46" s="231" t="s">
        <v>215</v>
      </c>
      <c r="E46" s="30" t="s">
        <v>216</v>
      </c>
      <c r="F46" s="245">
        <v>79.329614755317564</v>
      </c>
      <c r="G46" s="114">
        <f>+Perfils!$G$23</f>
        <v>67.23</v>
      </c>
      <c r="H46" s="115">
        <f t="shared" si="15"/>
        <v>5333.33</v>
      </c>
      <c r="I46" s="245">
        <v>495.81035252119591</v>
      </c>
      <c r="J46" s="116">
        <f>+Perfils!$G$32</f>
        <v>67.23</v>
      </c>
      <c r="K46" s="115">
        <f t="shared" si="16"/>
        <v>33333.33</v>
      </c>
      <c r="L46" s="216"/>
      <c r="M46" s="115"/>
      <c r="N46" s="115"/>
      <c r="O46" s="245">
        <v>0</v>
      </c>
      <c r="P46" s="116">
        <f>+Perfils!$G$50</f>
        <v>68.34</v>
      </c>
      <c r="Q46" s="115">
        <f t="shared" si="17"/>
        <v>0</v>
      </c>
      <c r="R46" s="115">
        <v>0</v>
      </c>
      <c r="S46" s="225">
        <f t="shared" ref="S46:S52" si="18">+H46+K46+Q46+R46+N46</f>
        <v>38666.660000000003</v>
      </c>
      <c r="T46" s="102"/>
    </row>
    <row r="47" spans="1:29" s="63" customFormat="1" x14ac:dyDescent="0.25">
      <c r="B47" s="230" t="s">
        <v>211</v>
      </c>
      <c r="C47" s="30" t="s">
        <v>212</v>
      </c>
      <c r="D47" s="231" t="s">
        <v>229</v>
      </c>
      <c r="E47" s="30" t="s">
        <v>230</v>
      </c>
      <c r="F47" s="245">
        <v>297.48624126134166</v>
      </c>
      <c r="G47" s="114">
        <f>+Perfils!$G$23</f>
        <v>67.23</v>
      </c>
      <c r="H47" s="115">
        <f t="shared" si="15"/>
        <v>20000</v>
      </c>
      <c r="I47" s="245">
        <v>406.5644801427934</v>
      </c>
      <c r="J47" s="116">
        <f>+Perfils!$G$32</f>
        <v>67.23</v>
      </c>
      <c r="K47" s="115">
        <f t="shared" si="16"/>
        <v>27333.33</v>
      </c>
      <c r="L47" s="216"/>
      <c r="M47" s="115"/>
      <c r="N47" s="115"/>
      <c r="O47" s="245">
        <v>0</v>
      </c>
      <c r="P47" s="116">
        <f>+Perfils!$G$50</f>
        <v>68.34</v>
      </c>
      <c r="Q47" s="115">
        <f t="shared" si="17"/>
        <v>0</v>
      </c>
      <c r="R47" s="115">
        <v>0</v>
      </c>
      <c r="S47" s="225">
        <f t="shared" si="18"/>
        <v>47333.33</v>
      </c>
      <c r="T47" s="102"/>
    </row>
    <row r="48" spans="1:29" s="63" customFormat="1" x14ac:dyDescent="0.25">
      <c r="B48" s="230" t="s">
        <v>211</v>
      </c>
      <c r="C48" s="30" t="s">
        <v>212</v>
      </c>
      <c r="D48" s="231" t="s">
        <v>231</v>
      </c>
      <c r="E48" s="30" t="s">
        <v>232</v>
      </c>
      <c r="F48" s="245">
        <v>128.9107541276216</v>
      </c>
      <c r="G48" s="114">
        <f>+Perfils!$G$23</f>
        <v>67.23</v>
      </c>
      <c r="H48" s="115">
        <f t="shared" si="15"/>
        <v>8666.67</v>
      </c>
      <c r="I48" s="245">
        <v>396.64837126282902</v>
      </c>
      <c r="J48" s="116">
        <f>+Perfils!$G$32</f>
        <v>67.23</v>
      </c>
      <c r="K48" s="115">
        <f t="shared" si="16"/>
        <v>26666.67</v>
      </c>
      <c r="L48" s="216"/>
      <c r="M48" s="115"/>
      <c r="N48" s="115"/>
      <c r="O48" s="245">
        <v>0</v>
      </c>
      <c r="P48" s="116">
        <f>+Perfils!$G$50</f>
        <v>68.34</v>
      </c>
      <c r="Q48" s="115">
        <f t="shared" si="17"/>
        <v>0</v>
      </c>
      <c r="R48" s="115">
        <v>0</v>
      </c>
      <c r="S48" s="225">
        <f t="shared" si="18"/>
        <v>35333.339999999997</v>
      </c>
      <c r="T48" s="102"/>
    </row>
    <row r="49" spans="1:29" s="63" customFormat="1" x14ac:dyDescent="0.25">
      <c r="B49" s="230" t="s">
        <v>211</v>
      </c>
      <c r="C49" s="30" t="s">
        <v>212</v>
      </c>
      <c r="D49" s="231" t="s">
        <v>233</v>
      </c>
      <c r="E49" s="30" t="s">
        <v>217</v>
      </c>
      <c r="F49" s="245">
        <v>198.32411125985422</v>
      </c>
      <c r="G49" s="114">
        <f>+Perfils!$G$23</f>
        <v>67.23</v>
      </c>
      <c r="H49" s="115">
        <f t="shared" si="15"/>
        <v>13333.33</v>
      </c>
      <c r="I49" s="245">
        <v>475.97798601814662</v>
      </c>
      <c r="J49" s="116">
        <f>+Perfils!$G$32</f>
        <v>67.23</v>
      </c>
      <c r="K49" s="115">
        <f t="shared" si="16"/>
        <v>32000</v>
      </c>
      <c r="L49" s="216"/>
      <c r="M49" s="115"/>
      <c r="N49" s="115"/>
      <c r="O49" s="245">
        <v>0</v>
      </c>
      <c r="P49" s="116">
        <f>+Perfils!$G$50</f>
        <v>68.34</v>
      </c>
      <c r="Q49" s="115">
        <f t="shared" si="17"/>
        <v>0</v>
      </c>
      <c r="R49" s="115">
        <v>0</v>
      </c>
      <c r="S49" s="225">
        <f t="shared" si="18"/>
        <v>45333.33</v>
      </c>
      <c r="T49" s="102"/>
    </row>
    <row r="50" spans="1:29" s="63" customFormat="1" x14ac:dyDescent="0.25">
      <c r="B50" s="230" t="s">
        <v>211</v>
      </c>
      <c r="C50" s="30" t="s">
        <v>212</v>
      </c>
      <c r="D50" s="231" t="s">
        <v>234</v>
      </c>
      <c r="E50" s="30" t="s">
        <v>218</v>
      </c>
      <c r="F50" s="245">
        <v>59.497248252268328</v>
      </c>
      <c r="G50" s="114">
        <f>+Perfils!$G$23</f>
        <v>67.23</v>
      </c>
      <c r="H50" s="115">
        <f t="shared" si="15"/>
        <v>4000</v>
      </c>
      <c r="I50" s="245">
        <v>347.06723189052508</v>
      </c>
      <c r="J50" s="116">
        <f>+Perfils!$G$32</f>
        <v>67.23</v>
      </c>
      <c r="K50" s="115">
        <f t="shared" si="16"/>
        <v>23333.33</v>
      </c>
      <c r="L50" s="216"/>
      <c r="M50" s="115"/>
      <c r="N50" s="115"/>
      <c r="O50" s="245">
        <v>0</v>
      </c>
      <c r="P50" s="116">
        <f>+Perfils!$G$50</f>
        <v>68.34</v>
      </c>
      <c r="Q50" s="115">
        <f t="shared" si="17"/>
        <v>0</v>
      </c>
      <c r="R50" s="115">
        <v>0</v>
      </c>
      <c r="S50" s="225">
        <f t="shared" si="18"/>
        <v>27333.33</v>
      </c>
      <c r="T50" s="102"/>
    </row>
    <row r="51" spans="1:29" s="63" customFormat="1" x14ac:dyDescent="0.25">
      <c r="B51" s="230" t="s">
        <v>211</v>
      </c>
      <c r="C51" s="30" t="s">
        <v>212</v>
      </c>
      <c r="D51" s="231" t="s">
        <v>235</v>
      </c>
      <c r="E51" s="30" t="s">
        <v>219</v>
      </c>
      <c r="F51" s="245">
        <v>128.9107541276216</v>
      </c>
      <c r="G51" s="114">
        <f>+Perfils!$G$23</f>
        <v>67.23</v>
      </c>
      <c r="H51" s="115">
        <f t="shared" si="15"/>
        <v>8666.67</v>
      </c>
      <c r="I51" s="245">
        <v>356.98348951360998</v>
      </c>
      <c r="J51" s="116">
        <f>+Perfils!$G$32</f>
        <v>67.23</v>
      </c>
      <c r="K51" s="115">
        <f t="shared" si="16"/>
        <v>24000</v>
      </c>
      <c r="L51" s="216"/>
      <c r="M51" s="115"/>
      <c r="N51" s="115"/>
      <c r="O51" s="245">
        <v>0</v>
      </c>
      <c r="P51" s="116">
        <f>+Perfils!$G$50</f>
        <v>68.34</v>
      </c>
      <c r="Q51" s="115">
        <f t="shared" si="17"/>
        <v>0</v>
      </c>
      <c r="R51" s="115">
        <v>0</v>
      </c>
      <c r="S51" s="225">
        <f t="shared" si="18"/>
        <v>32666.67</v>
      </c>
      <c r="T51" s="102"/>
    </row>
    <row r="52" spans="1:29" s="63" customFormat="1" ht="30" x14ac:dyDescent="0.25">
      <c r="B52" s="210" t="s">
        <v>197</v>
      </c>
      <c r="C52" s="261" t="s">
        <v>198</v>
      </c>
      <c r="D52" s="182" t="s">
        <v>199</v>
      </c>
      <c r="E52" s="182" t="s">
        <v>198</v>
      </c>
      <c r="F52" s="244">
        <v>0</v>
      </c>
      <c r="G52" s="114">
        <f>+Perfils!$G$23</f>
        <v>67.23</v>
      </c>
      <c r="H52" s="115">
        <f t="shared" si="15"/>
        <v>0</v>
      </c>
      <c r="I52" s="245">
        <v>0</v>
      </c>
      <c r="J52" s="116">
        <f>+Perfils!$G$32</f>
        <v>67.23</v>
      </c>
      <c r="K52" s="115">
        <f t="shared" si="16"/>
        <v>0</v>
      </c>
      <c r="L52" s="216"/>
      <c r="M52" s="115"/>
      <c r="N52" s="115"/>
      <c r="O52" s="245">
        <v>1063.3109452736317</v>
      </c>
      <c r="P52" s="116">
        <f>+Perfils!$G$50</f>
        <v>68.34</v>
      </c>
      <c r="Q52" s="115">
        <f t="shared" si="17"/>
        <v>72666.67</v>
      </c>
      <c r="R52" s="115">
        <v>0</v>
      </c>
      <c r="S52" s="225">
        <f t="shared" si="18"/>
        <v>72666.67</v>
      </c>
      <c r="T52" s="102"/>
    </row>
    <row r="53" spans="1:29" s="63" customFormat="1" ht="15.75" x14ac:dyDescent="0.25">
      <c r="B53" s="65" t="s">
        <v>116</v>
      </c>
      <c r="C53" s="185"/>
      <c r="D53" s="186"/>
      <c r="E53" s="187"/>
      <c r="F53" s="183">
        <f>SUM(F45:F52)</f>
        <v>1189.9449650453669</v>
      </c>
      <c r="G53" s="183"/>
      <c r="H53" s="184">
        <f>SUM(H45:H52)</f>
        <v>80000</v>
      </c>
      <c r="I53" s="183">
        <f>SUM(I45:I52)</f>
        <v>2935.1975308641972</v>
      </c>
      <c r="J53" s="183"/>
      <c r="K53" s="184">
        <f>SUM(K45:K52)</f>
        <v>197333.33000000002</v>
      </c>
      <c r="L53" s="184"/>
      <c r="M53" s="184"/>
      <c r="N53" s="184">
        <f>SUM(N45:N52)</f>
        <v>0</v>
      </c>
      <c r="O53" s="183">
        <f>SUM(O45:O52)</f>
        <v>1063.3109452736317</v>
      </c>
      <c r="P53" s="183"/>
      <c r="Q53" s="184">
        <f>SUM(Q45:Q52)</f>
        <v>72666.67</v>
      </c>
      <c r="R53" s="184">
        <f>SUM(R45:R52)</f>
        <v>0</v>
      </c>
      <c r="S53" s="184">
        <f>SUM(S45:S52)</f>
        <v>350000</v>
      </c>
    </row>
    <row r="54" spans="1:29" s="63" customFormat="1" x14ac:dyDescent="0.25">
      <c r="B54" s="2"/>
      <c r="C54" s="101"/>
      <c r="D54" s="176"/>
      <c r="E54" s="113"/>
      <c r="F54" s="114"/>
      <c r="G54" s="114"/>
      <c r="H54" s="115"/>
      <c r="I54" s="114"/>
      <c r="J54" s="116"/>
      <c r="K54" s="115"/>
      <c r="L54" s="115"/>
      <c r="M54" s="115"/>
      <c r="N54" s="115"/>
      <c r="O54" s="114"/>
      <c r="P54" s="116"/>
      <c r="Q54" s="115"/>
      <c r="R54" s="115"/>
    </row>
    <row r="55" spans="1:29" s="63" customFormat="1" x14ac:dyDescent="0.25">
      <c r="B55" s="2"/>
      <c r="C55" s="101"/>
      <c r="D55" s="176"/>
      <c r="E55" s="217" t="s">
        <v>201</v>
      </c>
      <c r="F55" s="218">
        <f>(F53/$E$43/8)/20</f>
        <v>0.92964450394169285</v>
      </c>
      <c r="G55" s="218"/>
      <c r="H55" s="218"/>
      <c r="I55" s="218">
        <f>(I53/$E$43/8)/20</f>
        <v>2.293123070987654</v>
      </c>
      <c r="J55" s="219"/>
      <c r="K55" s="220"/>
      <c r="L55" s="218"/>
      <c r="M55" s="220"/>
      <c r="N55" s="220"/>
      <c r="O55" s="218">
        <f>(O53/$E$13/8)/20</f>
        <v>3.3228467039800988</v>
      </c>
      <c r="P55" s="116"/>
      <c r="Q55" s="218">
        <f>Q54/P52</f>
        <v>0</v>
      </c>
      <c r="R55" s="114"/>
      <c r="S55" s="218">
        <f>SUM(F55:R55)</f>
        <v>6.5456142789094454</v>
      </c>
    </row>
    <row r="56" spans="1:29" x14ac:dyDescent="0.25">
      <c r="A56" s="59"/>
      <c r="B56" s="209"/>
      <c r="C56" s="58"/>
      <c r="D56" s="57"/>
      <c r="E56" s="58"/>
      <c r="F56" s="215"/>
      <c r="H56" s="57"/>
      <c r="J56" s="243"/>
      <c r="K56" s="243" t="s">
        <v>262</v>
      </c>
      <c r="L56" s="243"/>
      <c r="N56" s="184">
        <v>300151.19999999995</v>
      </c>
      <c r="U56" s="60"/>
      <c r="V56" s="60"/>
      <c r="W56" s="99"/>
      <c r="Z56" s="60"/>
      <c r="AA56" s="59"/>
      <c r="AB56" s="59"/>
      <c r="AC56" s="59"/>
    </row>
    <row r="57" spans="1:29" x14ac:dyDescent="0.25">
      <c r="J57" s="243"/>
      <c r="K57" s="243" t="s">
        <v>263</v>
      </c>
      <c r="N57" s="59">
        <f>+N56/1.21</f>
        <v>248058.84297520659</v>
      </c>
      <c r="T57" s="60"/>
      <c r="U57" s="60"/>
      <c r="V57" s="99"/>
      <c r="W57" s="60"/>
      <c r="Z57" s="59"/>
      <c r="AA57" s="59"/>
      <c r="AB57" s="59"/>
      <c r="AC57" s="59"/>
    </row>
    <row r="58" spans="1:29" x14ac:dyDescent="0.25">
      <c r="O58" s="243" t="s">
        <v>238</v>
      </c>
      <c r="T58" s="60"/>
      <c r="U58" s="60"/>
      <c r="V58" s="99"/>
      <c r="W58" s="60"/>
      <c r="Z58" s="59"/>
      <c r="AA58" s="59"/>
      <c r="AB58" s="59"/>
      <c r="AC58" s="59"/>
    </row>
    <row r="59" spans="1:29" x14ac:dyDescent="0.25">
      <c r="T59" s="60"/>
      <c r="U59" s="60"/>
      <c r="V59" s="99"/>
      <c r="W59" s="60"/>
      <c r="Z59" s="59"/>
      <c r="AA59" s="59"/>
      <c r="AB59" s="59"/>
      <c r="AC59" s="59"/>
    </row>
    <row r="60" spans="1:29" x14ac:dyDescent="0.25">
      <c r="T60" s="60"/>
      <c r="U60" s="60"/>
      <c r="V60" s="99"/>
      <c r="W60" s="60"/>
      <c r="Z60" s="59"/>
      <c r="AA60" s="59"/>
      <c r="AB60" s="59"/>
      <c r="AC60" s="59"/>
    </row>
    <row r="61" spans="1:29" x14ac:dyDescent="0.25">
      <c r="T61" s="60"/>
      <c r="U61" s="60"/>
      <c r="V61" s="99"/>
      <c r="W61" s="60"/>
      <c r="Z61" s="59"/>
      <c r="AA61" s="59"/>
      <c r="AB61" s="59"/>
      <c r="AC61" s="59"/>
    </row>
  </sheetData>
  <sheetProtection insertColumns="0" insertRows="0" sort="0" pivotTables="0"/>
  <autoFilter ref="B14:AD23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1</xdr:col>
                <xdr:colOff>200025</xdr:colOff>
                <xdr:row>27</xdr:row>
                <xdr:rowOff>190500</xdr:rowOff>
              </from>
              <to>
                <xdr:col>2</xdr:col>
                <xdr:colOff>142875</xdr:colOff>
                <xdr:row>28</xdr:row>
                <xdr:rowOff>161925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1</xdr:col>
                <xdr:colOff>200025</xdr:colOff>
                <xdr:row>27</xdr:row>
                <xdr:rowOff>190500</xdr:rowOff>
              </from>
              <to>
                <xdr:col>2</xdr:col>
                <xdr:colOff>142875</xdr:colOff>
                <xdr:row>28</xdr:row>
                <xdr:rowOff>161925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200025</xdr:colOff>
                <xdr:row>27</xdr:row>
                <xdr:rowOff>190500</xdr:rowOff>
              </from>
              <to>
                <xdr:col>2</xdr:col>
                <xdr:colOff>142875</xdr:colOff>
                <xdr:row>28</xdr:row>
                <xdr:rowOff>161925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1</xdr:col>
                <xdr:colOff>200025</xdr:colOff>
                <xdr:row>27</xdr:row>
                <xdr:rowOff>190500</xdr:rowOff>
              </from>
              <to>
                <xdr:col>2</xdr:col>
                <xdr:colOff>142875</xdr:colOff>
                <xdr:row>28</xdr:row>
                <xdr:rowOff>161925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1</xdr:col>
                <xdr:colOff>200025</xdr:colOff>
                <xdr:row>27</xdr:row>
                <xdr:rowOff>190500</xdr:rowOff>
              </from>
              <to>
                <xdr:col>2</xdr:col>
                <xdr:colOff>142875</xdr:colOff>
                <xdr:row>28</xdr:row>
                <xdr:rowOff>161925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5"/>
  <sheetViews>
    <sheetView showGridLines="0" tabSelected="1" zoomScale="80" zoomScaleNormal="8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28.28515625" customWidth="1"/>
    <col min="3" max="3" width="50.140625" bestFit="1" customWidth="1"/>
    <col min="4" max="4" width="13.85546875" customWidth="1"/>
    <col min="5" max="6" width="13.28515625" customWidth="1"/>
    <col min="7" max="7" width="17.28515625" customWidth="1"/>
    <col min="8" max="8" width="15.28515625" bestFit="1" customWidth="1"/>
    <col min="10" max="10" width="16" customWidth="1"/>
    <col min="11" max="11" width="30.5703125" bestFit="1" customWidth="1"/>
  </cols>
  <sheetData>
    <row r="1" spans="2:7" ht="15.75" thickBot="1" x14ac:dyDescent="0.3"/>
    <row r="2" spans="2:7" ht="30" x14ac:dyDescent="0.25">
      <c r="C2" s="169"/>
      <c r="D2" s="170" t="s">
        <v>175</v>
      </c>
      <c r="E2" s="170" t="s">
        <v>174</v>
      </c>
      <c r="F2" s="229"/>
    </row>
    <row r="3" spans="2:7" x14ac:dyDescent="0.25">
      <c r="C3" s="178" t="s">
        <v>236</v>
      </c>
      <c r="D3" s="228">
        <f>+ROUND(E3*1.21,2)</f>
        <v>88.48</v>
      </c>
      <c r="E3" s="179">
        <v>73.12</v>
      </c>
    </row>
    <row r="4" spans="2:7" x14ac:dyDescent="0.25">
      <c r="C4" s="178" t="s">
        <v>227</v>
      </c>
      <c r="D4" s="228">
        <f t="shared" ref="D4:D11" si="0">+ROUND(E4*1.21,2)</f>
        <v>74.87</v>
      </c>
      <c r="E4" s="179">
        <v>61.88</v>
      </c>
    </row>
    <row r="5" spans="2:7" ht="14.45" x14ac:dyDescent="0.35">
      <c r="C5" s="178" t="s">
        <v>239</v>
      </c>
      <c r="D5" s="228">
        <f t="shared" si="0"/>
        <v>68.06</v>
      </c>
      <c r="E5" s="179">
        <v>56.25</v>
      </c>
    </row>
    <row r="6" spans="2:7" x14ac:dyDescent="0.25">
      <c r="C6" s="178" t="s">
        <v>225</v>
      </c>
      <c r="D6" s="228">
        <f t="shared" si="0"/>
        <v>81.680000000000007</v>
      </c>
      <c r="E6" s="179">
        <v>67.5</v>
      </c>
    </row>
    <row r="7" spans="2:7" x14ac:dyDescent="0.25">
      <c r="C7" s="178" t="s">
        <v>237</v>
      </c>
      <c r="D7" s="228">
        <f t="shared" si="0"/>
        <v>53.78</v>
      </c>
      <c r="E7" s="179">
        <v>44.45</v>
      </c>
    </row>
    <row r="8" spans="2:7" ht="14.45" x14ac:dyDescent="0.35">
      <c r="C8" s="178" t="s">
        <v>207</v>
      </c>
      <c r="D8" s="228">
        <f t="shared" si="0"/>
        <v>48.25</v>
      </c>
      <c r="E8" s="179">
        <v>39.880000000000003</v>
      </c>
    </row>
    <row r="9" spans="2:7" ht="14.45" x14ac:dyDescent="0.35">
      <c r="C9" s="178" t="s">
        <v>248</v>
      </c>
      <c r="D9" s="228">
        <f t="shared" si="0"/>
        <v>60.09</v>
      </c>
      <c r="E9" s="179">
        <v>49.66</v>
      </c>
    </row>
    <row r="10" spans="2:7" x14ac:dyDescent="0.25">
      <c r="C10" s="178" t="s">
        <v>226</v>
      </c>
      <c r="D10" s="228">
        <f t="shared" si="0"/>
        <v>43.58</v>
      </c>
      <c r="E10" s="179">
        <v>36.020000000000003</v>
      </c>
    </row>
    <row r="11" spans="2:7" x14ac:dyDescent="0.25">
      <c r="C11" s="178" t="s">
        <v>228</v>
      </c>
      <c r="D11" s="228">
        <f t="shared" si="0"/>
        <v>32.96</v>
      </c>
      <c r="E11" s="179">
        <v>27.24</v>
      </c>
    </row>
    <row r="14" spans="2:7" ht="30" x14ac:dyDescent="0.25">
      <c r="B14" s="67" t="s">
        <v>4</v>
      </c>
      <c r="C14" s="67" t="s">
        <v>5</v>
      </c>
      <c r="D14" s="67" t="s">
        <v>6</v>
      </c>
      <c r="E14" s="201" t="s">
        <v>189</v>
      </c>
      <c r="F14" s="201" t="s">
        <v>190</v>
      </c>
      <c r="G14" s="67" t="s">
        <v>220</v>
      </c>
    </row>
    <row r="15" spans="2:7" x14ac:dyDescent="0.25">
      <c r="B15" s="274" t="s">
        <v>7</v>
      </c>
      <c r="C15" s="232" t="str">
        <f>$C$3</f>
        <v>Gestor/a de servei/Cap de projecte</v>
      </c>
      <c r="D15" s="70">
        <v>0.1</v>
      </c>
      <c r="E15" s="68">
        <f>$D$3</f>
        <v>88.48</v>
      </c>
      <c r="F15" s="68">
        <f>$E$3</f>
        <v>73.12</v>
      </c>
      <c r="G15" s="68">
        <f t="shared" ref="G15:G22" si="1">E15*D15</f>
        <v>8.8480000000000008</v>
      </c>
    </row>
    <row r="16" spans="2:7" x14ac:dyDescent="0.25">
      <c r="B16" s="275"/>
      <c r="C16" s="233" t="str">
        <f>$C$4</f>
        <v>Consultor/a sènior OPENTEXT</v>
      </c>
      <c r="D16" s="70">
        <v>0.4</v>
      </c>
      <c r="E16" s="68">
        <f>$D$4</f>
        <v>74.87</v>
      </c>
      <c r="F16" s="68">
        <f>$E$4</f>
        <v>61.88</v>
      </c>
      <c r="G16" s="68">
        <f t="shared" si="1"/>
        <v>29.948000000000004</v>
      </c>
    </row>
    <row r="17" spans="2:9" x14ac:dyDescent="0.25">
      <c r="B17" s="275"/>
      <c r="C17" s="233" t="str">
        <f>$C$6</f>
        <v>Arquitecte OPENTEXT / Responsable tècnic/a de seguretat</v>
      </c>
      <c r="D17" s="70">
        <v>0.15</v>
      </c>
      <c r="E17" s="68">
        <f>$D$6</f>
        <v>81.680000000000007</v>
      </c>
      <c r="F17" s="68">
        <f>$E$6</f>
        <v>67.5</v>
      </c>
      <c r="G17" s="68">
        <f t="shared" si="1"/>
        <v>12.252000000000001</v>
      </c>
    </row>
    <row r="18" spans="2:9" x14ac:dyDescent="0.25">
      <c r="B18" s="275"/>
      <c r="C18" s="233" t="str">
        <f>$C$9</f>
        <v>Arquitecte J2EE</v>
      </c>
      <c r="D18" s="70">
        <v>0.1</v>
      </c>
      <c r="E18" s="68">
        <f>$D$9</f>
        <v>60.09</v>
      </c>
      <c r="F18" s="68">
        <f>$E$9</f>
        <v>49.66</v>
      </c>
      <c r="G18" s="68">
        <f t="shared" si="1"/>
        <v>6.0090000000000003</v>
      </c>
    </row>
    <row r="19" spans="2:9" x14ac:dyDescent="0.25">
      <c r="B19" s="275"/>
      <c r="C19" s="233" t="str">
        <f>$C$10</f>
        <v>Analista programador/a J2EE</v>
      </c>
      <c r="D19" s="70">
        <v>0.1</v>
      </c>
      <c r="E19" s="68">
        <f>$D$10</f>
        <v>43.58</v>
      </c>
      <c r="F19" s="68">
        <f>$E$10</f>
        <v>36.020000000000003</v>
      </c>
      <c r="G19" s="68">
        <f t="shared" si="1"/>
        <v>4.3579999999999997</v>
      </c>
    </row>
    <row r="20" spans="2:9" x14ac:dyDescent="0.25">
      <c r="B20" s="275"/>
      <c r="C20" s="233" t="str">
        <f>$C$11</f>
        <v>Programador/a J2EE</v>
      </c>
      <c r="D20" s="70">
        <v>0.1</v>
      </c>
      <c r="E20" s="68">
        <f>$D$11</f>
        <v>32.96</v>
      </c>
      <c r="F20" s="68">
        <f>$E$11</f>
        <v>27.24</v>
      </c>
      <c r="G20" s="68">
        <f t="shared" si="1"/>
        <v>3.2960000000000003</v>
      </c>
      <c r="I20" t="s">
        <v>238</v>
      </c>
    </row>
    <row r="21" spans="2:9" x14ac:dyDescent="0.25">
      <c r="B21" s="275"/>
      <c r="C21" s="233" t="str">
        <f>$C$7</f>
        <v>Consultor/a SAP</v>
      </c>
      <c r="D21" s="70">
        <v>0.02</v>
      </c>
      <c r="E21" s="68">
        <f>$D$7</f>
        <v>53.78</v>
      </c>
      <c r="F21" s="68">
        <f>$E$7</f>
        <v>44.45</v>
      </c>
      <c r="G21" s="68">
        <f t="shared" si="1"/>
        <v>1.0756000000000001</v>
      </c>
    </row>
    <row r="22" spans="2:9" x14ac:dyDescent="0.25">
      <c r="B22" s="275"/>
      <c r="C22" s="233" t="str">
        <f>$C$8</f>
        <v>Analista programador/a SAP</v>
      </c>
      <c r="D22" s="70">
        <v>0.03</v>
      </c>
      <c r="E22" s="68">
        <f>$D$8</f>
        <v>48.25</v>
      </c>
      <c r="F22" s="68">
        <f>$E$8</f>
        <v>39.880000000000003</v>
      </c>
      <c r="G22" s="68">
        <f t="shared" si="1"/>
        <v>1.4475</v>
      </c>
    </row>
    <row r="23" spans="2:9" x14ac:dyDescent="0.25">
      <c r="B23" s="276"/>
      <c r="C23" s="273" t="s">
        <v>117</v>
      </c>
      <c r="D23" s="273"/>
      <c r="E23" s="273"/>
      <c r="F23" s="69"/>
      <c r="G23" s="69">
        <f>ROUND(SUM(G15:G22),2)</f>
        <v>67.23</v>
      </c>
      <c r="H23" s="117">
        <f>SUM(D15:D22)</f>
        <v>1</v>
      </c>
    </row>
    <row r="24" spans="2:9" x14ac:dyDescent="0.25">
      <c r="B24" s="274" t="s">
        <v>13</v>
      </c>
      <c r="C24" s="232" t="str">
        <f>$C$3</f>
        <v>Gestor/a de servei/Cap de projecte</v>
      </c>
      <c r="D24" s="70">
        <v>0.1</v>
      </c>
      <c r="E24" s="68">
        <f>$D$3</f>
        <v>88.48</v>
      </c>
      <c r="F24" s="68">
        <f>$E$3</f>
        <v>73.12</v>
      </c>
      <c r="G24" s="234">
        <f t="shared" ref="G24:G31" si="2">E24*D24</f>
        <v>8.8480000000000008</v>
      </c>
    </row>
    <row r="25" spans="2:9" x14ac:dyDescent="0.25">
      <c r="B25" s="275"/>
      <c r="C25" s="233" t="str">
        <f>$C$4</f>
        <v>Consultor/a sènior OPENTEXT</v>
      </c>
      <c r="D25" s="70">
        <v>0.4</v>
      </c>
      <c r="E25" s="68">
        <f>$D$4</f>
        <v>74.87</v>
      </c>
      <c r="F25" s="68">
        <f>$E$4</f>
        <v>61.88</v>
      </c>
      <c r="G25" s="234">
        <f t="shared" si="2"/>
        <v>29.948000000000004</v>
      </c>
    </row>
    <row r="26" spans="2:9" x14ac:dyDescent="0.25">
      <c r="B26" s="275"/>
      <c r="C26" s="233" t="str">
        <f>$C$6</f>
        <v>Arquitecte OPENTEXT / Responsable tècnic/a de seguretat</v>
      </c>
      <c r="D26" s="70">
        <v>0.15</v>
      </c>
      <c r="E26" s="68">
        <f>$D$6</f>
        <v>81.680000000000007</v>
      </c>
      <c r="F26" s="68">
        <f>$E$6</f>
        <v>67.5</v>
      </c>
      <c r="G26" s="234">
        <f t="shared" si="2"/>
        <v>12.252000000000001</v>
      </c>
    </row>
    <row r="27" spans="2:9" x14ac:dyDescent="0.25">
      <c r="B27" s="275"/>
      <c r="C27" s="233" t="str">
        <f>$C$9</f>
        <v>Arquitecte J2EE</v>
      </c>
      <c r="D27" s="70">
        <v>0.1</v>
      </c>
      <c r="E27" s="68">
        <f>$D$9</f>
        <v>60.09</v>
      </c>
      <c r="F27" s="68">
        <f>$E$9</f>
        <v>49.66</v>
      </c>
      <c r="G27" s="234">
        <f t="shared" si="2"/>
        <v>6.0090000000000003</v>
      </c>
    </row>
    <row r="28" spans="2:9" x14ac:dyDescent="0.25">
      <c r="B28" s="275"/>
      <c r="C28" s="233" t="str">
        <f>$C$10</f>
        <v>Analista programador/a J2EE</v>
      </c>
      <c r="D28" s="70">
        <v>0.1</v>
      </c>
      <c r="E28" s="68">
        <f>$D$10</f>
        <v>43.58</v>
      </c>
      <c r="F28" s="68">
        <f>$E$10</f>
        <v>36.020000000000003</v>
      </c>
      <c r="G28" s="234">
        <f t="shared" si="2"/>
        <v>4.3579999999999997</v>
      </c>
    </row>
    <row r="29" spans="2:9" x14ac:dyDescent="0.25">
      <c r="B29" s="275"/>
      <c r="C29" s="233" t="str">
        <f>$C$11</f>
        <v>Programador/a J2EE</v>
      </c>
      <c r="D29" s="70">
        <v>0.1</v>
      </c>
      <c r="E29" s="68">
        <f>$D$11</f>
        <v>32.96</v>
      </c>
      <c r="F29" s="68">
        <f>$E$11</f>
        <v>27.24</v>
      </c>
      <c r="G29" s="234">
        <f t="shared" si="2"/>
        <v>3.2960000000000003</v>
      </c>
    </row>
    <row r="30" spans="2:9" x14ac:dyDescent="0.25">
      <c r="B30" s="275"/>
      <c r="C30" s="233" t="str">
        <f>$C$7</f>
        <v>Consultor/a SAP</v>
      </c>
      <c r="D30" s="70">
        <v>0.02</v>
      </c>
      <c r="E30" s="68">
        <f>$D$7</f>
        <v>53.78</v>
      </c>
      <c r="F30" s="68">
        <f>$E$7</f>
        <v>44.45</v>
      </c>
      <c r="G30" s="234">
        <f t="shared" si="2"/>
        <v>1.0756000000000001</v>
      </c>
    </row>
    <row r="31" spans="2:9" x14ac:dyDescent="0.25">
      <c r="B31" s="275"/>
      <c r="C31" s="233" t="str">
        <f>$C$8</f>
        <v>Analista programador/a SAP</v>
      </c>
      <c r="D31" s="70">
        <v>0.03</v>
      </c>
      <c r="E31" s="68">
        <f>$D$8</f>
        <v>48.25</v>
      </c>
      <c r="F31" s="68">
        <f>$E$8</f>
        <v>39.880000000000003</v>
      </c>
      <c r="G31" s="234">
        <f t="shared" si="2"/>
        <v>1.4475</v>
      </c>
    </row>
    <row r="32" spans="2:9" x14ac:dyDescent="0.25">
      <c r="B32" s="276"/>
      <c r="C32" s="273" t="s">
        <v>117</v>
      </c>
      <c r="D32" s="273"/>
      <c r="E32" s="273"/>
      <c r="F32" s="69"/>
      <c r="G32" s="69">
        <f>ROUND(SUM(G24:G31),2)</f>
        <v>67.23</v>
      </c>
      <c r="H32" s="117">
        <f>SUM(D24:D31)</f>
        <v>1</v>
      </c>
    </row>
    <row r="33" spans="2:8" ht="15" customHeight="1" x14ac:dyDescent="0.25">
      <c r="B33" s="274" t="s">
        <v>221</v>
      </c>
      <c r="C33" s="232" t="str">
        <f>$C$3</f>
        <v>Gestor/a de servei/Cap de projecte</v>
      </c>
      <c r="D33" s="70">
        <v>0.1</v>
      </c>
      <c r="E33" s="68">
        <f>$D$3</f>
        <v>88.48</v>
      </c>
      <c r="F33" s="68">
        <f>$E$3</f>
        <v>73.12</v>
      </c>
      <c r="G33" s="234">
        <f t="shared" ref="G33:G40" si="3">E33*D33</f>
        <v>8.8480000000000008</v>
      </c>
    </row>
    <row r="34" spans="2:8" x14ac:dyDescent="0.25">
      <c r="B34" s="275"/>
      <c r="C34" s="233" t="str">
        <f>$C$4</f>
        <v>Consultor/a sènior OPENTEXT</v>
      </c>
      <c r="D34" s="70">
        <v>0.4</v>
      </c>
      <c r="E34" s="68">
        <f>$D$4</f>
        <v>74.87</v>
      </c>
      <c r="F34" s="68">
        <f>$E$4</f>
        <v>61.88</v>
      </c>
      <c r="G34" s="234">
        <f t="shared" si="3"/>
        <v>29.948000000000004</v>
      </c>
    </row>
    <row r="35" spans="2:8" x14ac:dyDescent="0.25">
      <c r="B35" s="275"/>
      <c r="C35" s="233" t="str">
        <f>$C$6</f>
        <v>Arquitecte OPENTEXT / Responsable tècnic/a de seguretat</v>
      </c>
      <c r="D35" s="70">
        <v>0.15</v>
      </c>
      <c r="E35" s="68">
        <f>$D$6</f>
        <v>81.680000000000007</v>
      </c>
      <c r="F35" s="68">
        <f>$E$6</f>
        <v>67.5</v>
      </c>
      <c r="G35" s="234">
        <f t="shared" si="3"/>
        <v>12.252000000000001</v>
      </c>
    </row>
    <row r="36" spans="2:8" x14ac:dyDescent="0.25">
      <c r="B36" s="275"/>
      <c r="C36" s="233" t="str">
        <f>$C$9</f>
        <v>Arquitecte J2EE</v>
      </c>
      <c r="D36" s="70">
        <v>0.1</v>
      </c>
      <c r="E36" s="68">
        <f>$D$9</f>
        <v>60.09</v>
      </c>
      <c r="F36" s="68">
        <f>$E$9</f>
        <v>49.66</v>
      </c>
      <c r="G36" s="234">
        <f t="shared" si="3"/>
        <v>6.0090000000000003</v>
      </c>
    </row>
    <row r="37" spans="2:8" x14ac:dyDescent="0.25">
      <c r="B37" s="275"/>
      <c r="C37" s="233" t="str">
        <f>$C$10</f>
        <v>Analista programador/a J2EE</v>
      </c>
      <c r="D37" s="70">
        <v>0.1</v>
      </c>
      <c r="E37" s="68">
        <f>$D$10</f>
        <v>43.58</v>
      </c>
      <c r="F37" s="68">
        <f>$E$10</f>
        <v>36.020000000000003</v>
      </c>
      <c r="G37" s="234">
        <f t="shared" si="3"/>
        <v>4.3579999999999997</v>
      </c>
    </row>
    <row r="38" spans="2:8" x14ac:dyDescent="0.25">
      <c r="B38" s="275"/>
      <c r="C38" s="233" t="str">
        <f>$C$11</f>
        <v>Programador/a J2EE</v>
      </c>
      <c r="D38" s="70">
        <v>0.1</v>
      </c>
      <c r="E38" s="68">
        <f>$D$11</f>
        <v>32.96</v>
      </c>
      <c r="F38" s="68">
        <f>$E$11</f>
        <v>27.24</v>
      </c>
      <c r="G38" s="234">
        <f t="shared" si="3"/>
        <v>3.2960000000000003</v>
      </c>
    </row>
    <row r="39" spans="2:8" x14ac:dyDescent="0.25">
      <c r="B39" s="275"/>
      <c r="C39" s="233" t="str">
        <f>$C$7</f>
        <v>Consultor/a SAP</v>
      </c>
      <c r="D39" s="70">
        <v>0.02</v>
      </c>
      <c r="E39" s="68">
        <f>$D$7</f>
        <v>53.78</v>
      </c>
      <c r="F39" s="68">
        <f>$E$7</f>
        <v>44.45</v>
      </c>
      <c r="G39" s="234">
        <f t="shared" si="3"/>
        <v>1.0756000000000001</v>
      </c>
    </row>
    <row r="40" spans="2:8" x14ac:dyDescent="0.25">
      <c r="B40" s="275"/>
      <c r="C40" s="233" t="str">
        <f>$C$8</f>
        <v>Analista programador/a SAP</v>
      </c>
      <c r="D40" s="70">
        <v>0.03</v>
      </c>
      <c r="E40" s="68">
        <f>$D$8</f>
        <v>48.25</v>
      </c>
      <c r="F40" s="68">
        <f>$E$8</f>
        <v>39.880000000000003</v>
      </c>
      <c r="G40" s="234">
        <f t="shared" si="3"/>
        <v>1.4475</v>
      </c>
    </row>
    <row r="41" spans="2:8" x14ac:dyDescent="0.25">
      <c r="B41" s="276"/>
      <c r="C41" s="273" t="s">
        <v>117</v>
      </c>
      <c r="D41" s="273"/>
      <c r="E41" s="273"/>
      <c r="F41" s="69"/>
      <c r="G41" s="69">
        <f>ROUND(SUM(G33:G40),2)</f>
        <v>67.23</v>
      </c>
      <c r="H41" s="117">
        <f>SUM(D33:D40)</f>
        <v>1</v>
      </c>
    </row>
    <row r="42" spans="2:8" ht="15" customHeight="1" x14ac:dyDescent="0.25">
      <c r="B42" s="274" t="s">
        <v>195</v>
      </c>
      <c r="C42" s="232" t="str">
        <f>$C$3</f>
        <v>Gestor/a de servei/Cap de projecte</v>
      </c>
      <c r="D42" s="70">
        <v>0.05</v>
      </c>
      <c r="E42" s="68">
        <f>$D$3</f>
        <v>88.48</v>
      </c>
      <c r="F42" s="68">
        <f>$E$3</f>
        <v>73.12</v>
      </c>
      <c r="G42" s="68">
        <f t="shared" ref="G42:G49" si="4">E42*D42</f>
        <v>4.4240000000000004</v>
      </c>
    </row>
    <row r="43" spans="2:8" x14ac:dyDescent="0.25">
      <c r="B43" s="275"/>
      <c r="C43" s="233" t="str">
        <f>$C$4</f>
        <v>Consultor/a sènior OPENTEXT</v>
      </c>
      <c r="D43" s="70">
        <v>0.05</v>
      </c>
      <c r="E43" s="235">
        <f>$D$4</f>
        <v>74.87</v>
      </c>
      <c r="F43" s="235">
        <f>$E$4</f>
        <v>61.88</v>
      </c>
      <c r="G43" s="68">
        <f t="shared" ref="G43" si="5">E43*D43</f>
        <v>3.7435000000000005</v>
      </c>
    </row>
    <row r="44" spans="2:8" x14ac:dyDescent="0.25">
      <c r="B44" s="275"/>
      <c r="C44" s="233" t="str">
        <f>$C$5</f>
        <v>Consultor/a OPENTEXT</v>
      </c>
      <c r="D44" s="70">
        <v>0.4</v>
      </c>
      <c r="E44" s="235">
        <f>$D$5</f>
        <v>68.06</v>
      </c>
      <c r="F44" s="235">
        <f>$E$5</f>
        <v>56.25</v>
      </c>
      <c r="G44" s="68">
        <f t="shared" si="4"/>
        <v>27.224000000000004</v>
      </c>
    </row>
    <row r="45" spans="2:8" x14ac:dyDescent="0.25">
      <c r="B45" s="275"/>
      <c r="C45" s="233" t="str">
        <f>+$C$6</f>
        <v>Arquitecte OPENTEXT / Responsable tècnic/a de seguretat</v>
      </c>
      <c r="D45" s="70">
        <v>0.22</v>
      </c>
      <c r="E45" s="68">
        <f>$D$6</f>
        <v>81.680000000000007</v>
      </c>
      <c r="F45" s="68">
        <f>$E$6</f>
        <v>67.5</v>
      </c>
      <c r="G45" s="68">
        <f t="shared" si="4"/>
        <v>17.969600000000003</v>
      </c>
    </row>
    <row r="46" spans="2:8" x14ac:dyDescent="0.25">
      <c r="B46" s="275"/>
      <c r="C46" s="233" t="str">
        <f>+$C$9</f>
        <v>Arquitecte J2EE</v>
      </c>
      <c r="D46" s="70">
        <v>0.15</v>
      </c>
      <c r="E46" s="68">
        <f>$D$9</f>
        <v>60.09</v>
      </c>
      <c r="F46" s="68">
        <f>$E$9</f>
        <v>49.66</v>
      </c>
      <c r="G46" s="68">
        <f t="shared" si="4"/>
        <v>9.0135000000000005</v>
      </c>
    </row>
    <row r="47" spans="2:8" x14ac:dyDescent="0.25">
      <c r="B47" s="275"/>
      <c r="C47" s="233" t="str">
        <f>+$C$10</f>
        <v>Analista programador/a J2EE</v>
      </c>
      <c r="D47" s="70">
        <v>0.09</v>
      </c>
      <c r="E47" s="68">
        <f>$D$10</f>
        <v>43.58</v>
      </c>
      <c r="F47" s="68">
        <f>$E$10</f>
        <v>36.020000000000003</v>
      </c>
      <c r="G47" s="68">
        <f t="shared" si="4"/>
        <v>3.9221999999999997</v>
      </c>
    </row>
    <row r="48" spans="2:8" x14ac:dyDescent="0.25">
      <c r="B48" s="275"/>
      <c r="C48" s="233" t="str">
        <f>$C$7</f>
        <v>Consultor/a SAP</v>
      </c>
      <c r="D48" s="70">
        <v>0.02</v>
      </c>
      <c r="E48" s="68">
        <f>$D$7</f>
        <v>53.78</v>
      </c>
      <c r="F48" s="68">
        <f>$E$7</f>
        <v>44.45</v>
      </c>
      <c r="G48" s="68">
        <f t="shared" si="4"/>
        <v>1.0756000000000001</v>
      </c>
    </row>
    <row r="49" spans="2:9" x14ac:dyDescent="0.25">
      <c r="B49" s="275"/>
      <c r="C49" s="233" t="str">
        <f>$C$8</f>
        <v>Analista programador/a SAP</v>
      </c>
      <c r="D49" s="70">
        <v>0.02</v>
      </c>
      <c r="E49" s="68">
        <f>$D$8</f>
        <v>48.25</v>
      </c>
      <c r="F49" s="68">
        <f>$E$8</f>
        <v>39.880000000000003</v>
      </c>
      <c r="G49" s="68">
        <f t="shared" si="4"/>
        <v>0.96499999999999997</v>
      </c>
    </row>
    <row r="50" spans="2:9" x14ac:dyDescent="0.25">
      <c r="B50" s="276"/>
      <c r="C50" s="273" t="s">
        <v>117</v>
      </c>
      <c r="D50" s="273"/>
      <c r="E50" s="273"/>
      <c r="F50" s="69"/>
      <c r="G50" s="69">
        <f>ROUND(SUM(G42:G49),2)</f>
        <v>68.34</v>
      </c>
      <c r="H50" s="117">
        <f>SUM(D42:D49)</f>
        <v>1</v>
      </c>
    </row>
    <row r="55" spans="2:9" x14ac:dyDescent="0.25">
      <c r="I55" t="s">
        <v>238</v>
      </c>
    </row>
  </sheetData>
  <mergeCells count="8">
    <mergeCell ref="C23:E23"/>
    <mergeCell ref="C32:E32"/>
    <mergeCell ref="C50:E50"/>
    <mergeCell ref="C41:E41"/>
    <mergeCell ref="B15:B23"/>
    <mergeCell ref="B24:B32"/>
    <mergeCell ref="B33:B41"/>
    <mergeCell ref="B42:B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0"/>
  <sheetViews>
    <sheetView showGridLines="0" zoomScale="90" zoomScaleNormal="90" workbookViewId="0">
      <selection activeCell="E51" sqref="E51"/>
    </sheetView>
  </sheetViews>
  <sheetFormatPr baseColWidth="10" defaultColWidth="10.85546875" defaultRowHeight="12.75" x14ac:dyDescent="0.2"/>
  <cols>
    <col min="1" max="1" width="29.140625" style="75" customWidth="1"/>
    <col min="2" max="2" width="16.42578125" style="75" customWidth="1"/>
    <col min="3" max="3" width="14" style="75" customWidth="1"/>
    <col min="4" max="4" width="13.28515625" style="75" customWidth="1"/>
    <col min="5" max="5" width="13.85546875" style="75" customWidth="1"/>
    <col min="6" max="6" width="13.42578125" style="75" customWidth="1"/>
    <col min="7" max="7" width="14.28515625" style="75" customWidth="1"/>
    <col min="8" max="8" width="13.5703125" style="75" customWidth="1"/>
    <col min="9" max="9" width="12.5703125" style="75" customWidth="1"/>
    <col min="10" max="10" width="12.42578125" style="75" customWidth="1"/>
    <col min="11" max="11" width="12.140625" style="75" customWidth="1"/>
    <col min="12" max="12" width="13.140625" style="75" customWidth="1"/>
    <col min="13" max="13" width="13.42578125" style="75" customWidth="1"/>
    <col min="14" max="14" width="13.42578125" style="75" bestFit="1" customWidth="1"/>
    <col min="15" max="15" width="12.42578125" style="75" customWidth="1"/>
    <col min="16" max="16" width="18.140625" style="75" customWidth="1"/>
    <col min="17" max="16384" width="10.85546875" style="75"/>
  </cols>
  <sheetData>
    <row r="2" spans="1:16" x14ac:dyDescent="0.2">
      <c r="A2" s="74" t="s">
        <v>129</v>
      </c>
    </row>
    <row r="4" spans="1:16" x14ac:dyDescent="0.2">
      <c r="A4" s="76"/>
      <c r="B4" s="281">
        <v>2022</v>
      </c>
      <c r="C4" s="282"/>
      <c r="D4" s="283"/>
      <c r="E4" s="281">
        <v>2023</v>
      </c>
      <c r="F4" s="282"/>
      <c r="G4" s="283"/>
      <c r="H4" s="281">
        <v>2024</v>
      </c>
      <c r="I4" s="282"/>
      <c r="J4" s="283"/>
      <c r="K4" s="281">
        <v>2025</v>
      </c>
      <c r="L4" s="282"/>
      <c r="M4" s="283"/>
    </row>
    <row r="5" spans="1:16" x14ac:dyDescent="0.2">
      <c r="A5" s="77" t="s">
        <v>131</v>
      </c>
      <c r="B5" s="78" t="s">
        <v>123</v>
      </c>
      <c r="C5" s="79" t="s">
        <v>124</v>
      </c>
      <c r="D5" s="79" t="s">
        <v>122</v>
      </c>
      <c r="E5" s="79" t="s">
        <v>123</v>
      </c>
      <c r="F5" s="79" t="s">
        <v>124</v>
      </c>
      <c r="G5" s="79" t="s">
        <v>122</v>
      </c>
      <c r="H5" s="79" t="s">
        <v>123</v>
      </c>
      <c r="I5" s="79" t="s">
        <v>124</v>
      </c>
      <c r="J5" s="79" t="s">
        <v>122</v>
      </c>
      <c r="K5" s="79" t="s">
        <v>123</v>
      </c>
      <c r="L5" s="79" t="s">
        <v>124</v>
      </c>
      <c r="M5" s="79" t="s">
        <v>122</v>
      </c>
      <c r="N5" s="79" t="s">
        <v>139</v>
      </c>
      <c r="O5" s="79" t="s">
        <v>140</v>
      </c>
      <c r="P5" s="79" t="s">
        <v>141</v>
      </c>
    </row>
    <row r="6" spans="1:16" x14ac:dyDescent="0.2">
      <c r="A6" s="80" t="s">
        <v>7</v>
      </c>
      <c r="B6" s="122">
        <f>ROUND('Càlcul pressupost '!F6/1.21,2)</f>
        <v>16528.93</v>
      </c>
      <c r="C6" s="122">
        <f>ROUND(B6*0.21,2)</f>
        <v>3471.08</v>
      </c>
      <c r="D6" s="122">
        <f>+B6+C6</f>
        <v>20000.010000000002</v>
      </c>
      <c r="E6" s="122">
        <f>ROUND('Càlcul pressupost '!G6/1.21,2)</f>
        <v>99173.55</v>
      </c>
      <c r="F6" s="122">
        <f t="shared" ref="F6:F7" si="0">ROUND(E6*0.21,2)</f>
        <v>20826.45</v>
      </c>
      <c r="G6" s="122">
        <f t="shared" ref="G6:G7" si="1">+E6+F6</f>
        <v>120000</v>
      </c>
      <c r="H6" s="122">
        <f>ROUND('Càlcul pressupost '!H6/1.21,2)</f>
        <v>99173.55</v>
      </c>
      <c r="I6" s="122">
        <f t="shared" ref="I6:I7" si="2">ROUND(H6*0.21,2)</f>
        <v>20826.45</v>
      </c>
      <c r="J6" s="122">
        <f t="shared" ref="J6:J7" si="3">+H6+I6</f>
        <v>120000</v>
      </c>
      <c r="K6" s="122">
        <f>ROUND('Càlcul pressupost '!I6/1.21,2)</f>
        <v>66115.7</v>
      </c>
      <c r="L6" s="122">
        <f t="shared" ref="L6" si="4">ROUND(K6*0.21,2)</f>
        <v>13884.3</v>
      </c>
      <c r="M6" s="122">
        <f t="shared" ref="M6:M7" si="5">+K6+L6</f>
        <v>80000</v>
      </c>
      <c r="N6" s="122">
        <f>+B6+E6+H6+K6</f>
        <v>280991.73000000004</v>
      </c>
      <c r="O6" s="122">
        <f>+C6+F6+I6+L6</f>
        <v>59008.28</v>
      </c>
      <c r="P6" s="122">
        <f>+D6+G6+J6+M6</f>
        <v>340000.01</v>
      </c>
    </row>
    <row r="7" spans="1:16" x14ac:dyDescent="0.2">
      <c r="A7" s="80" t="s">
        <v>13</v>
      </c>
      <c r="B7" s="122">
        <f>ROUND('Càlcul pressupost '!F7/1.21,2)</f>
        <v>58333.33</v>
      </c>
      <c r="C7" s="122">
        <f t="shared" ref="C7:C9" si="6">ROUND(B7*0.21,2)</f>
        <v>12250</v>
      </c>
      <c r="D7" s="122">
        <f t="shared" ref="D7" si="7">+B7+C7</f>
        <v>70583.33</v>
      </c>
      <c r="E7" s="122">
        <f>ROUND('Càlcul pressupost '!G7/1.21,2)</f>
        <v>244628.1</v>
      </c>
      <c r="F7" s="122">
        <f t="shared" si="0"/>
        <v>51371.9</v>
      </c>
      <c r="G7" s="122">
        <f t="shared" si="1"/>
        <v>296000</v>
      </c>
      <c r="H7" s="122">
        <f>ROUND('Càlcul pressupost '!H7/1.21,2)</f>
        <v>244628.1</v>
      </c>
      <c r="I7" s="122">
        <f t="shared" si="2"/>
        <v>51371.9</v>
      </c>
      <c r="J7" s="122">
        <f t="shared" si="3"/>
        <v>296000</v>
      </c>
      <c r="K7" s="122">
        <f>ROUND('Càlcul pressupost '!I7/1.21,2)</f>
        <v>163085.4</v>
      </c>
      <c r="L7" s="269">
        <f>ROUND(K7*0.21,2)+0.02</f>
        <v>34247.949999999997</v>
      </c>
      <c r="M7" s="122">
        <f t="shared" si="5"/>
        <v>197333.34999999998</v>
      </c>
      <c r="N7" s="122">
        <f t="shared" ref="N7:N9" si="8">+B7+E7+H7+K7</f>
        <v>710674.93</v>
      </c>
      <c r="O7" s="122">
        <f t="shared" ref="O7:O9" si="9">+C7+F7+I7+L7</f>
        <v>149241.75</v>
      </c>
      <c r="P7" s="122">
        <f t="shared" ref="P7:P9" si="10">+D7+G7+J7+M7</f>
        <v>859916.68</v>
      </c>
    </row>
    <row r="8" spans="1:16" x14ac:dyDescent="0.2">
      <c r="A8" s="80" t="s">
        <v>221</v>
      </c>
      <c r="B8" s="122">
        <f>ROUND('Càlcul pressupost '!F8/1.21,2)</f>
        <v>107895.69</v>
      </c>
      <c r="C8" s="122">
        <f t="shared" ref="C8" si="11">ROUND(B8*0.21,2)</f>
        <v>22658.09</v>
      </c>
      <c r="D8" s="122">
        <f t="shared" ref="D8" si="12">+B8+C8</f>
        <v>130553.78</v>
      </c>
      <c r="E8" s="122">
        <f>ROUND('Càlcul pressupost '!G8/1.21,2)</f>
        <v>372088.26</v>
      </c>
      <c r="F8" s="122">
        <f t="shared" ref="F8" si="13">ROUND(E8*0.21,2)</f>
        <v>78138.53</v>
      </c>
      <c r="G8" s="122">
        <f t="shared" ref="G8" si="14">+E8+F8</f>
        <v>450226.79000000004</v>
      </c>
      <c r="H8" s="122">
        <f>ROUND('Càlcul pressupost '!H8/1.21,2)</f>
        <v>372088.26</v>
      </c>
      <c r="I8" s="122">
        <f t="shared" ref="I8" si="15">ROUND(H8*0.21,2)</f>
        <v>78138.53</v>
      </c>
      <c r="J8" s="122">
        <f t="shared" ref="J8" si="16">+H8+I8</f>
        <v>450226.79000000004</v>
      </c>
      <c r="K8" s="122">
        <f>ROUND('Càlcul pressupost '!I8/1.21,2)</f>
        <v>0</v>
      </c>
      <c r="L8" s="122">
        <f t="shared" ref="L8" si="17">ROUND(K8*0.21,2)</f>
        <v>0</v>
      </c>
      <c r="M8" s="122">
        <f t="shared" ref="M8" si="18">+K8+L8</f>
        <v>0</v>
      </c>
      <c r="N8" s="122">
        <f t="shared" si="8"/>
        <v>852072.21</v>
      </c>
      <c r="O8" s="122">
        <f t="shared" si="9"/>
        <v>178935.15</v>
      </c>
      <c r="P8" s="122">
        <f t="shared" si="10"/>
        <v>1031007.3600000001</v>
      </c>
    </row>
    <row r="9" spans="1:16" x14ac:dyDescent="0.2">
      <c r="A9" s="81" t="s">
        <v>195</v>
      </c>
      <c r="B9" s="122">
        <f>ROUND('Càlcul pressupost '!F9/1.21,2)</f>
        <v>15013.78</v>
      </c>
      <c r="C9" s="122">
        <f t="shared" si="6"/>
        <v>3152.89</v>
      </c>
      <c r="D9" s="122">
        <f>+B9+C9</f>
        <v>18166.670000000002</v>
      </c>
      <c r="E9" s="122">
        <f>ROUND('Càlcul pressupost '!G9/1.21,2)</f>
        <v>90082.64</v>
      </c>
      <c r="F9" s="122">
        <f>ROUND(E9*0.21,2)</f>
        <v>18917.349999999999</v>
      </c>
      <c r="G9" s="122">
        <f>+E9+F9</f>
        <v>108999.98999999999</v>
      </c>
      <c r="H9" s="122">
        <f>ROUND('Càlcul pressupost '!H9/1.21,2)</f>
        <v>90082.64</v>
      </c>
      <c r="I9" s="122">
        <f>ROUND(H9*0.21,2)</f>
        <v>18917.349999999999</v>
      </c>
      <c r="J9" s="122">
        <f>+H9+I9</f>
        <v>108999.98999999999</v>
      </c>
      <c r="K9" s="122">
        <f>ROUND('Càlcul pressupost '!I9/1.21,2)</f>
        <v>60055.1</v>
      </c>
      <c r="L9" s="122">
        <f>ROUND(K9*0.21,2)</f>
        <v>12611.57</v>
      </c>
      <c r="M9" s="122">
        <f>+K9+L9</f>
        <v>72666.67</v>
      </c>
      <c r="N9" s="122">
        <f t="shared" si="8"/>
        <v>255234.16</v>
      </c>
      <c r="O9" s="122">
        <f t="shared" si="9"/>
        <v>53599.159999999996</v>
      </c>
      <c r="P9" s="122">
        <f t="shared" si="10"/>
        <v>308833.31999999995</v>
      </c>
    </row>
    <row r="10" spans="1:16" x14ac:dyDescent="0.2">
      <c r="B10" s="118">
        <f t="shared" ref="B10:P10" si="19">SUM(B6:B9)</f>
        <v>197771.73</v>
      </c>
      <c r="C10" s="118">
        <f t="shared" si="19"/>
        <v>41532.06</v>
      </c>
      <c r="D10" s="118">
        <f t="shared" si="19"/>
        <v>239303.79</v>
      </c>
      <c r="E10" s="118">
        <f t="shared" si="19"/>
        <v>805972.55</v>
      </c>
      <c r="F10" s="118">
        <f t="shared" si="19"/>
        <v>169254.23</v>
      </c>
      <c r="G10" s="118">
        <f t="shared" si="19"/>
        <v>975226.78</v>
      </c>
      <c r="H10" s="118">
        <f t="shared" si="19"/>
        <v>805972.55</v>
      </c>
      <c r="I10" s="118">
        <f t="shared" si="19"/>
        <v>169254.23</v>
      </c>
      <c r="J10" s="118">
        <f t="shared" si="19"/>
        <v>975226.78</v>
      </c>
      <c r="K10" s="118">
        <f t="shared" si="19"/>
        <v>289256.19999999995</v>
      </c>
      <c r="L10" s="118">
        <f t="shared" si="19"/>
        <v>60743.82</v>
      </c>
      <c r="M10" s="118">
        <f t="shared" si="19"/>
        <v>350000.01999999996</v>
      </c>
      <c r="N10" s="118">
        <f t="shared" si="19"/>
        <v>2098973.0300000003</v>
      </c>
      <c r="O10" s="118">
        <f t="shared" si="19"/>
        <v>440784.33999999997</v>
      </c>
      <c r="P10" s="247">
        <f t="shared" si="19"/>
        <v>2539757.3699999996</v>
      </c>
    </row>
    <row r="11" spans="1:16" x14ac:dyDescent="0.2">
      <c r="P11" s="98"/>
    </row>
    <row r="12" spans="1:16" x14ac:dyDescent="0.2">
      <c r="A12" s="82" t="s">
        <v>128</v>
      </c>
    </row>
    <row r="13" spans="1:16" x14ac:dyDescent="0.2">
      <c r="A13" s="82"/>
      <c r="N13" s="75" t="s">
        <v>238</v>
      </c>
      <c r="P13" s="75" t="s">
        <v>238</v>
      </c>
    </row>
    <row r="14" spans="1:16" ht="18" customHeight="1" x14ac:dyDescent="0.2">
      <c r="A14" s="83" t="s">
        <v>154</v>
      </c>
    </row>
    <row r="15" spans="1:16" ht="21" customHeight="1" x14ac:dyDescent="0.2">
      <c r="A15" s="83" t="s">
        <v>125</v>
      </c>
      <c r="B15" s="83" t="s">
        <v>126</v>
      </c>
      <c r="C15" s="83" t="s">
        <v>127</v>
      </c>
      <c r="D15" s="83" t="s">
        <v>122</v>
      </c>
    </row>
    <row r="16" spans="1:16" x14ac:dyDescent="0.2">
      <c r="A16" s="84">
        <v>2022</v>
      </c>
      <c r="B16" s="119">
        <f>+B10</f>
        <v>197771.73</v>
      </c>
      <c r="C16" s="119">
        <f>+C10</f>
        <v>41532.06</v>
      </c>
      <c r="D16" s="119">
        <f t="shared" ref="D16" si="20">+B16+C16</f>
        <v>239303.79</v>
      </c>
      <c r="E16" s="284" t="s">
        <v>257</v>
      </c>
      <c r="F16" s="285"/>
      <c r="G16" s="285"/>
      <c r="H16" s="285"/>
      <c r="I16" s="285"/>
      <c r="J16" s="285"/>
      <c r="K16" s="285"/>
      <c r="L16" s="285"/>
      <c r="M16" s="285"/>
      <c r="N16" s="285"/>
    </row>
    <row r="17" spans="1:15" x14ac:dyDescent="0.2">
      <c r="A17" s="84">
        <v>2023</v>
      </c>
      <c r="B17" s="119">
        <f>+E10</f>
        <v>805972.55</v>
      </c>
      <c r="C17" s="119">
        <f>+F10</f>
        <v>169254.23</v>
      </c>
      <c r="D17" s="119">
        <f>+G10</f>
        <v>975226.78</v>
      </c>
      <c r="E17" s="284"/>
      <c r="F17" s="285"/>
      <c r="G17" s="285"/>
      <c r="H17" s="285"/>
      <c r="I17" s="285"/>
      <c r="J17" s="285"/>
      <c r="K17" s="285"/>
      <c r="L17" s="285"/>
      <c r="M17" s="285"/>
      <c r="N17" s="285"/>
    </row>
    <row r="18" spans="1:15" x14ac:dyDescent="0.2">
      <c r="A18" s="84">
        <v>2024</v>
      </c>
      <c r="B18" s="119">
        <f>+H10</f>
        <v>805972.55</v>
      </c>
      <c r="C18" s="119">
        <f>+I10</f>
        <v>169254.23</v>
      </c>
      <c r="D18" s="119">
        <f>+J10</f>
        <v>975226.78</v>
      </c>
      <c r="E18" s="284"/>
      <c r="F18" s="285"/>
      <c r="G18" s="285"/>
      <c r="H18" s="285"/>
      <c r="I18" s="285"/>
      <c r="J18" s="285"/>
      <c r="K18" s="285"/>
      <c r="L18" s="285"/>
      <c r="M18" s="285"/>
      <c r="N18" s="285"/>
    </row>
    <row r="19" spans="1:15" x14ac:dyDescent="0.2">
      <c r="A19" s="84">
        <v>2025</v>
      </c>
      <c r="B19" s="119">
        <f>+K10</f>
        <v>289256.19999999995</v>
      </c>
      <c r="C19" s="119">
        <f>+L10</f>
        <v>60743.82</v>
      </c>
      <c r="D19" s="119">
        <f>+M10</f>
        <v>350000.01999999996</v>
      </c>
      <c r="E19" s="284"/>
      <c r="F19" s="285"/>
      <c r="G19" s="285"/>
      <c r="H19" s="285"/>
      <c r="I19" s="285"/>
      <c r="J19" s="285"/>
      <c r="K19" s="285"/>
      <c r="L19" s="285"/>
      <c r="M19" s="285"/>
      <c r="N19" s="285"/>
    </row>
    <row r="20" spans="1:15" x14ac:dyDescent="0.2">
      <c r="A20" s="84" t="s">
        <v>116</v>
      </c>
      <c r="B20" s="120">
        <f>SUM(B16:B19)</f>
        <v>2098973.0300000003</v>
      </c>
      <c r="C20" s="120">
        <f>SUM(C16:C19)</f>
        <v>440784.34</v>
      </c>
      <c r="D20" s="120">
        <f>SUM(D16:D19)</f>
        <v>2539757.37</v>
      </c>
      <c r="E20" s="284"/>
      <c r="F20" s="285"/>
      <c r="G20" s="285"/>
      <c r="H20" s="285"/>
      <c r="I20" s="285"/>
      <c r="J20" s="285"/>
      <c r="K20" s="285"/>
      <c r="L20" s="285"/>
      <c r="M20" s="285"/>
      <c r="N20" s="285"/>
    </row>
    <row r="21" spans="1:15" ht="21.75" customHeight="1" x14ac:dyDescent="0.2">
      <c r="D21" s="181">
        <f>+B20*1.21</f>
        <v>2539757.3663000003</v>
      </c>
      <c r="E21" s="284"/>
      <c r="F21" s="285"/>
      <c r="G21" s="285"/>
      <c r="H21" s="285"/>
      <c r="I21" s="285"/>
      <c r="J21" s="285"/>
      <c r="K21" s="285"/>
      <c r="L21" s="285"/>
      <c r="M21" s="285"/>
      <c r="N21" s="285"/>
    </row>
    <row r="22" spans="1:15" x14ac:dyDescent="0.2">
      <c r="A22" s="82" t="s">
        <v>128</v>
      </c>
      <c r="O22" s="248"/>
    </row>
    <row r="23" spans="1:15" ht="5.0999999999999996" customHeight="1" thickBot="1" x14ac:dyDescent="0.25">
      <c r="L23" s="249"/>
    </row>
    <row r="24" spans="1:15" ht="12.75" customHeight="1" thickBot="1" x14ac:dyDescent="0.25">
      <c r="A24" s="250" t="s">
        <v>125</v>
      </c>
      <c r="B24" s="251" t="s">
        <v>242</v>
      </c>
      <c r="C24" s="251" t="s">
        <v>243</v>
      </c>
      <c r="D24" s="251" t="s">
        <v>122</v>
      </c>
      <c r="E24" s="251" t="s">
        <v>126</v>
      </c>
      <c r="F24" s="250" t="s">
        <v>127</v>
      </c>
      <c r="N24" s="249"/>
    </row>
    <row r="25" spans="1:15" ht="13.5" thickBot="1" x14ac:dyDescent="0.25">
      <c r="A25" s="252">
        <v>2022</v>
      </c>
      <c r="B25" s="160" t="s">
        <v>255</v>
      </c>
      <c r="C25" s="253" t="s">
        <v>244</v>
      </c>
      <c r="D25" s="258">
        <f>D6+D7+D9</f>
        <v>108750.01</v>
      </c>
      <c r="E25" s="258">
        <f>B6+B7+B9</f>
        <v>89876.040000000008</v>
      </c>
      <c r="F25" s="259">
        <f>C6+C7+C9</f>
        <v>18873.97</v>
      </c>
      <c r="G25" s="256"/>
      <c r="H25" s="256"/>
      <c r="I25" s="256"/>
      <c r="J25" s="256"/>
      <c r="K25" s="256"/>
      <c r="N25" s="249"/>
    </row>
    <row r="26" spans="1:15" ht="13.5" thickBot="1" x14ac:dyDescent="0.25">
      <c r="A26" s="252">
        <v>2022</v>
      </c>
      <c r="B26" s="160" t="s">
        <v>254</v>
      </c>
      <c r="C26" s="253" t="s">
        <v>246</v>
      </c>
      <c r="D26" s="258">
        <f>D8</f>
        <v>130553.78</v>
      </c>
      <c r="E26" s="258">
        <f>B8</f>
        <v>107895.69</v>
      </c>
      <c r="F26" s="259">
        <f>C8</f>
        <v>22658.09</v>
      </c>
      <c r="G26" s="256"/>
      <c r="H26" s="256"/>
      <c r="I26" s="256"/>
      <c r="J26" s="256"/>
      <c r="K26" s="256"/>
      <c r="N26" s="249"/>
    </row>
    <row r="27" spans="1:15" ht="13.5" thickBot="1" x14ac:dyDescent="0.25">
      <c r="A27" s="252">
        <v>2023</v>
      </c>
      <c r="B27" s="160" t="s">
        <v>245</v>
      </c>
      <c r="C27" s="253" t="s">
        <v>244</v>
      </c>
      <c r="D27" s="258">
        <f>G6+G7+G9</f>
        <v>524999.99</v>
      </c>
      <c r="E27" s="258">
        <f>E6+E7+E9</f>
        <v>433884.29000000004</v>
      </c>
      <c r="F27" s="258">
        <f>F6+F7+F9</f>
        <v>91115.700000000012</v>
      </c>
      <c r="G27" s="256"/>
      <c r="H27" s="256"/>
      <c r="I27" s="256"/>
      <c r="J27" s="256"/>
      <c r="K27" s="256"/>
      <c r="N27" s="249"/>
    </row>
    <row r="28" spans="1:15" ht="13.5" thickBot="1" x14ac:dyDescent="0.25">
      <c r="A28" s="252">
        <v>2023</v>
      </c>
      <c r="B28" s="160" t="s">
        <v>245</v>
      </c>
      <c r="C28" s="253" t="s">
        <v>246</v>
      </c>
      <c r="D28" s="258">
        <f>G8</f>
        <v>450226.79000000004</v>
      </c>
      <c r="E28" s="258">
        <f>E8</f>
        <v>372088.26</v>
      </c>
      <c r="F28" s="258">
        <f>F8</f>
        <v>78138.53</v>
      </c>
      <c r="G28" s="256"/>
      <c r="H28" s="256"/>
      <c r="I28" s="256"/>
      <c r="J28" s="256"/>
      <c r="K28" s="256"/>
      <c r="N28" s="249"/>
    </row>
    <row r="29" spans="1:15" ht="13.5" thickBot="1" x14ac:dyDescent="0.25">
      <c r="A29" s="252">
        <v>2024</v>
      </c>
      <c r="B29" s="160" t="s">
        <v>245</v>
      </c>
      <c r="C29" s="253" t="s">
        <v>244</v>
      </c>
      <c r="D29" s="258">
        <f>J6+J7+J9</f>
        <v>524999.99</v>
      </c>
      <c r="E29" s="258">
        <f>H6+H7+H9</f>
        <v>433884.29000000004</v>
      </c>
      <c r="F29" s="258">
        <f>I6+I7+I9</f>
        <v>91115.700000000012</v>
      </c>
      <c r="G29" s="256"/>
      <c r="H29" s="256"/>
      <c r="I29" s="256"/>
      <c r="J29" s="256"/>
      <c r="K29" s="256"/>
      <c r="N29" s="249"/>
    </row>
    <row r="30" spans="1:15" ht="13.5" thickBot="1" x14ac:dyDescent="0.25">
      <c r="A30" s="252">
        <v>2024</v>
      </c>
      <c r="B30" s="160" t="s">
        <v>245</v>
      </c>
      <c r="C30" s="253" t="s">
        <v>246</v>
      </c>
      <c r="D30" s="258">
        <f>J8</f>
        <v>450226.79000000004</v>
      </c>
      <c r="E30" s="258">
        <f>H8</f>
        <v>372088.26</v>
      </c>
      <c r="F30" s="258">
        <f>I8</f>
        <v>78138.53</v>
      </c>
      <c r="G30" s="256"/>
      <c r="H30" s="256"/>
      <c r="I30" s="256"/>
      <c r="J30" s="256"/>
      <c r="K30" s="256"/>
      <c r="N30" s="249"/>
    </row>
    <row r="31" spans="1:15" ht="13.5" thickBot="1" x14ac:dyDescent="0.25">
      <c r="A31" s="252">
        <v>2025</v>
      </c>
      <c r="B31" s="160" t="s">
        <v>256</v>
      </c>
      <c r="C31" s="253" t="s">
        <v>244</v>
      </c>
      <c r="D31" s="258">
        <f>M6+M7+M9</f>
        <v>350000.01999999996</v>
      </c>
      <c r="E31" s="258">
        <f>K6+K7+K9</f>
        <v>289256.19999999995</v>
      </c>
      <c r="F31" s="258">
        <f>L6+L7+L9</f>
        <v>60743.82</v>
      </c>
      <c r="G31" s="256"/>
      <c r="H31" s="256"/>
      <c r="I31" s="256"/>
      <c r="J31" s="256"/>
      <c r="K31" s="256"/>
      <c r="N31" s="249"/>
    </row>
    <row r="32" spans="1:15" ht="13.5" thickBot="1" x14ac:dyDescent="0.25">
      <c r="A32" s="252">
        <v>2025</v>
      </c>
      <c r="B32" s="160" t="s">
        <v>256</v>
      </c>
      <c r="C32" s="253" t="s">
        <v>246</v>
      </c>
      <c r="D32" s="254">
        <f>J19</f>
        <v>0</v>
      </c>
      <c r="E32" s="254">
        <f>H19</f>
        <v>0</v>
      </c>
      <c r="F32" s="255">
        <f>I19</f>
        <v>0</v>
      </c>
      <c r="G32" s="256"/>
      <c r="H32" s="256"/>
      <c r="I32" s="256"/>
      <c r="J32" s="256"/>
      <c r="K32" s="256"/>
      <c r="N32" s="249"/>
    </row>
    <row r="33" spans="1:14" x14ac:dyDescent="0.2">
      <c r="A33" s="257" t="s">
        <v>116</v>
      </c>
      <c r="B33" s="257" t="s">
        <v>247</v>
      </c>
      <c r="C33" s="257"/>
      <c r="D33" s="257">
        <f>SUM(D25:D32)</f>
        <v>2539757.37</v>
      </c>
      <c r="E33" s="257">
        <f>SUM(E25:E32)</f>
        <v>2098973.0300000003</v>
      </c>
      <c r="F33" s="257">
        <f>SUM(F25:F32)</f>
        <v>440784.34</v>
      </c>
      <c r="G33" s="256"/>
      <c r="H33" s="256"/>
      <c r="I33" s="256"/>
      <c r="J33" s="256"/>
      <c r="K33" s="256"/>
      <c r="N33" s="249"/>
    </row>
    <row r="34" spans="1:14" ht="21.75" customHeight="1" x14ac:dyDescent="0.2">
      <c r="D34" s="135"/>
      <c r="E34" s="121"/>
    </row>
    <row r="35" spans="1:14" x14ac:dyDescent="0.2">
      <c r="A35" s="82" t="s">
        <v>130</v>
      </c>
      <c r="E35" s="121"/>
    </row>
    <row r="36" spans="1:14" ht="38.25" x14ac:dyDescent="0.2">
      <c r="A36" s="85" t="s">
        <v>148</v>
      </c>
      <c r="B36" s="85" t="s">
        <v>149</v>
      </c>
      <c r="C36" s="85" t="s">
        <v>142</v>
      </c>
      <c r="D36" s="85" t="s">
        <v>120</v>
      </c>
      <c r="E36" s="85" t="s">
        <v>143</v>
      </c>
      <c r="F36" s="85" t="s">
        <v>121</v>
      </c>
    </row>
    <row r="37" spans="1:14" ht="38.25" x14ac:dyDescent="0.2">
      <c r="A37" s="136" t="s">
        <v>179</v>
      </c>
      <c r="B37" s="86">
        <f>$D$20</f>
        <v>2539757.37</v>
      </c>
      <c r="C37" s="267">
        <v>0.2</v>
      </c>
      <c r="D37" s="87">
        <f>+ROUND(B37*C37,2)</f>
        <v>507951.47</v>
      </c>
      <c r="E37" s="267">
        <v>0.2</v>
      </c>
      <c r="F37" s="87">
        <f>+ROUND(B37*E37,2)</f>
        <v>507951.47</v>
      </c>
    </row>
    <row r="38" spans="1:14" x14ac:dyDescent="0.2">
      <c r="A38" s="88" t="s">
        <v>119</v>
      </c>
      <c r="B38" s="89">
        <f>SUM(B37:B37)</f>
        <v>2539757.37</v>
      </c>
      <c r="C38" s="90">
        <f>SUM(C37:C37)</f>
        <v>0.2</v>
      </c>
      <c r="D38" s="91">
        <f>SUM(D37:D37)</f>
        <v>507951.47</v>
      </c>
      <c r="E38" s="90">
        <f>SUM(E37:E37)</f>
        <v>0.2</v>
      </c>
      <c r="F38" s="91">
        <f>SUM(F37:F37)</f>
        <v>507951.47</v>
      </c>
    </row>
    <row r="39" spans="1:14" x14ac:dyDescent="0.2">
      <c r="D39" s="127">
        <f>+ROUND(D38/1.21,2)</f>
        <v>419794.6</v>
      </c>
      <c r="F39" s="127">
        <f>+ROUND(F38/1.21,2)</f>
        <v>419794.6</v>
      </c>
    </row>
    <row r="40" spans="1:14" x14ac:dyDescent="0.2">
      <c r="D40" s="128" t="s">
        <v>145</v>
      </c>
      <c r="F40" s="128" t="s">
        <v>145</v>
      </c>
    </row>
    <row r="41" spans="1:14" x14ac:dyDescent="0.2">
      <c r="A41" s="82" t="s">
        <v>132</v>
      </c>
    </row>
    <row r="43" spans="1:14" ht="63.75" x14ac:dyDescent="0.2">
      <c r="A43" s="92"/>
      <c r="B43" s="129" t="s">
        <v>150</v>
      </c>
      <c r="C43" s="129" t="s">
        <v>118</v>
      </c>
      <c r="D43" s="129" t="s">
        <v>151</v>
      </c>
      <c r="E43" s="129" t="s">
        <v>258</v>
      </c>
      <c r="F43" s="129" t="s">
        <v>152</v>
      </c>
      <c r="G43" s="129" t="s">
        <v>153</v>
      </c>
    </row>
    <row r="44" spans="1:14" x14ac:dyDescent="0.2">
      <c r="A44" s="92">
        <v>2022</v>
      </c>
      <c r="B44" s="123">
        <f>+B16</f>
        <v>197771.73</v>
      </c>
      <c r="C44" s="87"/>
      <c r="D44" s="93">
        <f t="shared" ref="D44:D49" si="21">ROUND(H44/$H$51*$D$39,2)</f>
        <v>22372.77</v>
      </c>
      <c r="E44" s="93"/>
      <c r="F44" s="93">
        <f t="shared" ref="F44:F49" si="22">ROUND(-H44/$H$51*$F$39,2)</f>
        <v>-22372.77</v>
      </c>
      <c r="G44" s="272">
        <f>SUM(B44:E44)</f>
        <v>220144.5</v>
      </c>
      <c r="H44" s="133">
        <f t="shared" ref="H44:H50" si="23">+B44+C44</f>
        <v>197771.73</v>
      </c>
    </row>
    <row r="45" spans="1:14" x14ac:dyDescent="0.2">
      <c r="A45" s="92">
        <v>2023</v>
      </c>
      <c r="B45" s="123">
        <f>+B17</f>
        <v>805972.55</v>
      </c>
      <c r="C45" s="87"/>
      <c r="D45" s="87">
        <f t="shared" si="21"/>
        <v>91174.99</v>
      </c>
      <c r="E45" s="87"/>
      <c r="F45" s="93">
        <f t="shared" si="22"/>
        <v>-91174.99</v>
      </c>
      <c r="G45" s="272">
        <f t="shared" ref="G45:G50" si="24">SUM(B45:E45)</f>
        <v>897147.54</v>
      </c>
      <c r="H45" s="133">
        <f t="shared" si="23"/>
        <v>805972.55</v>
      </c>
    </row>
    <row r="46" spans="1:14" x14ac:dyDescent="0.2">
      <c r="A46" s="92">
        <v>2024</v>
      </c>
      <c r="B46" s="123">
        <f>+B18</f>
        <v>805972.55</v>
      </c>
      <c r="C46" s="87"/>
      <c r="D46" s="87">
        <f t="shared" si="21"/>
        <v>91174.99</v>
      </c>
      <c r="E46" s="87"/>
      <c r="F46" s="93">
        <f t="shared" si="22"/>
        <v>-91174.99</v>
      </c>
      <c r="G46" s="272">
        <f t="shared" si="24"/>
        <v>897147.54</v>
      </c>
      <c r="H46" s="133">
        <f t="shared" si="23"/>
        <v>805972.55</v>
      </c>
      <c r="I46" s="133"/>
    </row>
    <row r="47" spans="1:14" x14ac:dyDescent="0.2">
      <c r="A47" s="92">
        <v>2025</v>
      </c>
      <c r="B47" s="123">
        <f>+B19</f>
        <v>289256.19999999995</v>
      </c>
      <c r="C47" s="123">
        <f>+B46-B47-'Càlcul pressupost '!N57</f>
        <v>268657.50702479354</v>
      </c>
      <c r="D47" s="87">
        <f t="shared" si="21"/>
        <v>63113.54</v>
      </c>
      <c r="E47" s="87"/>
      <c r="F47" s="93">
        <f t="shared" si="22"/>
        <v>-63113.54</v>
      </c>
      <c r="G47" s="272">
        <f t="shared" si="24"/>
        <v>621027.24702479353</v>
      </c>
      <c r="H47" s="133">
        <f t="shared" si="23"/>
        <v>557913.70702479349</v>
      </c>
    </row>
    <row r="48" spans="1:14" x14ac:dyDescent="0.2">
      <c r="A48" s="92">
        <v>2026</v>
      </c>
      <c r="B48" s="123"/>
      <c r="C48" s="123">
        <f>+B46</f>
        <v>805972.55</v>
      </c>
      <c r="D48" s="87">
        <f t="shared" si="21"/>
        <v>91174.99</v>
      </c>
      <c r="E48" s="87"/>
      <c r="F48" s="93">
        <f t="shared" si="22"/>
        <v>-91174.99</v>
      </c>
      <c r="G48" s="272">
        <f t="shared" si="24"/>
        <v>897147.54</v>
      </c>
      <c r="H48" s="133">
        <f t="shared" si="23"/>
        <v>805972.55</v>
      </c>
    </row>
    <row r="49" spans="1:9" x14ac:dyDescent="0.2">
      <c r="A49" s="92">
        <v>2027</v>
      </c>
      <c r="B49" s="123"/>
      <c r="C49" s="123">
        <f>+B47+'Càlcul pressupost '!N57</f>
        <v>537315.04297520651</v>
      </c>
      <c r="D49" s="87">
        <f t="shared" si="21"/>
        <v>60783.33</v>
      </c>
      <c r="E49" s="123">
        <f>+ROUND(+C48*0.333333333333333,2)</f>
        <v>268657.52</v>
      </c>
      <c r="F49" s="93">
        <f t="shared" si="22"/>
        <v>-60783.33</v>
      </c>
      <c r="G49" s="272">
        <f t="shared" si="24"/>
        <v>866755.89297520649</v>
      </c>
      <c r="H49" s="133">
        <f t="shared" si="23"/>
        <v>537315.04297520651</v>
      </c>
    </row>
    <row r="50" spans="1:9" x14ac:dyDescent="0.2">
      <c r="A50" s="92">
        <v>2028</v>
      </c>
      <c r="B50" s="123"/>
      <c r="C50" s="123"/>
      <c r="D50" s="87"/>
      <c r="E50" s="87">
        <f>+ROUND(C48*0.416666666666667,2)</f>
        <v>335821.9</v>
      </c>
      <c r="F50" s="93"/>
      <c r="G50" s="272">
        <f t="shared" si="24"/>
        <v>335821.9</v>
      </c>
      <c r="H50" s="133">
        <f t="shared" si="23"/>
        <v>0</v>
      </c>
    </row>
    <row r="51" spans="1:9" x14ac:dyDescent="0.2">
      <c r="A51" s="94" t="s">
        <v>116</v>
      </c>
      <c r="B51" s="188">
        <f t="shared" ref="B51:H51" si="25">SUM(B44:B50)</f>
        <v>2098973.0300000003</v>
      </c>
      <c r="C51" s="188">
        <f t="shared" si="25"/>
        <v>1611945.1</v>
      </c>
      <c r="D51" s="188">
        <f t="shared" si="25"/>
        <v>419794.61</v>
      </c>
      <c r="E51" s="188">
        <f t="shared" si="25"/>
        <v>604479.42000000004</v>
      </c>
      <c r="F51" s="270">
        <f t="shared" si="25"/>
        <v>-419794.61</v>
      </c>
      <c r="G51" s="188">
        <f t="shared" si="25"/>
        <v>4735192.16</v>
      </c>
      <c r="H51" s="188">
        <f t="shared" si="25"/>
        <v>3710918.1300000004</v>
      </c>
      <c r="I51" s="130"/>
    </row>
    <row r="52" spans="1:9" x14ac:dyDescent="0.2">
      <c r="A52" s="131"/>
      <c r="B52" s="132"/>
      <c r="C52" s="132"/>
      <c r="D52" s="132"/>
      <c r="E52" s="132"/>
      <c r="F52" s="132"/>
      <c r="G52" s="130"/>
    </row>
    <row r="55" spans="1:9" ht="15" x14ac:dyDescent="0.25">
      <c r="A55" s="95"/>
      <c r="B55" s="95"/>
      <c r="C55" s="95"/>
    </row>
    <row r="56" spans="1:9" ht="15.75" x14ac:dyDescent="0.25">
      <c r="A56" s="189" t="s">
        <v>132</v>
      </c>
      <c r="B56" s="277" t="s">
        <v>180</v>
      </c>
      <c r="C56" s="278"/>
      <c r="D56" s="278"/>
      <c r="E56" s="278"/>
    </row>
    <row r="57" spans="1:9" ht="15" x14ac:dyDescent="0.2">
      <c r="A57" s="204">
        <f>+G51</f>
        <v>4735192.16</v>
      </c>
      <c r="B57" s="279" t="s">
        <v>170</v>
      </c>
      <c r="C57" s="280"/>
      <c r="D57" s="279" t="s">
        <v>171</v>
      </c>
      <c r="E57" s="280"/>
    </row>
    <row r="58" spans="1:9" ht="15" x14ac:dyDescent="0.25">
      <c r="A58" s="189" t="s">
        <v>181</v>
      </c>
      <c r="B58" s="189" t="s">
        <v>182</v>
      </c>
      <c r="C58" s="189" t="s">
        <v>183</v>
      </c>
      <c r="D58" s="189" t="s">
        <v>184</v>
      </c>
      <c r="E58" s="189" t="s">
        <v>183</v>
      </c>
    </row>
    <row r="59" spans="1:9" x14ac:dyDescent="0.2">
      <c r="A59" s="205">
        <v>5</v>
      </c>
      <c r="B59" s="87">
        <f>+C59/A59</f>
        <v>1420557.648</v>
      </c>
      <c r="C59" s="87">
        <f>1.5*A57</f>
        <v>7102788.2400000002</v>
      </c>
      <c r="D59" s="87">
        <f>ROUND(A57*2/3/A59,2)</f>
        <v>631358.94999999995</v>
      </c>
      <c r="E59" s="87">
        <f>+C59</f>
        <v>7102788.2400000002</v>
      </c>
      <c r="F59" s="96"/>
    </row>
    <row r="60" spans="1:9" x14ac:dyDescent="0.2">
      <c r="B60" s="190" t="s">
        <v>185</v>
      </c>
      <c r="C60" s="190" t="s">
        <v>186</v>
      </c>
      <c r="D60" s="191" t="s">
        <v>187</v>
      </c>
      <c r="E60" s="190" t="s">
        <v>186</v>
      </c>
    </row>
    <row r="61" spans="1:9" ht="15" x14ac:dyDescent="0.25">
      <c r="D61" s="95"/>
    </row>
    <row r="62" spans="1:9" ht="15" x14ac:dyDescent="0.25">
      <c r="D62" s="95" t="s">
        <v>134</v>
      </c>
    </row>
    <row r="63" spans="1:9" ht="15" x14ac:dyDescent="0.25">
      <c r="D63" s="97"/>
    </row>
    <row r="64" spans="1:9" ht="15" x14ac:dyDescent="0.25">
      <c r="D64" s="97"/>
    </row>
    <row r="65" spans="2:4" ht="15" x14ac:dyDescent="0.25">
      <c r="D65" s="95"/>
    </row>
    <row r="66" spans="2:4" ht="15" x14ac:dyDescent="0.25">
      <c r="D66" s="95"/>
    </row>
    <row r="67" spans="2:4" ht="15" x14ac:dyDescent="0.25">
      <c r="D67" s="95"/>
    </row>
    <row r="68" spans="2:4" ht="15" x14ac:dyDescent="0.25">
      <c r="B68" s="98"/>
      <c r="D68" s="95"/>
    </row>
    <row r="69" spans="2:4" ht="15" x14ac:dyDescent="0.25">
      <c r="D69" s="95"/>
    </row>
    <row r="70" spans="2:4" ht="15" x14ac:dyDescent="0.25">
      <c r="D70" s="95"/>
    </row>
  </sheetData>
  <mergeCells count="8">
    <mergeCell ref="B56:E56"/>
    <mergeCell ref="B57:C57"/>
    <mergeCell ref="D57:E57"/>
    <mergeCell ref="B4:D4"/>
    <mergeCell ref="H4:J4"/>
    <mergeCell ref="E4:G4"/>
    <mergeCell ref="E16:N21"/>
    <mergeCell ref="K4:M4"/>
  </mergeCells>
  <pageMargins left="0.7" right="0.7" top="0.75" bottom="0.75" header="0.3" footer="0.3"/>
  <pageSetup paperSize="9" orientation="portrait" r:id="rId1"/>
  <ignoredErrors>
    <ignoredError sqref="C4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D17" sqref="D17"/>
    </sheetView>
  </sheetViews>
  <sheetFormatPr baseColWidth="10" defaultColWidth="14.42578125" defaultRowHeight="15" x14ac:dyDescent="0.25"/>
  <cols>
    <col min="1" max="2" width="11.42578125" style="137" customWidth="1"/>
    <col min="3" max="3" width="46.28515625" style="137" bestFit="1" customWidth="1"/>
    <col min="4" max="4" width="28.85546875" style="137" customWidth="1"/>
    <col min="5" max="5" width="20.7109375" style="137" customWidth="1"/>
    <col min="6" max="7" width="15.85546875" style="137" customWidth="1"/>
    <col min="8" max="8" width="14.28515625" style="137" bestFit="1" customWidth="1"/>
    <col min="9" max="9" width="17" style="137" customWidth="1"/>
    <col min="10" max="10" width="28.140625" style="137" customWidth="1"/>
    <col min="11" max="11" width="19.7109375" style="137" bestFit="1" customWidth="1"/>
    <col min="12" max="12" width="17.7109375" style="137" customWidth="1"/>
    <col min="13" max="26" width="11.42578125" style="137" customWidth="1"/>
    <col min="27" max="16384" width="14.42578125" style="137"/>
  </cols>
  <sheetData>
    <row r="1" spans="1:11" x14ac:dyDescent="0.25">
      <c r="G1" s="138"/>
    </row>
    <row r="2" spans="1:11" x14ac:dyDescent="0.25">
      <c r="A2" s="139" t="s">
        <v>155</v>
      </c>
      <c r="B2" s="140"/>
      <c r="C2" s="140"/>
      <c r="D2" s="140"/>
      <c r="E2" s="140"/>
      <c r="F2" s="140"/>
      <c r="G2" s="141"/>
      <c r="H2" s="140"/>
      <c r="I2" s="140"/>
    </row>
    <row r="3" spans="1:11" ht="15.75" customHeight="1" x14ac:dyDescent="0.25">
      <c r="G3" s="138"/>
    </row>
    <row r="4" spans="1:11" s="134" customFormat="1" ht="44.25" customHeight="1" x14ac:dyDescent="0.25">
      <c r="A4" s="172"/>
      <c r="B4" s="173"/>
      <c r="C4" s="171" t="s">
        <v>156</v>
      </c>
      <c r="D4" s="174" t="s">
        <v>157</v>
      </c>
      <c r="E4" s="173" t="s">
        <v>158</v>
      </c>
      <c r="F4" s="174" t="s">
        <v>159</v>
      </c>
      <c r="G4" s="175" t="s">
        <v>160</v>
      </c>
      <c r="H4" s="173" t="s">
        <v>161</v>
      </c>
      <c r="I4" s="174" t="s">
        <v>162</v>
      </c>
      <c r="J4" s="174" t="s">
        <v>163</v>
      </c>
      <c r="K4" s="175" t="s">
        <v>176</v>
      </c>
    </row>
    <row r="5" spans="1:11" ht="15.75" customHeight="1" x14ac:dyDescent="0.25">
      <c r="A5" s="143"/>
      <c r="B5" s="142"/>
      <c r="C5" s="168">
        <f>'Taules IJ'!B20</f>
        <v>2098973.0300000003</v>
      </c>
      <c r="D5" s="144">
        <f>ROUND(C5*0.2, 2)</f>
        <v>419794.61</v>
      </c>
      <c r="E5" s="145">
        <f>ROUND(C5-D5, 2)</f>
        <v>1679178.42</v>
      </c>
      <c r="F5" s="144">
        <f>ROUND(E5*0.08, 2)</f>
        <v>134334.26999999999</v>
      </c>
      <c r="G5" s="146">
        <f>ROUND(D5+F5, 2)</f>
        <v>554128.88</v>
      </c>
      <c r="H5" s="145">
        <f>ROUND(E5-F5, 2)</f>
        <v>1544844.15</v>
      </c>
      <c r="I5" s="144">
        <f>ROUND(H5*(0.34/1.34), 2)</f>
        <v>391975.38</v>
      </c>
      <c r="J5" s="144">
        <f>ROUND(H5-I5, 2)</f>
        <v>1152868.77</v>
      </c>
      <c r="K5" s="146">
        <f>+H5</f>
        <v>1544844.15</v>
      </c>
    </row>
    <row r="6" spans="1:11" ht="15.75" customHeight="1" x14ac:dyDescent="0.25">
      <c r="A6" s="147"/>
      <c r="G6" s="138"/>
    </row>
    <row r="7" spans="1:11" ht="15.75" customHeight="1" x14ac:dyDescent="0.25">
      <c r="C7" s="192" t="s">
        <v>164</v>
      </c>
      <c r="D7" s="192"/>
      <c r="G7" s="138"/>
    </row>
    <row r="8" spans="1:11" ht="15.75" customHeight="1" x14ac:dyDescent="0.25">
      <c r="C8" s="194" t="s">
        <v>165</v>
      </c>
      <c r="D8" s="196">
        <f>J5</f>
        <v>1152868.77</v>
      </c>
      <c r="G8" s="138"/>
    </row>
    <row r="9" spans="1:11" ht="15.75" customHeight="1" x14ac:dyDescent="0.25">
      <c r="C9" s="194" t="s">
        <v>166</v>
      </c>
      <c r="D9" s="196">
        <f>I5</f>
        <v>391975.38</v>
      </c>
      <c r="G9" s="138"/>
    </row>
    <row r="10" spans="1:11" ht="15.75" customHeight="1" x14ac:dyDescent="0.25">
      <c r="C10" s="194" t="s">
        <v>167</v>
      </c>
      <c r="D10" s="197">
        <f>+K5</f>
        <v>1544844.15</v>
      </c>
      <c r="G10" s="138"/>
    </row>
    <row r="11" spans="1:11" ht="15.75" customHeight="1" x14ac:dyDescent="0.25">
      <c r="C11" s="148"/>
      <c r="D11" s="198"/>
      <c r="G11" s="138"/>
    </row>
    <row r="12" spans="1:11" ht="15.75" customHeight="1" x14ac:dyDescent="0.25">
      <c r="C12" s="192" t="s">
        <v>168</v>
      </c>
      <c r="D12" s="199"/>
      <c r="G12" s="138"/>
    </row>
    <row r="13" spans="1:11" ht="15.75" customHeight="1" x14ac:dyDescent="0.25">
      <c r="C13" s="195" t="s">
        <v>209</v>
      </c>
      <c r="D13" s="196">
        <f>F5</f>
        <v>134334.26999999999</v>
      </c>
      <c r="G13" s="138"/>
    </row>
    <row r="14" spans="1:11" ht="15.75" customHeight="1" x14ac:dyDescent="0.25">
      <c r="C14" s="195" t="s">
        <v>208</v>
      </c>
      <c r="D14" s="196">
        <f>D5</f>
        <v>419794.61</v>
      </c>
      <c r="G14" s="138"/>
    </row>
    <row r="15" spans="1:11" ht="15.75" customHeight="1" x14ac:dyDescent="0.25">
      <c r="C15" s="195" t="s">
        <v>169</v>
      </c>
      <c r="D15" s="200">
        <f>G5</f>
        <v>554128.88</v>
      </c>
      <c r="G15" s="138"/>
    </row>
    <row r="16" spans="1:11" ht="15.75" customHeight="1" x14ac:dyDescent="0.25">
      <c r="C16" s="149"/>
      <c r="D16" s="149"/>
      <c r="G16" s="138"/>
    </row>
    <row r="17" spans="3:12" ht="15.75" customHeight="1" x14ac:dyDescent="0.25">
      <c r="C17" s="192" t="s">
        <v>172</v>
      </c>
      <c r="D17" s="193">
        <f>D10+D15</f>
        <v>2098973.0299999998</v>
      </c>
      <c r="G17" s="138"/>
      <c r="K17" s="150"/>
      <c r="L17" s="150"/>
    </row>
    <row r="18" spans="3:12" x14ac:dyDescent="0.25">
      <c r="G18" s="138"/>
    </row>
    <row r="19" spans="3:12" x14ac:dyDescent="0.25">
      <c r="G19" s="138"/>
    </row>
    <row r="20" spans="3:12" x14ac:dyDescent="0.25">
      <c r="G20" s="138"/>
    </row>
    <row r="21" spans="3:12" x14ac:dyDescent="0.25">
      <c r="G21" s="138"/>
    </row>
    <row r="22" spans="3:12" x14ac:dyDescent="0.25">
      <c r="G22" s="138"/>
    </row>
    <row r="23" spans="3:12" x14ac:dyDescent="0.25">
      <c r="G23" s="138"/>
    </row>
    <row r="24" spans="3:12" x14ac:dyDescent="0.25">
      <c r="G24" s="138"/>
    </row>
    <row r="25" spans="3:12" x14ac:dyDescent="0.25">
      <c r="G25" s="138"/>
    </row>
    <row r="26" spans="3:12" x14ac:dyDescent="0.25">
      <c r="G26" s="138"/>
    </row>
    <row r="27" spans="3:12" x14ac:dyDescent="0.25">
      <c r="G27" s="138"/>
    </row>
    <row r="28" spans="3:12" x14ac:dyDescent="0.25">
      <c r="G28" s="138"/>
    </row>
    <row r="29" spans="3:12" x14ac:dyDescent="0.25">
      <c r="G29" s="138"/>
    </row>
    <row r="30" spans="3:12" x14ac:dyDescent="0.25">
      <c r="G30" s="138"/>
    </row>
    <row r="31" spans="3:12" x14ac:dyDescent="0.25">
      <c r="G31" s="138"/>
    </row>
    <row r="32" spans="3:12" x14ac:dyDescent="0.25">
      <c r="G32" s="138"/>
    </row>
    <row r="33" spans="7:7" x14ac:dyDescent="0.25">
      <c r="G33" s="138"/>
    </row>
    <row r="34" spans="7:7" x14ac:dyDescent="0.25">
      <c r="G34" s="138"/>
    </row>
    <row r="35" spans="7:7" x14ac:dyDescent="0.25">
      <c r="G35" s="138"/>
    </row>
    <row r="36" spans="7:7" x14ac:dyDescent="0.25">
      <c r="G36" s="138"/>
    </row>
    <row r="37" spans="7:7" x14ac:dyDescent="0.25">
      <c r="G37" s="138"/>
    </row>
    <row r="38" spans="7:7" x14ac:dyDescent="0.25">
      <c r="G38" s="138"/>
    </row>
    <row r="39" spans="7:7" x14ac:dyDescent="0.25">
      <c r="G39" s="138"/>
    </row>
    <row r="40" spans="7:7" x14ac:dyDescent="0.25">
      <c r="G40" s="138"/>
    </row>
    <row r="41" spans="7:7" x14ac:dyDescent="0.25">
      <c r="G41" s="138"/>
    </row>
    <row r="42" spans="7:7" x14ac:dyDescent="0.25">
      <c r="G42" s="138"/>
    </row>
    <row r="43" spans="7:7" x14ac:dyDescent="0.25">
      <c r="G43" s="138"/>
    </row>
    <row r="44" spans="7:7" x14ac:dyDescent="0.25">
      <c r="G44" s="138"/>
    </row>
    <row r="45" spans="7:7" x14ac:dyDescent="0.25">
      <c r="G45" s="138"/>
    </row>
    <row r="46" spans="7:7" x14ac:dyDescent="0.25">
      <c r="G46" s="138"/>
    </row>
    <row r="47" spans="7:7" x14ac:dyDescent="0.25">
      <c r="G47" s="138"/>
    </row>
    <row r="48" spans="7:7" x14ac:dyDescent="0.25">
      <c r="G48" s="138"/>
    </row>
    <row r="49" spans="7:7" x14ac:dyDescent="0.25">
      <c r="G49" s="138"/>
    </row>
    <row r="50" spans="7:7" x14ac:dyDescent="0.25">
      <c r="G50" s="138"/>
    </row>
    <row r="51" spans="7:7" x14ac:dyDescent="0.25">
      <c r="G51" s="138"/>
    </row>
    <row r="52" spans="7:7" x14ac:dyDescent="0.25">
      <c r="G52" s="138"/>
    </row>
    <row r="53" spans="7:7" x14ac:dyDescent="0.25">
      <c r="G53" s="138"/>
    </row>
    <row r="54" spans="7:7" x14ac:dyDescent="0.25">
      <c r="G54" s="138"/>
    </row>
    <row r="55" spans="7:7" x14ac:dyDescent="0.25">
      <c r="G55" s="138"/>
    </row>
    <row r="56" spans="7:7" x14ac:dyDescent="0.25">
      <c r="G56" s="138"/>
    </row>
    <row r="57" spans="7:7" x14ac:dyDescent="0.25">
      <c r="G57" s="138"/>
    </row>
    <row r="58" spans="7:7" x14ac:dyDescent="0.25">
      <c r="G58" s="138"/>
    </row>
    <row r="59" spans="7:7" x14ac:dyDescent="0.25">
      <c r="G59" s="138"/>
    </row>
    <row r="60" spans="7:7" x14ac:dyDescent="0.25">
      <c r="G60" s="138"/>
    </row>
    <row r="61" spans="7:7" x14ac:dyDescent="0.25">
      <c r="G61" s="138"/>
    </row>
    <row r="62" spans="7:7" x14ac:dyDescent="0.25">
      <c r="G62" s="138"/>
    </row>
    <row r="63" spans="7:7" x14ac:dyDescent="0.25">
      <c r="G63" s="138"/>
    </row>
    <row r="64" spans="7:7" x14ac:dyDescent="0.25">
      <c r="G64" s="138"/>
    </row>
    <row r="65" spans="7:7" x14ac:dyDescent="0.25">
      <c r="G65" s="138"/>
    </row>
    <row r="66" spans="7:7" x14ac:dyDescent="0.25">
      <c r="G66" s="138"/>
    </row>
    <row r="67" spans="7:7" x14ac:dyDescent="0.25">
      <c r="G67" s="138"/>
    </row>
    <row r="68" spans="7:7" x14ac:dyDescent="0.25">
      <c r="G68" s="138"/>
    </row>
    <row r="69" spans="7:7" x14ac:dyDescent="0.25">
      <c r="G69" s="138"/>
    </row>
    <row r="70" spans="7:7" x14ac:dyDescent="0.25">
      <c r="G70" s="138"/>
    </row>
    <row r="71" spans="7:7" x14ac:dyDescent="0.25">
      <c r="G71" s="138"/>
    </row>
    <row r="72" spans="7:7" x14ac:dyDescent="0.25">
      <c r="G72" s="138"/>
    </row>
    <row r="73" spans="7:7" x14ac:dyDescent="0.25">
      <c r="G73" s="138"/>
    </row>
    <row r="74" spans="7:7" x14ac:dyDescent="0.25">
      <c r="G74" s="138"/>
    </row>
    <row r="75" spans="7:7" x14ac:dyDescent="0.25">
      <c r="G75" s="138"/>
    </row>
    <row r="76" spans="7:7" x14ac:dyDescent="0.25">
      <c r="G76" s="138"/>
    </row>
    <row r="77" spans="7:7" x14ac:dyDescent="0.25">
      <c r="G77" s="138"/>
    </row>
    <row r="78" spans="7:7" x14ac:dyDescent="0.25">
      <c r="G78" s="138"/>
    </row>
    <row r="79" spans="7:7" x14ac:dyDescent="0.25">
      <c r="G79" s="138"/>
    </row>
    <row r="80" spans="7:7" x14ac:dyDescent="0.25">
      <c r="G80" s="138"/>
    </row>
    <row r="81" spans="7:7" x14ac:dyDescent="0.25">
      <c r="G81" s="138"/>
    </row>
    <row r="82" spans="7:7" x14ac:dyDescent="0.25">
      <c r="G82" s="138"/>
    </row>
    <row r="83" spans="7:7" x14ac:dyDescent="0.25">
      <c r="G83" s="138"/>
    </row>
    <row r="84" spans="7:7" x14ac:dyDescent="0.25">
      <c r="G84" s="138"/>
    </row>
    <row r="85" spans="7:7" x14ac:dyDescent="0.25">
      <c r="G85" s="138"/>
    </row>
    <row r="86" spans="7:7" x14ac:dyDescent="0.25">
      <c r="G86" s="138"/>
    </row>
    <row r="87" spans="7:7" x14ac:dyDescent="0.25">
      <c r="G87" s="138"/>
    </row>
    <row r="88" spans="7:7" x14ac:dyDescent="0.25">
      <c r="G88" s="138"/>
    </row>
    <row r="89" spans="7:7" x14ac:dyDescent="0.25">
      <c r="G89" s="138"/>
    </row>
    <row r="90" spans="7:7" x14ac:dyDescent="0.25">
      <c r="G90" s="138"/>
    </row>
    <row r="91" spans="7:7" x14ac:dyDescent="0.25">
      <c r="G91" s="138"/>
    </row>
    <row r="92" spans="7:7" x14ac:dyDescent="0.25">
      <c r="G92" s="138"/>
    </row>
    <row r="93" spans="7:7" x14ac:dyDescent="0.25">
      <c r="G93" s="138"/>
    </row>
    <row r="94" spans="7:7" x14ac:dyDescent="0.25">
      <c r="G94" s="138"/>
    </row>
    <row r="95" spans="7:7" x14ac:dyDescent="0.25">
      <c r="G95" s="138"/>
    </row>
    <row r="96" spans="7:7" x14ac:dyDescent="0.25">
      <c r="G96" s="138"/>
    </row>
    <row r="97" spans="7:7" x14ac:dyDescent="0.25">
      <c r="G97" s="138"/>
    </row>
    <row r="98" spans="7:7" x14ac:dyDescent="0.25">
      <c r="G98" s="138"/>
    </row>
    <row r="99" spans="7:7" x14ac:dyDescent="0.25">
      <c r="G99" s="138"/>
    </row>
    <row r="100" spans="7:7" x14ac:dyDescent="0.25">
      <c r="G100" s="138"/>
    </row>
    <row r="101" spans="7:7" x14ac:dyDescent="0.25">
      <c r="G101" s="138"/>
    </row>
    <row r="102" spans="7:7" x14ac:dyDescent="0.25">
      <c r="G102" s="138"/>
    </row>
    <row r="103" spans="7:7" x14ac:dyDescent="0.25">
      <c r="G103" s="138"/>
    </row>
    <row r="104" spans="7:7" x14ac:dyDescent="0.25">
      <c r="G104" s="138"/>
    </row>
    <row r="105" spans="7:7" x14ac:dyDescent="0.25">
      <c r="G105" s="138"/>
    </row>
    <row r="106" spans="7:7" x14ac:dyDescent="0.25">
      <c r="G106" s="138"/>
    </row>
    <row r="107" spans="7:7" x14ac:dyDescent="0.25">
      <c r="G107" s="138"/>
    </row>
    <row r="108" spans="7:7" x14ac:dyDescent="0.25">
      <c r="G108" s="138"/>
    </row>
    <row r="109" spans="7:7" x14ac:dyDescent="0.25">
      <c r="G109" s="138"/>
    </row>
    <row r="110" spans="7:7" x14ac:dyDescent="0.25">
      <c r="G110" s="138"/>
    </row>
    <row r="111" spans="7:7" x14ac:dyDescent="0.25">
      <c r="G111" s="138"/>
    </row>
    <row r="112" spans="7:7" x14ac:dyDescent="0.25"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  <row r="132" spans="7:7" x14ac:dyDescent="0.25">
      <c r="G132" s="138"/>
    </row>
    <row r="133" spans="7:7" x14ac:dyDescent="0.25">
      <c r="G133" s="138"/>
    </row>
    <row r="134" spans="7:7" x14ac:dyDescent="0.25">
      <c r="G134" s="138"/>
    </row>
    <row r="135" spans="7:7" x14ac:dyDescent="0.25">
      <c r="G135" s="138"/>
    </row>
    <row r="136" spans="7:7" x14ac:dyDescent="0.25">
      <c r="G136" s="138"/>
    </row>
    <row r="137" spans="7:7" x14ac:dyDescent="0.25">
      <c r="G137" s="138"/>
    </row>
    <row r="138" spans="7:7" x14ac:dyDescent="0.25">
      <c r="G138" s="138"/>
    </row>
    <row r="139" spans="7:7" x14ac:dyDescent="0.25">
      <c r="G139" s="138"/>
    </row>
    <row r="140" spans="7:7" x14ac:dyDescent="0.25">
      <c r="G140" s="138"/>
    </row>
    <row r="141" spans="7:7" x14ac:dyDescent="0.25">
      <c r="G141" s="138"/>
    </row>
    <row r="142" spans="7:7" x14ac:dyDescent="0.25">
      <c r="G142" s="138"/>
    </row>
    <row r="143" spans="7:7" x14ac:dyDescent="0.25">
      <c r="G143" s="138"/>
    </row>
    <row r="144" spans="7:7" x14ac:dyDescent="0.25">
      <c r="G144" s="138"/>
    </row>
    <row r="145" spans="7:7" x14ac:dyDescent="0.25">
      <c r="G145" s="138"/>
    </row>
    <row r="146" spans="7:7" x14ac:dyDescent="0.25">
      <c r="G146" s="138"/>
    </row>
    <row r="147" spans="7:7" x14ac:dyDescent="0.25">
      <c r="G147" s="138"/>
    </row>
    <row r="148" spans="7:7" x14ac:dyDescent="0.25">
      <c r="G148" s="138"/>
    </row>
    <row r="149" spans="7:7" x14ac:dyDescent="0.25">
      <c r="G149" s="138"/>
    </row>
    <row r="150" spans="7:7" x14ac:dyDescent="0.25">
      <c r="G150" s="138"/>
    </row>
    <row r="151" spans="7:7" x14ac:dyDescent="0.25">
      <c r="G151" s="138"/>
    </row>
    <row r="152" spans="7:7" x14ac:dyDescent="0.25">
      <c r="G152" s="138"/>
    </row>
    <row r="153" spans="7:7" x14ac:dyDescent="0.25">
      <c r="G153" s="138"/>
    </row>
    <row r="154" spans="7:7" x14ac:dyDescent="0.25">
      <c r="G154" s="138"/>
    </row>
    <row r="155" spans="7:7" x14ac:dyDescent="0.25">
      <c r="G155" s="138"/>
    </row>
    <row r="156" spans="7:7" x14ac:dyDescent="0.25">
      <c r="G156" s="138"/>
    </row>
    <row r="157" spans="7:7" x14ac:dyDescent="0.25">
      <c r="G157" s="138"/>
    </row>
    <row r="158" spans="7:7" x14ac:dyDescent="0.25">
      <c r="G158" s="138"/>
    </row>
    <row r="159" spans="7:7" x14ac:dyDescent="0.25">
      <c r="G159" s="138"/>
    </row>
    <row r="160" spans="7:7" x14ac:dyDescent="0.25">
      <c r="G160" s="138"/>
    </row>
    <row r="161" spans="7:7" x14ac:dyDescent="0.25">
      <c r="G161" s="138"/>
    </row>
    <row r="162" spans="7:7" x14ac:dyDescent="0.25">
      <c r="G162" s="138"/>
    </row>
    <row r="163" spans="7:7" x14ac:dyDescent="0.25">
      <c r="G163" s="138"/>
    </row>
    <row r="164" spans="7:7" x14ac:dyDescent="0.25">
      <c r="G164" s="138"/>
    </row>
    <row r="165" spans="7:7" x14ac:dyDescent="0.25">
      <c r="G165" s="138"/>
    </row>
    <row r="166" spans="7:7" x14ac:dyDescent="0.25">
      <c r="G166" s="138"/>
    </row>
    <row r="167" spans="7:7" x14ac:dyDescent="0.25">
      <c r="G167" s="138"/>
    </row>
    <row r="168" spans="7:7" x14ac:dyDescent="0.25">
      <c r="G168" s="138"/>
    </row>
    <row r="169" spans="7:7" x14ac:dyDescent="0.25">
      <c r="G169" s="138"/>
    </row>
    <row r="170" spans="7:7" x14ac:dyDescent="0.25">
      <c r="G170" s="138"/>
    </row>
    <row r="171" spans="7:7" x14ac:dyDescent="0.25">
      <c r="G171" s="138"/>
    </row>
    <row r="172" spans="7:7" x14ac:dyDescent="0.25">
      <c r="G172" s="138"/>
    </row>
    <row r="173" spans="7:7" x14ac:dyDescent="0.25">
      <c r="G173" s="138"/>
    </row>
    <row r="174" spans="7:7" x14ac:dyDescent="0.25">
      <c r="G174" s="138"/>
    </row>
    <row r="175" spans="7:7" x14ac:dyDescent="0.25">
      <c r="G175" s="138"/>
    </row>
    <row r="176" spans="7:7" x14ac:dyDescent="0.25">
      <c r="G176" s="138"/>
    </row>
    <row r="177" spans="7:7" x14ac:dyDescent="0.25">
      <c r="G177" s="138"/>
    </row>
    <row r="178" spans="7:7" x14ac:dyDescent="0.25">
      <c r="G178" s="138"/>
    </row>
    <row r="179" spans="7:7" x14ac:dyDescent="0.25">
      <c r="G179" s="138"/>
    </row>
    <row r="180" spans="7:7" x14ac:dyDescent="0.25">
      <c r="G180" s="138"/>
    </row>
    <row r="181" spans="7:7" x14ac:dyDescent="0.25">
      <c r="G181" s="138"/>
    </row>
    <row r="182" spans="7:7" x14ac:dyDescent="0.25">
      <c r="G182" s="138"/>
    </row>
    <row r="183" spans="7:7" x14ac:dyDescent="0.25">
      <c r="G183" s="138"/>
    </row>
    <row r="184" spans="7:7" x14ac:dyDescent="0.25">
      <c r="G184" s="138"/>
    </row>
    <row r="185" spans="7:7" x14ac:dyDescent="0.25">
      <c r="G185" s="138"/>
    </row>
    <row r="186" spans="7:7" x14ac:dyDescent="0.25">
      <c r="G186" s="138"/>
    </row>
    <row r="187" spans="7:7" x14ac:dyDescent="0.25">
      <c r="G187" s="138"/>
    </row>
    <row r="188" spans="7:7" x14ac:dyDescent="0.25">
      <c r="G188" s="138"/>
    </row>
    <row r="189" spans="7:7" x14ac:dyDescent="0.25">
      <c r="G189" s="138"/>
    </row>
    <row r="190" spans="7:7" x14ac:dyDescent="0.25">
      <c r="G190" s="138"/>
    </row>
    <row r="191" spans="7:7" x14ac:dyDescent="0.25">
      <c r="G191" s="138"/>
    </row>
    <row r="192" spans="7:7" x14ac:dyDescent="0.25">
      <c r="G192" s="138"/>
    </row>
    <row r="193" spans="7:7" x14ac:dyDescent="0.25">
      <c r="G193" s="138"/>
    </row>
    <row r="194" spans="7:7" x14ac:dyDescent="0.25">
      <c r="G194" s="138"/>
    </row>
    <row r="195" spans="7:7" x14ac:dyDescent="0.25">
      <c r="G195" s="138"/>
    </row>
    <row r="196" spans="7:7" x14ac:dyDescent="0.25">
      <c r="G196" s="138"/>
    </row>
    <row r="197" spans="7:7" x14ac:dyDescent="0.25">
      <c r="G197" s="138"/>
    </row>
    <row r="198" spans="7:7" x14ac:dyDescent="0.25">
      <c r="G198" s="138"/>
    </row>
    <row r="199" spans="7:7" x14ac:dyDescent="0.25">
      <c r="G199" s="138"/>
    </row>
    <row r="200" spans="7:7" x14ac:dyDescent="0.25">
      <c r="G200" s="138"/>
    </row>
    <row r="201" spans="7:7" x14ac:dyDescent="0.25">
      <c r="G201" s="138"/>
    </row>
    <row r="202" spans="7:7" x14ac:dyDescent="0.25">
      <c r="G202" s="138"/>
    </row>
    <row r="203" spans="7:7" x14ac:dyDescent="0.25">
      <c r="G203" s="138"/>
    </row>
    <row r="204" spans="7:7" x14ac:dyDescent="0.25">
      <c r="G204" s="138"/>
    </row>
    <row r="205" spans="7:7" x14ac:dyDescent="0.25">
      <c r="G205" s="138"/>
    </row>
    <row r="206" spans="7:7" x14ac:dyDescent="0.25">
      <c r="G206" s="138"/>
    </row>
    <row r="207" spans="7:7" x14ac:dyDescent="0.25">
      <c r="G207" s="138"/>
    </row>
    <row r="208" spans="7:7" x14ac:dyDescent="0.25">
      <c r="G208" s="138"/>
    </row>
    <row r="209" spans="7:7" x14ac:dyDescent="0.25">
      <c r="G209" s="138"/>
    </row>
    <row r="210" spans="7:7" x14ac:dyDescent="0.25">
      <c r="G210" s="138"/>
    </row>
    <row r="211" spans="7:7" x14ac:dyDescent="0.25">
      <c r="G211" s="138"/>
    </row>
    <row r="212" spans="7:7" x14ac:dyDescent="0.25">
      <c r="G212" s="138"/>
    </row>
    <row r="213" spans="7:7" x14ac:dyDescent="0.25">
      <c r="G213" s="138"/>
    </row>
    <row r="214" spans="7:7" x14ac:dyDescent="0.25">
      <c r="G214" s="138"/>
    </row>
    <row r="215" spans="7:7" x14ac:dyDescent="0.25">
      <c r="G215" s="138"/>
    </row>
    <row r="216" spans="7:7" x14ac:dyDescent="0.25">
      <c r="G216" s="138"/>
    </row>
    <row r="217" spans="7:7" x14ac:dyDescent="0.25">
      <c r="G217" s="138"/>
    </row>
    <row r="218" spans="7:7" x14ac:dyDescent="0.25">
      <c r="G218" s="138"/>
    </row>
    <row r="219" spans="7:7" x14ac:dyDescent="0.25">
      <c r="G219" s="138"/>
    </row>
    <row r="220" spans="7:7" x14ac:dyDescent="0.25">
      <c r="G220" s="138"/>
    </row>
    <row r="221" spans="7:7" x14ac:dyDescent="0.25">
      <c r="G221" s="138"/>
    </row>
    <row r="222" spans="7:7" x14ac:dyDescent="0.25">
      <c r="G222" s="138"/>
    </row>
    <row r="223" spans="7:7" x14ac:dyDescent="0.25">
      <c r="G223" s="138"/>
    </row>
    <row r="224" spans="7:7" x14ac:dyDescent="0.25">
      <c r="G224" s="138"/>
    </row>
    <row r="225" spans="7:7" x14ac:dyDescent="0.25">
      <c r="G225" s="138"/>
    </row>
    <row r="226" spans="7:7" x14ac:dyDescent="0.25">
      <c r="G226" s="138"/>
    </row>
    <row r="227" spans="7:7" x14ac:dyDescent="0.25">
      <c r="G227" s="138"/>
    </row>
    <row r="228" spans="7:7" x14ac:dyDescent="0.25">
      <c r="G228" s="138"/>
    </row>
    <row r="229" spans="7:7" x14ac:dyDescent="0.25">
      <c r="G229" s="138"/>
    </row>
    <row r="230" spans="7:7" x14ac:dyDescent="0.25">
      <c r="G230" s="138"/>
    </row>
    <row r="231" spans="7:7" x14ac:dyDescent="0.25">
      <c r="G231" s="138"/>
    </row>
    <row r="232" spans="7:7" x14ac:dyDescent="0.25">
      <c r="G232" s="138"/>
    </row>
    <row r="233" spans="7:7" x14ac:dyDescent="0.25">
      <c r="G233" s="138"/>
    </row>
    <row r="234" spans="7:7" x14ac:dyDescent="0.25">
      <c r="G234" s="138"/>
    </row>
    <row r="235" spans="7:7" x14ac:dyDescent="0.25">
      <c r="G235" s="138"/>
    </row>
    <row r="236" spans="7:7" x14ac:dyDescent="0.25">
      <c r="G236" s="138"/>
    </row>
    <row r="237" spans="7:7" x14ac:dyDescent="0.25">
      <c r="G237" s="138"/>
    </row>
    <row r="238" spans="7:7" x14ac:dyDescent="0.25">
      <c r="G238" s="138"/>
    </row>
    <row r="239" spans="7:7" x14ac:dyDescent="0.25">
      <c r="G239" s="138"/>
    </row>
    <row r="240" spans="7:7" x14ac:dyDescent="0.25">
      <c r="G240" s="138"/>
    </row>
    <row r="241" spans="7:7" x14ac:dyDescent="0.25">
      <c r="G241" s="138"/>
    </row>
    <row r="242" spans="7:7" x14ac:dyDescent="0.25">
      <c r="G242" s="138"/>
    </row>
    <row r="243" spans="7:7" x14ac:dyDescent="0.25">
      <c r="G243" s="138"/>
    </row>
    <row r="244" spans="7:7" x14ac:dyDescent="0.25">
      <c r="G244" s="138"/>
    </row>
    <row r="245" spans="7:7" x14ac:dyDescent="0.25">
      <c r="G245" s="138"/>
    </row>
    <row r="246" spans="7:7" x14ac:dyDescent="0.25">
      <c r="G246" s="138"/>
    </row>
    <row r="247" spans="7:7" x14ac:dyDescent="0.25">
      <c r="G247" s="138"/>
    </row>
    <row r="248" spans="7:7" x14ac:dyDescent="0.25">
      <c r="G248" s="138"/>
    </row>
    <row r="249" spans="7:7" x14ac:dyDescent="0.25">
      <c r="G249" s="138"/>
    </row>
    <row r="250" spans="7:7" x14ac:dyDescent="0.25">
      <c r="G250" s="138"/>
    </row>
    <row r="251" spans="7:7" x14ac:dyDescent="0.25">
      <c r="G251" s="138"/>
    </row>
    <row r="252" spans="7:7" x14ac:dyDescent="0.25">
      <c r="G252" s="138"/>
    </row>
    <row r="253" spans="7:7" x14ac:dyDescent="0.25">
      <c r="G253" s="138"/>
    </row>
    <row r="254" spans="7:7" x14ac:dyDescent="0.25">
      <c r="G254" s="138"/>
    </row>
    <row r="255" spans="7:7" x14ac:dyDescent="0.25">
      <c r="G255" s="138"/>
    </row>
    <row r="256" spans="7:7" x14ac:dyDescent="0.25">
      <c r="G256" s="138"/>
    </row>
    <row r="257" spans="7:7" x14ac:dyDescent="0.25">
      <c r="G257" s="138"/>
    </row>
    <row r="258" spans="7:7" x14ac:dyDescent="0.25">
      <c r="G258" s="138"/>
    </row>
    <row r="259" spans="7:7" x14ac:dyDescent="0.25">
      <c r="G259" s="138"/>
    </row>
    <row r="260" spans="7:7" x14ac:dyDescent="0.25">
      <c r="G260" s="138"/>
    </row>
    <row r="261" spans="7:7" x14ac:dyDescent="0.25">
      <c r="G261" s="138"/>
    </row>
    <row r="262" spans="7:7" x14ac:dyDescent="0.25">
      <c r="G262" s="138"/>
    </row>
    <row r="263" spans="7:7" x14ac:dyDescent="0.25">
      <c r="G263" s="138"/>
    </row>
    <row r="264" spans="7:7" x14ac:dyDescent="0.25">
      <c r="G264" s="138"/>
    </row>
    <row r="265" spans="7:7" x14ac:dyDescent="0.25">
      <c r="G265" s="138"/>
    </row>
    <row r="266" spans="7:7" x14ac:dyDescent="0.25">
      <c r="G266" s="138"/>
    </row>
    <row r="267" spans="7:7" x14ac:dyDescent="0.25">
      <c r="G267" s="138"/>
    </row>
    <row r="268" spans="7:7" x14ac:dyDescent="0.25">
      <c r="G268" s="138"/>
    </row>
    <row r="269" spans="7:7" x14ac:dyDescent="0.25">
      <c r="G269" s="138"/>
    </row>
    <row r="270" spans="7:7" x14ac:dyDescent="0.25">
      <c r="G270" s="138"/>
    </row>
    <row r="271" spans="7:7" x14ac:dyDescent="0.25">
      <c r="G271" s="138"/>
    </row>
    <row r="272" spans="7:7" x14ac:dyDescent="0.25">
      <c r="G272" s="138"/>
    </row>
    <row r="273" spans="7:7" x14ac:dyDescent="0.25">
      <c r="G273" s="138"/>
    </row>
    <row r="274" spans="7:7" x14ac:dyDescent="0.25">
      <c r="G274" s="138"/>
    </row>
    <row r="275" spans="7:7" x14ac:dyDescent="0.25">
      <c r="G275" s="138"/>
    </row>
    <row r="276" spans="7:7" x14ac:dyDescent="0.25">
      <c r="G276" s="138"/>
    </row>
    <row r="277" spans="7:7" x14ac:dyDescent="0.25">
      <c r="G277" s="138"/>
    </row>
    <row r="278" spans="7:7" x14ac:dyDescent="0.25">
      <c r="G278" s="138"/>
    </row>
    <row r="279" spans="7:7" x14ac:dyDescent="0.25">
      <c r="G279" s="138"/>
    </row>
    <row r="280" spans="7:7" x14ac:dyDescent="0.25">
      <c r="G280" s="138"/>
    </row>
    <row r="281" spans="7:7" x14ac:dyDescent="0.25">
      <c r="G281" s="138"/>
    </row>
    <row r="282" spans="7:7" x14ac:dyDescent="0.25">
      <c r="G282" s="138"/>
    </row>
    <row r="283" spans="7:7" x14ac:dyDescent="0.25">
      <c r="G283" s="138"/>
    </row>
    <row r="284" spans="7:7" x14ac:dyDescent="0.25">
      <c r="G284" s="138"/>
    </row>
    <row r="285" spans="7:7" x14ac:dyDescent="0.25">
      <c r="G285" s="138"/>
    </row>
    <row r="286" spans="7:7" x14ac:dyDescent="0.25">
      <c r="G286" s="138"/>
    </row>
    <row r="287" spans="7:7" x14ac:dyDescent="0.25">
      <c r="G287" s="138"/>
    </row>
    <row r="288" spans="7:7" x14ac:dyDescent="0.25">
      <c r="G288" s="138"/>
    </row>
    <row r="289" spans="7:7" x14ac:dyDescent="0.25">
      <c r="G289" s="138"/>
    </row>
    <row r="290" spans="7:7" x14ac:dyDescent="0.25">
      <c r="G290" s="138"/>
    </row>
    <row r="291" spans="7:7" x14ac:dyDescent="0.25">
      <c r="G291" s="138"/>
    </row>
    <row r="292" spans="7:7" x14ac:dyDescent="0.25">
      <c r="G292" s="138"/>
    </row>
    <row r="293" spans="7:7" x14ac:dyDescent="0.25">
      <c r="G293" s="138"/>
    </row>
    <row r="294" spans="7:7" x14ac:dyDescent="0.25">
      <c r="G294" s="138"/>
    </row>
    <row r="295" spans="7:7" x14ac:dyDescent="0.25">
      <c r="G295" s="138"/>
    </row>
    <row r="296" spans="7:7" x14ac:dyDescent="0.25">
      <c r="G296" s="138"/>
    </row>
    <row r="297" spans="7:7" x14ac:dyDescent="0.25">
      <c r="G297" s="138"/>
    </row>
    <row r="298" spans="7:7" x14ac:dyDescent="0.25">
      <c r="G298" s="138"/>
    </row>
    <row r="299" spans="7:7" x14ac:dyDescent="0.25">
      <c r="G299" s="138"/>
    </row>
    <row r="300" spans="7:7" x14ac:dyDescent="0.25">
      <c r="G300" s="138"/>
    </row>
    <row r="301" spans="7:7" x14ac:dyDescent="0.25">
      <c r="G301" s="138"/>
    </row>
    <row r="302" spans="7:7" x14ac:dyDescent="0.25">
      <c r="G302" s="138"/>
    </row>
    <row r="303" spans="7:7" x14ac:dyDescent="0.25">
      <c r="G303" s="138"/>
    </row>
    <row r="304" spans="7:7" x14ac:dyDescent="0.25">
      <c r="G304" s="138"/>
    </row>
    <row r="305" spans="7:7" x14ac:dyDescent="0.25">
      <c r="G305" s="138"/>
    </row>
    <row r="306" spans="7:7" x14ac:dyDescent="0.25">
      <c r="G306" s="138"/>
    </row>
    <row r="307" spans="7:7" x14ac:dyDescent="0.25">
      <c r="G307" s="138"/>
    </row>
    <row r="308" spans="7:7" x14ac:dyDescent="0.25">
      <c r="G308" s="138"/>
    </row>
    <row r="309" spans="7:7" x14ac:dyDescent="0.25">
      <c r="G309" s="138"/>
    </row>
    <row r="310" spans="7:7" x14ac:dyDescent="0.25">
      <c r="G310" s="138"/>
    </row>
    <row r="311" spans="7:7" x14ac:dyDescent="0.25">
      <c r="G311" s="138"/>
    </row>
    <row r="312" spans="7:7" x14ac:dyDescent="0.25">
      <c r="G312" s="138"/>
    </row>
    <row r="313" spans="7:7" x14ac:dyDescent="0.25">
      <c r="G313" s="138"/>
    </row>
    <row r="314" spans="7:7" x14ac:dyDescent="0.25">
      <c r="G314" s="138"/>
    </row>
    <row r="315" spans="7:7" x14ac:dyDescent="0.25">
      <c r="G315" s="138"/>
    </row>
    <row r="316" spans="7:7" x14ac:dyDescent="0.25">
      <c r="G316" s="138"/>
    </row>
    <row r="317" spans="7:7" x14ac:dyDescent="0.25">
      <c r="G317" s="138"/>
    </row>
    <row r="318" spans="7:7" x14ac:dyDescent="0.25">
      <c r="G318" s="138"/>
    </row>
    <row r="319" spans="7:7" x14ac:dyDescent="0.25">
      <c r="G319" s="138"/>
    </row>
    <row r="320" spans="7:7" x14ac:dyDescent="0.25">
      <c r="G320" s="138"/>
    </row>
    <row r="321" spans="7:7" x14ac:dyDescent="0.25">
      <c r="G321" s="138"/>
    </row>
    <row r="322" spans="7:7" x14ac:dyDescent="0.25">
      <c r="G322" s="138"/>
    </row>
    <row r="323" spans="7:7" x14ac:dyDescent="0.25">
      <c r="G323" s="138"/>
    </row>
    <row r="324" spans="7:7" x14ac:dyDescent="0.25">
      <c r="G324" s="138"/>
    </row>
    <row r="325" spans="7:7" x14ac:dyDescent="0.25">
      <c r="G325" s="138"/>
    </row>
    <row r="326" spans="7:7" x14ac:dyDescent="0.25">
      <c r="G326" s="138"/>
    </row>
    <row r="327" spans="7:7" x14ac:dyDescent="0.25">
      <c r="G327" s="138"/>
    </row>
    <row r="328" spans="7:7" x14ac:dyDescent="0.25">
      <c r="G328" s="138"/>
    </row>
    <row r="329" spans="7:7" x14ac:dyDescent="0.25">
      <c r="G329" s="138"/>
    </row>
    <row r="330" spans="7:7" x14ac:dyDescent="0.25">
      <c r="G330" s="138"/>
    </row>
    <row r="331" spans="7:7" x14ac:dyDescent="0.25">
      <c r="G331" s="138"/>
    </row>
    <row r="332" spans="7:7" x14ac:dyDescent="0.25">
      <c r="G332" s="138"/>
    </row>
    <row r="333" spans="7:7" x14ac:dyDescent="0.25">
      <c r="G333" s="138"/>
    </row>
    <row r="334" spans="7:7" x14ac:dyDescent="0.25">
      <c r="G334" s="138"/>
    </row>
    <row r="335" spans="7:7" x14ac:dyDescent="0.25">
      <c r="G335" s="138"/>
    </row>
    <row r="336" spans="7:7" x14ac:dyDescent="0.25">
      <c r="G336" s="138"/>
    </row>
    <row r="337" spans="7:7" x14ac:dyDescent="0.25">
      <c r="G337" s="138"/>
    </row>
    <row r="338" spans="7:7" x14ac:dyDescent="0.25">
      <c r="G338" s="138"/>
    </row>
    <row r="339" spans="7:7" x14ac:dyDescent="0.25">
      <c r="G339" s="138"/>
    </row>
    <row r="340" spans="7:7" x14ac:dyDescent="0.25">
      <c r="G340" s="138"/>
    </row>
    <row r="341" spans="7:7" x14ac:dyDescent="0.25">
      <c r="G341" s="138"/>
    </row>
    <row r="342" spans="7:7" x14ac:dyDescent="0.25">
      <c r="G342" s="138"/>
    </row>
    <row r="343" spans="7:7" x14ac:dyDescent="0.25">
      <c r="G343" s="138"/>
    </row>
    <row r="344" spans="7:7" x14ac:dyDescent="0.25">
      <c r="G344" s="138"/>
    </row>
    <row r="345" spans="7:7" x14ac:dyDescent="0.25">
      <c r="G345" s="138"/>
    </row>
    <row r="346" spans="7:7" x14ac:dyDescent="0.25">
      <c r="G346" s="138"/>
    </row>
    <row r="347" spans="7:7" x14ac:dyDescent="0.25">
      <c r="G347" s="138"/>
    </row>
    <row r="348" spans="7:7" x14ac:dyDescent="0.25">
      <c r="G348" s="138"/>
    </row>
    <row r="349" spans="7:7" x14ac:dyDescent="0.25">
      <c r="G349" s="138"/>
    </row>
    <row r="350" spans="7:7" x14ac:dyDescent="0.25">
      <c r="G350" s="138"/>
    </row>
    <row r="351" spans="7:7" x14ac:dyDescent="0.25">
      <c r="G351" s="138"/>
    </row>
    <row r="352" spans="7:7" x14ac:dyDescent="0.25">
      <c r="G352" s="138"/>
    </row>
    <row r="353" spans="7:7" x14ac:dyDescent="0.25">
      <c r="G353" s="138"/>
    </row>
    <row r="354" spans="7:7" x14ac:dyDescent="0.25">
      <c r="G354" s="138"/>
    </row>
    <row r="355" spans="7:7" x14ac:dyDescent="0.25">
      <c r="G355" s="138"/>
    </row>
    <row r="356" spans="7:7" x14ac:dyDescent="0.25">
      <c r="G356" s="138"/>
    </row>
    <row r="357" spans="7:7" x14ac:dyDescent="0.25">
      <c r="G357" s="138"/>
    </row>
    <row r="358" spans="7:7" x14ac:dyDescent="0.25">
      <c r="G358" s="138"/>
    </row>
    <row r="359" spans="7:7" x14ac:dyDescent="0.25">
      <c r="G359" s="138"/>
    </row>
    <row r="360" spans="7:7" x14ac:dyDescent="0.25">
      <c r="G360" s="138"/>
    </row>
    <row r="361" spans="7:7" x14ac:dyDescent="0.25">
      <c r="G361" s="138"/>
    </row>
    <row r="362" spans="7:7" x14ac:dyDescent="0.25">
      <c r="G362" s="138"/>
    </row>
    <row r="363" spans="7:7" x14ac:dyDescent="0.25">
      <c r="G363" s="138"/>
    </row>
    <row r="364" spans="7:7" x14ac:dyDescent="0.25">
      <c r="G364" s="138"/>
    </row>
    <row r="365" spans="7:7" x14ac:dyDescent="0.25">
      <c r="G365" s="138"/>
    </row>
    <row r="366" spans="7:7" x14ac:dyDescent="0.25">
      <c r="G366" s="138"/>
    </row>
    <row r="367" spans="7:7" x14ac:dyDescent="0.25">
      <c r="G367" s="138"/>
    </row>
    <row r="368" spans="7:7" x14ac:dyDescent="0.25">
      <c r="G368" s="138"/>
    </row>
    <row r="369" spans="7:7" x14ac:dyDescent="0.25">
      <c r="G369" s="138"/>
    </row>
    <row r="370" spans="7:7" x14ac:dyDescent="0.25">
      <c r="G370" s="138"/>
    </row>
    <row r="371" spans="7:7" x14ac:dyDescent="0.25">
      <c r="G371" s="138"/>
    </row>
    <row r="372" spans="7:7" x14ac:dyDescent="0.25">
      <c r="G372" s="138"/>
    </row>
    <row r="373" spans="7:7" x14ac:dyDescent="0.25">
      <c r="G373" s="138"/>
    </row>
    <row r="374" spans="7:7" x14ac:dyDescent="0.25">
      <c r="G374" s="138"/>
    </row>
    <row r="375" spans="7:7" x14ac:dyDescent="0.25">
      <c r="G375" s="138"/>
    </row>
    <row r="376" spans="7:7" x14ac:dyDescent="0.25">
      <c r="G376" s="138"/>
    </row>
    <row r="377" spans="7:7" x14ac:dyDescent="0.25">
      <c r="G377" s="138"/>
    </row>
    <row r="378" spans="7:7" x14ac:dyDescent="0.25">
      <c r="G378" s="138"/>
    </row>
    <row r="379" spans="7:7" x14ac:dyDescent="0.25">
      <c r="G379" s="138"/>
    </row>
    <row r="380" spans="7:7" x14ac:dyDescent="0.25">
      <c r="G380" s="138"/>
    </row>
    <row r="381" spans="7:7" x14ac:dyDescent="0.25">
      <c r="G381" s="138"/>
    </row>
    <row r="382" spans="7:7" x14ac:dyDescent="0.25">
      <c r="G382" s="138"/>
    </row>
    <row r="383" spans="7:7" x14ac:dyDescent="0.25">
      <c r="G383" s="138"/>
    </row>
    <row r="384" spans="7:7" x14ac:dyDescent="0.25">
      <c r="G384" s="138"/>
    </row>
    <row r="385" spans="7:7" x14ac:dyDescent="0.25">
      <c r="G385" s="138"/>
    </row>
    <row r="386" spans="7:7" x14ac:dyDescent="0.25">
      <c r="G386" s="138"/>
    </row>
    <row r="387" spans="7:7" x14ac:dyDescent="0.25">
      <c r="G387" s="138"/>
    </row>
    <row r="388" spans="7:7" x14ac:dyDescent="0.25">
      <c r="G388" s="138"/>
    </row>
    <row r="389" spans="7:7" x14ac:dyDescent="0.25">
      <c r="G389" s="138"/>
    </row>
    <row r="390" spans="7:7" x14ac:dyDescent="0.25">
      <c r="G390" s="138"/>
    </row>
    <row r="391" spans="7:7" x14ac:dyDescent="0.25">
      <c r="G391" s="138"/>
    </row>
    <row r="392" spans="7:7" x14ac:dyDescent="0.25">
      <c r="G392" s="138"/>
    </row>
    <row r="393" spans="7:7" x14ac:dyDescent="0.25">
      <c r="G393" s="138"/>
    </row>
    <row r="394" spans="7:7" x14ac:dyDescent="0.25">
      <c r="G394" s="138"/>
    </row>
    <row r="395" spans="7:7" x14ac:dyDescent="0.25">
      <c r="G395" s="138"/>
    </row>
    <row r="396" spans="7:7" x14ac:dyDescent="0.25">
      <c r="G396" s="138"/>
    </row>
    <row r="397" spans="7:7" x14ac:dyDescent="0.25">
      <c r="G397" s="138"/>
    </row>
    <row r="398" spans="7:7" x14ac:dyDescent="0.25">
      <c r="G398" s="138"/>
    </row>
    <row r="399" spans="7:7" x14ac:dyDescent="0.25">
      <c r="G399" s="138"/>
    </row>
    <row r="400" spans="7:7" x14ac:dyDescent="0.25">
      <c r="G400" s="138"/>
    </row>
    <row r="401" spans="7:7" x14ac:dyDescent="0.25">
      <c r="G401" s="138"/>
    </row>
    <row r="402" spans="7:7" x14ac:dyDescent="0.25">
      <c r="G402" s="138"/>
    </row>
    <row r="403" spans="7:7" x14ac:dyDescent="0.25">
      <c r="G403" s="138"/>
    </row>
    <row r="404" spans="7:7" x14ac:dyDescent="0.25">
      <c r="G404" s="138"/>
    </row>
    <row r="405" spans="7:7" x14ac:dyDescent="0.25">
      <c r="G405" s="138"/>
    </row>
    <row r="406" spans="7:7" x14ac:dyDescent="0.25">
      <c r="G406" s="138"/>
    </row>
    <row r="407" spans="7:7" x14ac:dyDescent="0.25">
      <c r="G407" s="138"/>
    </row>
    <row r="408" spans="7:7" x14ac:dyDescent="0.25">
      <c r="G408" s="138"/>
    </row>
    <row r="409" spans="7:7" x14ac:dyDescent="0.25">
      <c r="G409" s="138"/>
    </row>
    <row r="410" spans="7:7" x14ac:dyDescent="0.25">
      <c r="G410" s="138"/>
    </row>
    <row r="411" spans="7:7" x14ac:dyDescent="0.25">
      <c r="G411" s="138"/>
    </row>
    <row r="412" spans="7:7" x14ac:dyDescent="0.25">
      <c r="G412" s="138"/>
    </row>
    <row r="413" spans="7:7" x14ac:dyDescent="0.25">
      <c r="G413" s="138"/>
    </row>
    <row r="414" spans="7:7" x14ac:dyDescent="0.25">
      <c r="G414" s="138"/>
    </row>
    <row r="415" spans="7:7" x14ac:dyDescent="0.25">
      <c r="G415" s="138"/>
    </row>
    <row r="416" spans="7:7" x14ac:dyDescent="0.25">
      <c r="G416" s="138"/>
    </row>
    <row r="417" spans="7:7" x14ac:dyDescent="0.25">
      <c r="G417" s="138"/>
    </row>
    <row r="418" spans="7:7" x14ac:dyDescent="0.25">
      <c r="G418" s="138"/>
    </row>
    <row r="419" spans="7:7" x14ac:dyDescent="0.25">
      <c r="G419" s="138"/>
    </row>
    <row r="420" spans="7:7" x14ac:dyDescent="0.25">
      <c r="G420" s="138"/>
    </row>
    <row r="421" spans="7:7" x14ac:dyDescent="0.25">
      <c r="G421" s="138"/>
    </row>
    <row r="422" spans="7:7" x14ac:dyDescent="0.25">
      <c r="G422" s="138"/>
    </row>
    <row r="423" spans="7:7" x14ac:dyDescent="0.25">
      <c r="G423" s="138"/>
    </row>
    <row r="424" spans="7:7" x14ac:dyDescent="0.25">
      <c r="G424" s="138"/>
    </row>
    <row r="425" spans="7:7" x14ac:dyDescent="0.25">
      <c r="G425" s="138"/>
    </row>
    <row r="426" spans="7:7" x14ac:dyDescent="0.25">
      <c r="G426" s="138"/>
    </row>
    <row r="427" spans="7:7" x14ac:dyDescent="0.25">
      <c r="G427" s="138"/>
    </row>
    <row r="428" spans="7:7" x14ac:dyDescent="0.25">
      <c r="G428" s="138"/>
    </row>
    <row r="429" spans="7:7" x14ac:dyDescent="0.25">
      <c r="G429" s="138"/>
    </row>
    <row r="430" spans="7:7" x14ac:dyDescent="0.25">
      <c r="G430" s="138"/>
    </row>
    <row r="431" spans="7:7" x14ac:dyDescent="0.25">
      <c r="G431" s="138"/>
    </row>
    <row r="432" spans="7:7" x14ac:dyDescent="0.25">
      <c r="G432" s="138"/>
    </row>
    <row r="433" spans="7:7" x14ac:dyDescent="0.25">
      <c r="G433" s="138"/>
    </row>
    <row r="434" spans="7:7" x14ac:dyDescent="0.25">
      <c r="G434" s="138"/>
    </row>
    <row r="435" spans="7:7" x14ac:dyDescent="0.25">
      <c r="G435" s="138"/>
    </row>
    <row r="436" spans="7:7" x14ac:dyDescent="0.25">
      <c r="G436" s="138"/>
    </row>
    <row r="437" spans="7:7" x14ac:dyDescent="0.25">
      <c r="G437" s="138"/>
    </row>
    <row r="438" spans="7:7" x14ac:dyDescent="0.25">
      <c r="G438" s="138"/>
    </row>
    <row r="439" spans="7:7" x14ac:dyDescent="0.25">
      <c r="G439" s="138"/>
    </row>
    <row r="440" spans="7:7" x14ac:dyDescent="0.25">
      <c r="G440" s="138"/>
    </row>
    <row r="441" spans="7:7" x14ac:dyDescent="0.25">
      <c r="G441" s="138"/>
    </row>
    <row r="442" spans="7:7" x14ac:dyDescent="0.25">
      <c r="G442" s="138"/>
    </row>
    <row r="443" spans="7:7" x14ac:dyDescent="0.25">
      <c r="G443" s="138"/>
    </row>
    <row r="444" spans="7:7" x14ac:dyDescent="0.25">
      <c r="G444" s="138"/>
    </row>
    <row r="445" spans="7:7" x14ac:dyDescent="0.25">
      <c r="G445" s="138"/>
    </row>
    <row r="446" spans="7:7" x14ac:dyDescent="0.25">
      <c r="G446" s="138"/>
    </row>
    <row r="447" spans="7:7" x14ac:dyDescent="0.25">
      <c r="G447" s="138"/>
    </row>
    <row r="448" spans="7:7" x14ac:dyDescent="0.25">
      <c r="G448" s="138"/>
    </row>
    <row r="449" spans="7:7" x14ac:dyDescent="0.25">
      <c r="G449" s="138"/>
    </row>
    <row r="450" spans="7:7" x14ac:dyDescent="0.25">
      <c r="G450" s="138"/>
    </row>
    <row r="451" spans="7:7" x14ac:dyDescent="0.25">
      <c r="G451" s="138"/>
    </row>
    <row r="452" spans="7:7" x14ac:dyDescent="0.25">
      <c r="G452" s="138"/>
    </row>
    <row r="453" spans="7:7" x14ac:dyDescent="0.25">
      <c r="G453" s="138"/>
    </row>
    <row r="454" spans="7:7" x14ac:dyDescent="0.25">
      <c r="G454" s="138"/>
    </row>
    <row r="455" spans="7:7" x14ac:dyDescent="0.25">
      <c r="G455" s="138"/>
    </row>
    <row r="456" spans="7:7" x14ac:dyDescent="0.25">
      <c r="G456" s="138"/>
    </row>
    <row r="457" spans="7:7" x14ac:dyDescent="0.25">
      <c r="G457" s="138"/>
    </row>
    <row r="458" spans="7:7" x14ac:dyDescent="0.25">
      <c r="G458" s="138"/>
    </row>
    <row r="459" spans="7:7" x14ac:dyDescent="0.25">
      <c r="G459" s="138"/>
    </row>
    <row r="460" spans="7:7" x14ac:dyDescent="0.25">
      <c r="G460" s="138"/>
    </row>
    <row r="461" spans="7:7" x14ac:dyDescent="0.25">
      <c r="G461" s="138"/>
    </row>
    <row r="462" spans="7:7" x14ac:dyDescent="0.25">
      <c r="G462" s="138"/>
    </row>
    <row r="463" spans="7:7" x14ac:dyDescent="0.25">
      <c r="G463" s="138"/>
    </row>
    <row r="464" spans="7:7" x14ac:dyDescent="0.25">
      <c r="G464" s="138"/>
    </row>
    <row r="465" spans="7:7" x14ac:dyDescent="0.25">
      <c r="G465" s="138"/>
    </row>
    <row r="466" spans="7:7" x14ac:dyDescent="0.25">
      <c r="G466" s="138"/>
    </row>
    <row r="467" spans="7:7" x14ac:dyDescent="0.25">
      <c r="G467" s="138"/>
    </row>
    <row r="468" spans="7:7" x14ac:dyDescent="0.25">
      <c r="G468" s="138"/>
    </row>
    <row r="469" spans="7:7" x14ac:dyDescent="0.25">
      <c r="G469" s="138"/>
    </row>
    <row r="470" spans="7:7" x14ac:dyDescent="0.25">
      <c r="G470" s="138"/>
    </row>
    <row r="471" spans="7:7" x14ac:dyDescent="0.25">
      <c r="G471" s="138"/>
    </row>
    <row r="472" spans="7:7" x14ac:dyDescent="0.25">
      <c r="G472" s="138"/>
    </row>
    <row r="473" spans="7:7" x14ac:dyDescent="0.25">
      <c r="G473" s="138"/>
    </row>
    <row r="474" spans="7:7" x14ac:dyDescent="0.25">
      <c r="G474" s="138"/>
    </row>
    <row r="475" spans="7:7" x14ac:dyDescent="0.25">
      <c r="G475" s="138"/>
    </row>
    <row r="476" spans="7:7" x14ac:dyDescent="0.25">
      <c r="G476" s="138"/>
    </row>
    <row r="477" spans="7:7" x14ac:dyDescent="0.25">
      <c r="G477" s="138"/>
    </row>
    <row r="478" spans="7:7" x14ac:dyDescent="0.25">
      <c r="G478" s="138"/>
    </row>
    <row r="479" spans="7:7" x14ac:dyDescent="0.25">
      <c r="G479" s="138"/>
    </row>
    <row r="480" spans="7:7" x14ac:dyDescent="0.25">
      <c r="G480" s="138"/>
    </row>
    <row r="481" spans="7:7" x14ac:dyDescent="0.25">
      <c r="G481" s="138"/>
    </row>
    <row r="482" spans="7:7" x14ac:dyDescent="0.25">
      <c r="G482" s="138"/>
    </row>
    <row r="483" spans="7:7" x14ac:dyDescent="0.25">
      <c r="G483" s="138"/>
    </row>
    <row r="484" spans="7:7" x14ac:dyDescent="0.25">
      <c r="G484" s="138"/>
    </row>
    <row r="485" spans="7:7" x14ac:dyDescent="0.25">
      <c r="G485" s="138"/>
    </row>
    <row r="486" spans="7:7" x14ac:dyDescent="0.25">
      <c r="G486" s="138"/>
    </row>
    <row r="487" spans="7:7" x14ac:dyDescent="0.25">
      <c r="G487" s="138"/>
    </row>
    <row r="488" spans="7:7" x14ac:dyDescent="0.25">
      <c r="G488" s="138"/>
    </row>
    <row r="489" spans="7:7" x14ac:dyDescent="0.25">
      <c r="G489" s="138"/>
    </row>
    <row r="490" spans="7:7" x14ac:dyDescent="0.25">
      <c r="G490" s="138"/>
    </row>
    <row r="491" spans="7:7" x14ac:dyDescent="0.25">
      <c r="G491" s="138"/>
    </row>
    <row r="492" spans="7:7" x14ac:dyDescent="0.25">
      <c r="G492" s="138"/>
    </row>
    <row r="493" spans="7:7" x14ac:dyDescent="0.25">
      <c r="G493" s="138"/>
    </row>
    <row r="494" spans="7:7" x14ac:dyDescent="0.25">
      <c r="G494" s="138"/>
    </row>
    <row r="495" spans="7:7" x14ac:dyDescent="0.25">
      <c r="G495" s="138"/>
    </row>
    <row r="496" spans="7:7" x14ac:dyDescent="0.25">
      <c r="G496" s="138"/>
    </row>
    <row r="497" spans="7:7" x14ac:dyDescent="0.25">
      <c r="G497" s="138"/>
    </row>
    <row r="498" spans="7:7" x14ac:dyDescent="0.25">
      <c r="G498" s="138"/>
    </row>
    <row r="499" spans="7:7" x14ac:dyDescent="0.25">
      <c r="G499" s="138"/>
    </row>
    <row r="500" spans="7:7" x14ac:dyDescent="0.25">
      <c r="G500" s="138"/>
    </row>
    <row r="501" spans="7:7" x14ac:dyDescent="0.25">
      <c r="G501" s="138"/>
    </row>
    <row r="502" spans="7:7" x14ac:dyDescent="0.25">
      <c r="G502" s="138"/>
    </row>
    <row r="503" spans="7:7" x14ac:dyDescent="0.25">
      <c r="G503" s="138"/>
    </row>
    <row r="504" spans="7:7" x14ac:dyDescent="0.25">
      <c r="G504" s="138"/>
    </row>
    <row r="505" spans="7:7" x14ac:dyDescent="0.25">
      <c r="G505" s="138"/>
    </row>
    <row r="506" spans="7:7" x14ac:dyDescent="0.25">
      <c r="G506" s="138"/>
    </row>
    <row r="507" spans="7:7" x14ac:dyDescent="0.25">
      <c r="G507" s="138"/>
    </row>
    <row r="508" spans="7:7" x14ac:dyDescent="0.25">
      <c r="G508" s="138"/>
    </row>
    <row r="509" spans="7:7" x14ac:dyDescent="0.25">
      <c r="G509" s="138"/>
    </row>
    <row r="510" spans="7:7" x14ac:dyDescent="0.25">
      <c r="G510" s="138"/>
    </row>
    <row r="511" spans="7:7" x14ac:dyDescent="0.25">
      <c r="G511" s="138"/>
    </row>
    <row r="512" spans="7:7" x14ac:dyDescent="0.25">
      <c r="G512" s="138"/>
    </row>
    <row r="513" spans="7:7" x14ac:dyDescent="0.25">
      <c r="G513" s="138"/>
    </row>
    <row r="514" spans="7:7" x14ac:dyDescent="0.25">
      <c r="G514" s="138"/>
    </row>
    <row r="515" spans="7:7" x14ac:dyDescent="0.25">
      <c r="G515" s="138"/>
    </row>
    <row r="516" spans="7:7" x14ac:dyDescent="0.25">
      <c r="G516" s="138"/>
    </row>
    <row r="517" spans="7:7" x14ac:dyDescent="0.25">
      <c r="G517" s="138"/>
    </row>
    <row r="518" spans="7:7" x14ac:dyDescent="0.25">
      <c r="G518" s="138"/>
    </row>
    <row r="519" spans="7:7" x14ac:dyDescent="0.25">
      <c r="G519" s="138"/>
    </row>
    <row r="520" spans="7:7" x14ac:dyDescent="0.25">
      <c r="G520" s="138"/>
    </row>
    <row r="521" spans="7:7" x14ac:dyDescent="0.25">
      <c r="G521" s="138"/>
    </row>
    <row r="522" spans="7:7" x14ac:dyDescent="0.25">
      <c r="G522" s="138"/>
    </row>
    <row r="523" spans="7:7" x14ac:dyDescent="0.25">
      <c r="G523" s="138"/>
    </row>
    <row r="524" spans="7:7" x14ac:dyDescent="0.25">
      <c r="G524" s="138"/>
    </row>
    <row r="525" spans="7:7" x14ac:dyDescent="0.25">
      <c r="G525" s="138"/>
    </row>
    <row r="526" spans="7:7" x14ac:dyDescent="0.25">
      <c r="G526" s="138"/>
    </row>
    <row r="527" spans="7:7" x14ac:dyDescent="0.25">
      <c r="G527" s="138"/>
    </row>
    <row r="528" spans="7:7" x14ac:dyDescent="0.25">
      <c r="G528" s="138"/>
    </row>
    <row r="529" spans="7:7" x14ac:dyDescent="0.25">
      <c r="G529" s="138"/>
    </row>
    <row r="530" spans="7:7" x14ac:dyDescent="0.25">
      <c r="G530" s="138"/>
    </row>
    <row r="531" spans="7:7" x14ac:dyDescent="0.25">
      <c r="G531" s="138"/>
    </row>
    <row r="532" spans="7:7" x14ac:dyDescent="0.25">
      <c r="G532" s="138"/>
    </row>
    <row r="533" spans="7:7" x14ac:dyDescent="0.25">
      <c r="G533" s="138"/>
    </row>
    <row r="534" spans="7:7" x14ac:dyDescent="0.25">
      <c r="G534" s="138"/>
    </row>
    <row r="535" spans="7:7" x14ac:dyDescent="0.25">
      <c r="G535" s="138"/>
    </row>
    <row r="536" spans="7:7" x14ac:dyDescent="0.25">
      <c r="G536" s="138"/>
    </row>
    <row r="537" spans="7:7" x14ac:dyDescent="0.25">
      <c r="G537" s="138"/>
    </row>
    <row r="538" spans="7:7" x14ac:dyDescent="0.25">
      <c r="G538" s="138"/>
    </row>
    <row r="539" spans="7:7" x14ac:dyDescent="0.25">
      <c r="G539" s="138"/>
    </row>
    <row r="540" spans="7:7" x14ac:dyDescent="0.25">
      <c r="G540" s="138"/>
    </row>
    <row r="541" spans="7:7" x14ac:dyDescent="0.25">
      <c r="G541" s="138"/>
    </row>
    <row r="542" spans="7:7" x14ac:dyDescent="0.25">
      <c r="G542" s="138"/>
    </row>
    <row r="543" spans="7:7" x14ac:dyDescent="0.25">
      <c r="G543" s="138"/>
    </row>
    <row r="544" spans="7:7" x14ac:dyDescent="0.25">
      <c r="G544" s="138"/>
    </row>
    <row r="545" spans="7:7" x14ac:dyDescent="0.25">
      <c r="G545" s="138"/>
    </row>
    <row r="546" spans="7:7" x14ac:dyDescent="0.25">
      <c r="G546" s="138"/>
    </row>
    <row r="547" spans="7:7" x14ac:dyDescent="0.25">
      <c r="G547" s="138"/>
    </row>
    <row r="548" spans="7:7" x14ac:dyDescent="0.25">
      <c r="G548" s="138"/>
    </row>
    <row r="549" spans="7:7" x14ac:dyDescent="0.25">
      <c r="G549" s="138"/>
    </row>
    <row r="550" spans="7:7" x14ac:dyDescent="0.25">
      <c r="G550" s="138"/>
    </row>
    <row r="551" spans="7:7" x14ac:dyDescent="0.25">
      <c r="G551" s="138"/>
    </row>
    <row r="552" spans="7:7" x14ac:dyDescent="0.25">
      <c r="G552" s="138"/>
    </row>
    <row r="553" spans="7:7" x14ac:dyDescent="0.25">
      <c r="G553" s="138"/>
    </row>
    <row r="554" spans="7:7" x14ac:dyDescent="0.25">
      <c r="G554" s="138"/>
    </row>
    <row r="555" spans="7:7" x14ac:dyDescent="0.25">
      <c r="G555" s="138"/>
    </row>
    <row r="556" spans="7:7" x14ac:dyDescent="0.25">
      <c r="G556" s="138"/>
    </row>
    <row r="557" spans="7:7" x14ac:dyDescent="0.25">
      <c r="G557" s="138"/>
    </row>
    <row r="558" spans="7:7" x14ac:dyDescent="0.25">
      <c r="G558" s="138"/>
    </row>
    <row r="559" spans="7:7" x14ac:dyDescent="0.25">
      <c r="G559" s="138"/>
    </row>
    <row r="560" spans="7:7" x14ac:dyDescent="0.25">
      <c r="G560" s="138"/>
    </row>
    <row r="561" spans="7:7" x14ac:dyDescent="0.25">
      <c r="G561" s="138"/>
    </row>
    <row r="562" spans="7:7" x14ac:dyDescent="0.25">
      <c r="G562" s="138"/>
    </row>
    <row r="563" spans="7:7" x14ac:dyDescent="0.25">
      <c r="G563" s="138"/>
    </row>
    <row r="564" spans="7:7" x14ac:dyDescent="0.25">
      <c r="G564" s="138"/>
    </row>
    <row r="565" spans="7:7" x14ac:dyDescent="0.25">
      <c r="G565" s="138"/>
    </row>
    <row r="566" spans="7:7" x14ac:dyDescent="0.25">
      <c r="G566" s="138"/>
    </row>
    <row r="567" spans="7:7" x14ac:dyDescent="0.25">
      <c r="G567" s="138"/>
    </row>
    <row r="568" spans="7:7" x14ac:dyDescent="0.25">
      <c r="G568" s="138"/>
    </row>
    <row r="569" spans="7:7" x14ac:dyDescent="0.25">
      <c r="G569" s="138"/>
    </row>
    <row r="570" spans="7:7" x14ac:dyDescent="0.25">
      <c r="G570" s="138"/>
    </row>
    <row r="571" spans="7:7" x14ac:dyDescent="0.25">
      <c r="G571" s="138"/>
    </row>
    <row r="572" spans="7:7" x14ac:dyDescent="0.25">
      <c r="G572" s="138"/>
    </row>
    <row r="573" spans="7:7" x14ac:dyDescent="0.25">
      <c r="G573" s="138"/>
    </row>
    <row r="574" spans="7:7" x14ac:dyDescent="0.25">
      <c r="G574" s="138"/>
    </row>
    <row r="575" spans="7:7" x14ac:dyDescent="0.25">
      <c r="G575" s="138"/>
    </row>
    <row r="576" spans="7:7" x14ac:dyDescent="0.25">
      <c r="G576" s="138"/>
    </row>
    <row r="577" spans="7:7" x14ac:dyDescent="0.25">
      <c r="G577" s="138"/>
    </row>
    <row r="578" spans="7:7" x14ac:dyDescent="0.25">
      <c r="G578" s="138"/>
    </row>
    <row r="579" spans="7:7" x14ac:dyDescent="0.25">
      <c r="G579" s="138"/>
    </row>
    <row r="580" spans="7:7" x14ac:dyDescent="0.25">
      <c r="G580" s="138"/>
    </row>
    <row r="581" spans="7:7" x14ac:dyDescent="0.25">
      <c r="G581" s="138"/>
    </row>
    <row r="582" spans="7:7" x14ac:dyDescent="0.25">
      <c r="G582" s="138"/>
    </row>
    <row r="583" spans="7:7" x14ac:dyDescent="0.25">
      <c r="G583" s="138"/>
    </row>
    <row r="584" spans="7:7" x14ac:dyDescent="0.25">
      <c r="G584" s="138"/>
    </row>
    <row r="585" spans="7:7" x14ac:dyDescent="0.25">
      <c r="G585" s="138"/>
    </row>
    <row r="586" spans="7:7" x14ac:dyDescent="0.25">
      <c r="G586" s="138"/>
    </row>
    <row r="587" spans="7:7" x14ac:dyDescent="0.25">
      <c r="G587" s="138"/>
    </row>
    <row r="588" spans="7:7" x14ac:dyDescent="0.25">
      <c r="G588" s="138"/>
    </row>
    <row r="589" spans="7:7" x14ac:dyDescent="0.25">
      <c r="G589" s="138"/>
    </row>
    <row r="590" spans="7:7" x14ac:dyDescent="0.25">
      <c r="G590" s="138"/>
    </row>
    <row r="591" spans="7:7" x14ac:dyDescent="0.25">
      <c r="G591" s="138"/>
    </row>
    <row r="592" spans="7:7" x14ac:dyDescent="0.25">
      <c r="G592" s="138"/>
    </row>
    <row r="593" spans="7:7" x14ac:dyDescent="0.25">
      <c r="G593" s="138"/>
    </row>
    <row r="594" spans="7:7" x14ac:dyDescent="0.25">
      <c r="G594" s="138"/>
    </row>
    <row r="595" spans="7:7" x14ac:dyDescent="0.25">
      <c r="G595" s="138"/>
    </row>
    <row r="596" spans="7:7" x14ac:dyDescent="0.25">
      <c r="G596" s="138"/>
    </row>
    <row r="597" spans="7:7" x14ac:dyDescent="0.25">
      <c r="G597" s="138"/>
    </row>
    <row r="598" spans="7:7" x14ac:dyDescent="0.25">
      <c r="G598" s="138"/>
    </row>
    <row r="599" spans="7:7" x14ac:dyDescent="0.25">
      <c r="G599" s="138"/>
    </row>
    <row r="600" spans="7:7" x14ac:dyDescent="0.25">
      <c r="G600" s="138"/>
    </row>
    <row r="601" spans="7:7" x14ac:dyDescent="0.25">
      <c r="G601" s="138"/>
    </row>
    <row r="602" spans="7:7" x14ac:dyDescent="0.25">
      <c r="G602" s="138"/>
    </row>
    <row r="603" spans="7:7" x14ac:dyDescent="0.25">
      <c r="G603" s="138"/>
    </row>
    <row r="604" spans="7:7" x14ac:dyDescent="0.25">
      <c r="G604" s="138"/>
    </row>
    <row r="605" spans="7:7" x14ac:dyDescent="0.25">
      <c r="G605" s="138"/>
    </row>
    <row r="606" spans="7:7" x14ac:dyDescent="0.25">
      <c r="G606" s="138"/>
    </row>
    <row r="607" spans="7:7" x14ac:dyDescent="0.25">
      <c r="G607" s="138"/>
    </row>
    <row r="608" spans="7:7" x14ac:dyDescent="0.25">
      <c r="G608" s="138"/>
    </row>
    <row r="609" spans="7:7" x14ac:dyDescent="0.25">
      <c r="G609" s="138"/>
    </row>
    <row r="610" spans="7:7" x14ac:dyDescent="0.25">
      <c r="G610" s="138"/>
    </row>
    <row r="611" spans="7:7" x14ac:dyDescent="0.25">
      <c r="G611" s="138"/>
    </row>
    <row r="612" spans="7:7" x14ac:dyDescent="0.25">
      <c r="G612" s="138"/>
    </row>
    <row r="613" spans="7:7" x14ac:dyDescent="0.25">
      <c r="G613" s="138"/>
    </row>
    <row r="614" spans="7:7" x14ac:dyDescent="0.25">
      <c r="G614" s="138"/>
    </row>
    <row r="615" spans="7:7" x14ac:dyDescent="0.25">
      <c r="G615" s="138"/>
    </row>
    <row r="616" spans="7:7" x14ac:dyDescent="0.25">
      <c r="G616" s="138"/>
    </row>
    <row r="617" spans="7:7" x14ac:dyDescent="0.25">
      <c r="G617" s="138"/>
    </row>
    <row r="618" spans="7:7" x14ac:dyDescent="0.25">
      <c r="G618" s="138"/>
    </row>
    <row r="619" spans="7:7" x14ac:dyDescent="0.25">
      <c r="G619" s="138"/>
    </row>
    <row r="620" spans="7:7" x14ac:dyDescent="0.25">
      <c r="G620" s="138"/>
    </row>
    <row r="621" spans="7:7" x14ac:dyDescent="0.25">
      <c r="G621" s="138"/>
    </row>
    <row r="622" spans="7:7" x14ac:dyDescent="0.25">
      <c r="G622" s="138"/>
    </row>
    <row r="623" spans="7:7" x14ac:dyDescent="0.25">
      <c r="G623" s="138"/>
    </row>
    <row r="624" spans="7:7" x14ac:dyDescent="0.25">
      <c r="G624" s="138"/>
    </row>
    <row r="625" spans="7:7" x14ac:dyDescent="0.25">
      <c r="G625" s="138"/>
    </row>
    <row r="626" spans="7:7" x14ac:dyDescent="0.25">
      <c r="G626" s="138"/>
    </row>
    <row r="627" spans="7:7" x14ac:dyDescent="0.25">
      <c r="G627" s="138"/>
    </row>
    <row r="628" spans="7:7" x14ac:dyDescent="0.25">
      <c r="G628" s="138"/>
    </row>
    <row r="629" spans="7:7" x14ac:dyDescent="0.25">
      <c r="G629" s="138"/>
    </row>
    <row r="630" spans="7:7" x14ac:dyDescent="0.25">
      <c r="G630" s="138"/>
    </row>
    <row r="631" spans="7:7" x14ac:dyDescent="0.25">
      <c r="G631" s="138"/>
    </row>
    <row r="632" spans="7:7" x14ac:dyDescent="0.25">
      <c r="G632" s="138"/>
    </row>
    <row r="633" spans="7:7" x14ac:dyDescent="0.25">
      <c r="G633" s="138"/>
    </row>
    <row r="634" spans="7:7" x14ac:dyDescent="0.25">
      <c r="G634" s="138"/>
    </row>
    <row r="635" spans="7:7" x14ac:dyDescent="0.25">
      <c r="G635" s="138"/>
    </row>
    <row r="636" spans="7:7" x14ac:dyDescent="0.25">
      <c r="G636" s="138"/>
    </row>
    <row r="637" spans="7:7" x14ac:dyDescent="0.25">
      <c r="G637" s="138"/>
    </row>
    <row r="638" spans="7:7" x14ac:dyDescent="0.25">
      <c r="G638" s="138"/>
    </row>
    <row r="639" spans="7:7" x14ac:dyDescent="0.25">
      <c r="G639" s="138"/>
    </row>
    <row r="640" spans="7:7" x14ac:dyDescent="0.25">
      <c r="G640" s="138"/>
    </row>
    <row r="641" spans="7:7" x14ac:dyDescent="0.25">
      <c r="G641" s="138"/>
    </row>
    <row r="642" spans="7:7" x14ac:dyDescent="0.25">
      <c r="G642" s="138"/>
    </row>
    <row r="643" spans="7:7" x14ac:dyDescent="0.25">
      <c r="G643" s="138"/>
    </row>
    <row r="644" spans="7:7" x14ac:dyDescent="0.25">
      <c r="G644" s="138"/>
    </row>
    <row r="645" spans="7:7" x14ac:dyDescent="0.25">
      <c r="G645" s="138"/>
    </row>
    <row r="646" spans="7:7" x14ac:dyDescent="0.25">
      <c r="G646" s="138"/>
    </row>
    <row r="647" spans="7:7" x14ac:dyDescent="0.25">
      <c r="G647" s="138"/>
    </row>
    <row r="648" spans="7:7" x14ac:dyDescent="0.25">
      <c r="G648" s="138"/>
    </row>
    <row r="649" spans="7:7" x14ac:dyDescent="0.25">
      <c r="G649" s="138"/>
    </row>
    <row r="650" spans="7:7" x14ac:dyDescent="0.25">
      <c r="G650" s="138"/>
    </row>
    <row r="651" spans="7:7" x14ac:dyDescent="0.25">
      <c r="G651" s="138"/>
    </row>
    <row r="652" spans="7:7" x14ac:dyDescent="0.25">
      <c r="G652" s="138"/>
    </row>
    <row r="653" spans="7:7" x14ac:dyDescent="0.25">
      <c r="G653" s="138"/>
    </row>
    <row r="654" spans="7:7" x14ac:dyDescent="0.25">
      <c r="G654" s="138"/>
    </row>
    <row r="655" spans="7:7" x14ac:dyDescent="0.25">
      <c r="G655" s="138"/>
    </row>
    <row r="656" spans="7:7" x14ac:dyDescent="0.25">
      <c r="G656" s="138"/>
    </row>
    <row r="657" spans="7:7" x14ac:dyDescent="0.25">
      <c r="G657" s="138"/>
    </row>
    <row r="658" spans="7:7" x14ac:dyDescent="0.25">
      <c r="G658" s="138"/>
    </row>
    <row r="659" spans="7:7" x14ac:dyDescent="0.25">
      <c r="G659" s="138"/>
    </row>
    <row r="660" spans="7:7" x14ac:dyDescent="0.25">
      <c r="G660" s="138"/>
    </row>
    <row r="661" spans="7:7" x14ac:dyDescent="0.25">
      <c r="G661" s="138"/>
    </row>
    <row r="662" spans="7:7" x14ac:dyDescent="0.25">
      <c r="G662" s="138"/>
    </row>
    <row r="663" spans="7:7" x14ac:dyDescent="0.25">
      <c r="G663" s="138"/>
    </row>
    <row r="664" spans="7:7" x14ac:dyDescent="0.25">
      <c r="G664" s="138"/>
    </row>
    <row r="665" spans="7:7" x14ac:dyDescent="0.25">
      <c r="G665" s="138"/>
    </row>
    <row r="666" spans="7:7" x14ac:dyDescent="0.25">
      <c r="G666" s="138"/>
    </row>
    <row r="667" spans="7:7" x14ac:dyDescent="0.25">
      <c r="G667" s="138"/>
    </row>
    <row r="668" spans="7:7" x14ac:dyDescent="0.25">
      <c r="G668" s="138"/>
    </row>
    <row r="669" spans="7:7" x14ac:dyDescent="0.25">
      <c r="G669" s="138"/>
    </row>
    <row r="670" spans="7:7" x14ac:dyDescent="0.25">
      <c r="G670" s="138"/>
    </row>
    <row r="671" spans="7:7" x14ac:dyDescent="0.25">
      <c r="G671" s="138"/>
    </row>
    <row r="672" spans="7:7" x14ac:dyDescent="0.25">
      <c r="G672" s="138"/>
    </row>
    <row r="673" spans="7:7" x14ac:dyDescent="0.25">
      <c r="G673" s="138"/>
    </row>
    <row r="674" spans="7:7" x14ac:dyDescent="0.25">
      <c r="G674" s="138"/>
    </row>
    <row r="675" spans="7:7" x14ac:dyDescent="0.25">
      <c r="G675" s="138"/>
    </row>
    <row r="676" spans="7:7" x14ac:dyDescent="0.25">
      <c r="G676" s="138"/>
    </row>
    <row r="677" spans="7:7" x14ac:dyDescent="0.25">
      <c r="G677" s="138"/>
    </row>
    <row r="678" spans="7:7" x14ac:dyDescent="0.25">
      <c r="G678" s="138"/>
    </row>
    <row r="679" spans="7:7" x14ac:dyDescent="0.25">
      <c r="G679" s="138"/>
    </row>
    <row r="680" spans="7:7" x14ac:dyDescent="0.25">
      <c r="G680" s="138"/>
    </row>
    <row r="681" spans="7:7" x14ac:dyDescent="0.25">
      <c r="G681" s="138"/>
    </row>
    <row r="682" spans="7:7" x14ac:dyDescent="0.25">
      <c r="G682" s="138"/>
    </row>
    <row r="683" spans="7:7" x14ac:dyDescent="0.25">
      <c r="G683" s="138"/>
    </row>
    <row r="684" spans="7:7" x14ac:dyDescent="0.25">
      <c r="G684" s="138"/>
    </row>
    <row r="685" spans="7:7" x14ac:dyDescent="0.25">
      <c r="G685" s="138"/>
    </row>
    <row r="686" spans="7:7" x14ac:dyDescent="0.25">
      <c r="G686" s="138"/>
    </row>
    <row r="687" spans="7:7" x14ac:dyDescent="0.25">
      <c r="G687" s="138"/>
    </row>
    <row r="688" spans="7:7" x14ac:dyDescent="0.25">
      <c r="G688" s="138"/>
    </row>
    <row r="689" spans="7:7" x14ac:dyDescent="0.25">
      <c r="G689" s="138"/>
    </row>
    <row r="690" spans="7:7" x14ac:dyDescent="0.25">
      <c r="G690" s="138"/>
    </row>
    <row r="691" spans="7:7" x14ac:dyDescent="0.25">
      <c r="G691" s="138"/>
    </row>
    <row r="692" spans="7:7" x14ac:dyDescent="0.25">
      <c r="G692" s="138"/>
    </row>
    <row r="693" spans="7:7" x14ac:dyDescent="0.25">
      <c r="G693" s="138"/>
    </row>
    <row r="694" spans="7:7" x14ac:dyDescent="0.25">
      <c r="G694" s="138"/>
    </row>
    <row r="695" spans="7:7" x14ac:dyDescent="0.25">
      <c r="G695" s="138"/>
    </row>
    <row r="696" spans="7:7" x14ac:dyDescent="0.25">
      <c r="G696" s="138"/>
    </row>
    <row r="697" spans="7:7" x14ac:dyDescent="0.25">
      <c r="G697" s="138"/>
    </row>
    <row r="698" spans="7:7" x14ac:dyDescent="0.25">
      <c r="G698" s="138"/>
    </row>
    <row r="699" spans="7:7" x14ac:dyDescent="0.25">
      <c r="G699" s="138"/>
    </row>
    <row r="700" spans="7:7" x14ac:dyDescent="0.25">
      <c r="G700" s="138"/>
    </row>
    <row r="701" spans="7:7" x14ac:dyDescent="0.25">
      <c r="G701" s="138"/>
    </row>
    <row r="702" spans="7:7" x14ac:dyDescent="0.25">
      <c r="G702" s="138"/>
    </row>
    <row r="703" spans="7:7" x14ac:dyDescent="0.25">
      <c r="G703" s="138"/>
    </row>
    <row r="704" spans="7:7" x14ac:dyDescent="0.25">
      <c r="G704" s="138"/>
    </row>
    <row r="705" spans="7:7" x14ac:dyDescent="0.25">
      <c r="G705" s="138"/>
    </row>
    <row r="706" spans="7:7" x14ac:dyDescent="0.25">
      <c r="G706" s="138"/>
    </row>
    <row r="707" spans="7:7" x14ac:dyDescent="0.25">
      <c r="G707" s="138"/>
    </row>
    <row r="708" spans="7:7" x14ac:dyDescent="0.25">
      <c r="G708" s="138"/>
    </row>
    <row r="709" spans="7:7" x14ac:dyDescent="0.25">
      <c r="G709" s="138"/>
    </row>
    <row r="710" spans="7:7" x14ac:dyDescent="0.25">
      <c r="G710" s="138"/>
    </row>
    <row r="711" spans="7:7" x14ac:dyDescent="0.25">
      <c r="G711" s="138"/>
    </row>
    <row r="712" spans="7:7" x14ac:dyDescent="0.25">
      <c r="G712" s="138"/>
    </row>
    <row r="713" spans="7:7" x14ac:dyDescent="0.25">
      <c r="G713" s="138"/>
    </row>
    <row r="714" spans="7:7" x14ac:dyDescent="0.25">
      <c r="G714" s="138"/>
    </row>
    <row r="715" spans="7:7" x14ac:dyDescent="0.25">
      <c r="G715" s="138"/>
    </row>
    <row r="716" spans="7:7" x14ac:dyDescent="0.25">
      <c r="G716" s="138"/>
    </row>
    <row r="717" spans="7:7" x14ac:dyDescent="0.25">
      <c r="G717" s="138"/>
    </row>
    <row r="718" spans="7:7" x14ac:dyDescent="0.25">
      <c r="G718" s="138"/>
    </row>
    <row r="719" spans="7:7" x14ac:dyDescent="0.25">
      <c r="G719" s="138"/>
    </row>
    <row r="720" spans="7:7" x14ac:dyDescent="0.25">
      <c r="G720" s="138"/>
    </row>
    <row r="721" spans="7:7" x14ac:dyDescent="0.25">
      <c r="G721" s="138"/>
    </row>
    <row r="722" spans="7:7" x14ac:dyDescent="0.25">
      <c r="G722" s="138"/>
    </row>
    <row r="723" spans="7:7" x14ac:dyDescent="0.25">
      <c r="G723" s="138"/>
    </row>
    <row r="724" spans="7:7" x14ac:dyDescent="0.25">
      <c r="G724" s="138"/>
    </row>
    <row r="725" spans="7:7" x14ac:dyDescent="0.25">
      <c r="G725" s="138"/>
    </row>
    <row r="726" spans="7:7" x14ac:dyDescent="0.25">
      <c r="G726" s="138"/>
    </row>
    <row r="727" spans="7:7" x14ac:dyDescent="0.25">
      <c r="G727" s="138"/>
    </row>
    <row r="728" spans="7:7" x14ac:dyDescent="0.25">
      <c r="G728" s="138"/>
    </row>
    <row r="729" spans="7:7" x14ac:dyDescent="0.25">
      <c r="G729" s="138"/>
    </row>
    <row r="730" spans="7:7" x14ac:dyDescent="0.25">
      <c r="G730" s="138"/>
    </row>
    <row r="731" spans="7:7" x14ac:dyDescent="0.25">
      <c r="G731" s="138"/>
    </row>
    <row r="732" spans="7:7" x14ac:dyDescent="0.25">
      <c r="G732" s="138"/>
    </row>
    <row r="733" spans="7:7" x14ac:dyDescent="0.25">
      <c r="G733" s="138"/>
    </row>
    <row r="734" spans="7:7" x14ac:dyDescent="0.25">
      <c r="G734" s="138"/>
    </row>
    <row r="735" spans="7:7" x14ac:dyDescent="0.25">
      <c r="G735" s="138"/>
    </row>
    <row r="736" spans="7:7" x14ac:dyDescent="0.25">
      <c r="G736" s="138"/>
    </row>
    <row r="737" spans="7:7" x14ac:dyDescent="0.25">
      <c r="G737" s="138"/>
    </row>
    <row r="738" spans="7:7" x14ac:dyDescent="0.25">
      <c r="G738" s="138"/>
    </row>
    <row r="739" spans="7:7" x14ac:dyDescent="0.25">
      <c r="G739" s="138"/>
    </row>
    <row r="740" spans="7:7" x14ac:dyDescent="0.25">
      <c r="G740" s="138"/>
    </row>
    <row r="741" spans="7:7" x14ac:dyDescent="0.25">
      <c r="G741" s="138"/>
    </row>
    <row r="742" spans="7:7" x14ac:dyDescent="0.25">
      <c r="G742" s="138"/>
    </row>
    <row r="743" spans="7:7" x14ac:dyDescent="0.25">
      <c r="G743" s="138"/>
    </row>
    <row r="744" spans="7:7" x14ac:dyDescent="0.25">
      <c r="G744" s="138"/>
    </row>
    <row r="745" spans="7:7" x14ac:dyDescent="0.25">
      <c r="G745" s="138"/>
    </row>
    <row r="746" spans="7:7" x14ac:dyDescent="0.25">
      <c r="G746" s="138"/>
    </row>
    <row r="747" spans="7:7" x14ac:dyDescent="0.25">
      <c r="G747" s="138"/>
    </row>
    <row r="748" spans="7:7" x14ac:dyDescent="0.25">
      <c r="G748" s="138"/>
    </row>
    <row r="749" spans="7:7" x14ac:dyDescent="0.25">
      <c r="G749" s="138"/>
    </row>
    <row r="750" spans="7:7" x14ac:dyDescent="0.25">
      <c r="G750" s="138"/>
    </row>
    <row r="751" spans="7:7" x14ac:dyDescent="0.25">
      <c r="G751" s="138"/>
    </row>
    <row r="752" spans="7:7" x14ac:dyDescent="0.25">
      <c r="G752" s="138"/>
    </row>
    <row r="753" spans="7:7" x14ac:dyDescent="0.25">
      <c r="G753" s="138"/>
    </row>
    <row r="754" spans="7:7" x14ac:dyDescent="0.25">
      <c r="G754" s="138"/>
    </row>
    <row r="755" spans="7:7" x14ac:dyDescent="0.25">
      <c r="G755" s="138"/>
    </row>
    <row r="756" spans="7:7" x14ac:dyDescent="0.25">
      <c r="G756" s="138"/>
    </row>
    <row r="757" spans="7:7" x14ac:dyDescent="0.25">
      <c r="G757" s="138"/>
    </row>
    <row r="758" spans="7:7" x14ac:dyDescent="0.25">
      <c r="G758" s="138"/>
    </row>
    <row r="759" spans="7:7" x14ac:dyDescent="0.25">
      <c r="G759" s="138"/>
    </row>
    <row r="760" spans="7:7" x14ac:dyDescent="0.25">
      <c r="G760" s="138"/>
    </row>
    <row r="761" spans="7:7" x14ac:dyDescent="0.25">
      <c r="G761" s="138"/>
    </row>
    <row r="762" spans="7:7" x14ac:dyDescent="0.25">
      <c r="G762" s="138"/>
    </row>
    <row r="763" spans="7:7" x14ac:dyDescent="0.25">
      <c r="G763" s="138"/>
    </row>
    <row r="764" spans="7:7" x14ac:dyDescent="0.25">
      <c r="G764" s="138"/>
    </row>
    <row r="765" spans="7:7" x14ac:dyDescent="0.25">
      <c r="G765" s="138"/>
    </row>
    <row r="766" spans="7:7" x14ac:dyDescent="0.25">
      <c r="G766" s="138"/>
    </row>
    <row r="767" spans="7:7" x14ac:dyDescent="0.25">
      <c r="G767" s="138"/>
    </row>
    <row r="768" spans="7:7" x14ac:dyDescent="0.25">
      <c r="G768" s="138"/>
    </row>
    <row r="769" spans="7:7" x14ac:dyDescent="0.25">
      <c r="G769" s="138"/>
    </row>
    <row r="770" spans="7:7" x14ac:dyDescent="0.25">
      <c r="G770" s="138"/>
    </row>
    <row r="771" spans="7:7" x14ac:dyDescent="0.25">
      <c r="G771" s="138"/>
    </row>
    <row r="772" spans="7:7" x14ac:dyDescent="0.25">
      <c r="G772" s="1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51"/>
      <c r="B1" s="152"/>
      <c r="C1" s="153"/>
      <c r="D1" s="154"/>
      <c r="E1" s="155"/>
      <c r="F1" s="155"/>
    </row>
    <row r="2" spans="1:6" ht="15.75" thickBot="1" x14ac:dyDescent="0.3">
      <c r="A2" s="156"/>
      <c r="B2" s="157"/>
      <c r="C2" s="158"/>
      <c r="D2" s="158"/>
      <c r="E2" s="157"/>
      <c r="F2" s="157"/>
    </row>
    <row r="3" spans="1:6" ht="15.75" thickBot="1" x14ac:dyDescent="0.3">
      <c r="A3" s="159"/>
      <c r="B3" s="160"/>
      <c r="C3" s="160"/>
      <c r="D3" s="162"/>
      <c r="E3" s="162"/>
      <c r="F3" s="162"/>
    </row>
    <row r="4" spans="1:6" ht="15.75" thickBot="1" x14ac:dyDescent="0.3">
      <c r="A4" s="159"/>
      <c r="B4" s="160"/>
      <c r="C4" s="160"/>
      <c r="D4" s="162"/>
      <c r="E4" s="162"/>
      <c r="F4" s="162"/>
    </row>
    <row r="5" spans="1:6" ht="15.75" thickBot="1" x14ac:dyDescent="0.3">
      <c r="A5" s="159"/>
      <c r="B5" s="160"/>
      <c r="C5" s="160"/>
      <c r="D5" s="162"/>
      <c r="E5" s="162"/>
      <c r="F5" s="162"/>
    </row>
    <row r="6" spans="1:6" ht="15.75" thickBot="1" x14ac:dyDescent="0.3">
      <c r="A6" s="159"/>
      <c r="B6" s="160"/>
      <c r="C6" s="160"/>
      <c r="D6" s="162"/>
      <c r="E6" s="162"/>
      <c r="F6" s="162"/>
    </row>
    <row r="7" spans="1:6" ht="15.75" thickBot="1" x14ac:dyDescent="0.3">
      <c r="A7" s="159"/>
      <c r="B7" s="160"/>
      <c r="C7" s="160"/>
      <c r="D7" s="162"/>
      <c r="E7" s="162"/>
      <c r="F7" s="162"/>
    </row>
    <row r="8" spans="1:6" ht="15.75" thickBot="1" x14ac:dyDescent="0.3">
      <c r="A8" s="159"/>
      <c r="B8" s="163"/>
      <c r="C8" s="163"/>
      <c r="D8" s="164"/>
      <c r="E8" s="165"/>
      <c r="F8" s="166"/>
    </row>
    <row r="9" spans="1:6" x14ac:dyDescent="0.25">
      <c r="A9" s="167"/>
    </row>
    <row r="10" spans="1:6" x14ac:dyDescent="0.25">
      <c r="D10" s="161"/>
      <c r="E10" s="161"/>
      <c r="F10" s="16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2022-01-10T10:40:10Z</dcterms:modified>
</cp:coreProperties>
</file>