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0" yWindow="0" windowWidth="28800" windowHeight="11835" tabRatio="589" activeTab="1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  <sheet name="Agrupacions" sheetId="19" r:id="rId8"/>
  </sheets>
  <externalReferences>
    <externalReference r:id="rId9"/>
    <externalReference r:id="rId10"/>
  </externalReferences>
  <definedNames>
    <definedName name="_xlnm._FilterDatabase" localSheetId="0" hidden="1">'Càlcul pressupost '!#REF!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4" l="1"/>
  <c r="E46" i="4"/>
  <c r="E48" i="4" l="1"/>
  <c r="E31" i="4" s="1"/>
  <c r="E49" i="4"/>
  <c r="E50" i="4"/>
  <c r="E51" i="4"/>
  <c r="E52" i="4"/>
  <c r="E53" i="4"/>
  <c r="E54" i="4"/>
  <c r="E55" i="4"/>
  <c r="E56" i="4"/>
  <c r="E57" i="4"/>
  <c r="E18" i="4" l="1"/>
  <c r="S76" i="14"/>
  <c r="R76" i="14"/>
  <c r="S75" i="14"/>
  <c r="R75" i="14"/>
  <c r="S74" i="14"/>
  <c r="R74" i="14"/>
  <c r="S73" i="14"/>
  <c r="R73" i="14"/>
  <c r="S72" i="14"/>
  <c r="R72" i="14"/>
  <c r="S71" i="14"/>
  <c r="R71" i="14"/>
  <c r="S70" i="14"/>
  <c r="R70" i="14"/>
  <c r="S69" i="14"/>
  <c r="R69" i="14"/>
  <c r="S68" i="14"/>
  <c r="R68" i="14"/>
  <c r="S67" i="14"/>
  <c r="R67" i="14"/>
  <c r="S66" i="14"/>
  <c r="R66" i="14"/>
  <c r="S65" i="14"/>
  <c r="R65" i="14"/>
  <c r="S64" i="14"/>
  <c r="R64" i="14"/>
  <c r="S63" i="14"/>
  <c r="R63" i="14"/>
  <c r="S62" i="14"/>
  <c r="R62" i="14"/>
  <c r="S61" i="14"/>
  <c r="R61" i="14"/>
  <c r="S60" i="14"/>
  <c r="R60" i="14"/>
  <c r="S59" i="14"/>
  <c r="R59" i="14"/>
  <c r="S58" i="14"/>
  <c r="R58" i="14"/>
  <c r="S50" i="14"/>
  <c r="S49" i="14"/>
  <c r="S48" i="14"/>
  <c r="S47" i="14"/>
  <c r="S46" i="14"/>
  <c r="S45" i="14"/>
  <c r="S44" i="14"/>
  <c r="S43" i="14"/>
  <c r="S42" i="14"/>
  <c r="S41" i="14"/>
  <c r="S40" i="14"/>
  <c r="S39" i="14"/>
  <c r="S38" i="14"/>
  <c r="S37" i="14"/>
  <c r="S36" i="14"/>
  <c r="S35" i="14"/>
  <c r="S34" i="14"/>
  <c r="S33" i="14"/>
  <c r="S32" i="14"/>
  <c r="S31" i="14"/>
  <c r="S30" i="14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R50" i="14"/>
  <c r="R49" i="14"/>
  <c r="R48" i="14"/>
  <c r="R47" i="14"/>
  <c r="R46" i="14"/>
  <c r="R45" i="14"/>
  <c r="R44" i="14"/>
  <c r="R43" i="14"/>
  <c r="R42" i="14"/>
  <c r="R41" i="14"/>
  <c r="R40" i="14"/>
  <c r="R39" i="14"/>
  <c r="R38" i="14"/>
  <c r="R37" i="14"/>
  <c r="R36" i="14"/>
  <c r="R35" i="14"/>
  <c r="R34" i="14"/>
  <c r="R33" i="14"/>
  <c r="R32" i="14"/>
  <c r="R31" i="14"/>
  <c r="R30" i="14"/>
  <c r="R29" i="14"/>
  <c r="R28" i="14"/>
  <c r="R27" i="14"/>
  <c r="R26" i="14"/>
  <c r="R25" i="14"/>
  <c r="R24" i="14"/>
  <c r="R23" i="14"/>
  <c r="R22" i="14"/>
  <c r="R21" i="14"/>
  <c r="R20" i="14"/>
  <c r="R19" i="14"/>
  <c r="R18" i="14"/>
  <c r="R17" i="14"/>
  <c r="R16" i="14"/>
  <c r="R15" i="14"/>
  <c r="P9" i="14" l="1"/>
  <c r="P10" i="14"/>
  <c r="C13" i="4"/>
  <c r="C14" i="4"/>
  <c r="C12" i="4"/>
  <c r="C5" i="4"/>
  <c r="C6" i="4"/>
  <c r="C7" i="4"/>
  <c r="C8" i="4"/>
  <c r="C9" i="4"/>
  <c r="C10" i="4"/>
  <c r="C11" i="4"/>
  <c r="C4" i="4"/>
  <c r="C17" i="4"/>
  <c r="C18" i="4"/>
  <c r="C19" i="4"/>
  <c r="C20" i="4"/>
  <c r="C21" i="4"/>
  <c r="C22" i="4"/>
  <c r="C23" i="4"/>
  <c r="C24" i="4"/>
  <c r="C25" i="4"/>
  <c r="C26" i="4"/>
  <c r="C27" i="4"/>
  <c r="C16" i="4"/>
  <c r="C30" i="4"/>
  <c r="C31" i="4"/>
  <c r="C32" i="4"/>
  <c r="C33" i="4"/>
  <c r="C34" i="4"/>
  <c r="C35" i="4"/>
  <c r="C36" i="4"/>
  <c r="C37" i="4"/>
  <c r="C38" i="4"/>
  <c r="C39" i="4"/>
  <c r="C40" i="4"/>
  <c r="C29" i="4"/>
  <c r="E7" i="4" l="1"/>
  <c r="F6" i="4" l="1"/>
  <c r="F18" i="4" l="1"/>
  <c r="F31" i="4"/>
  <c r="E6" i="4"/>
  <c r="C10" i="11" l="1"/>
  <c r="D10" i="11" s="1"/>
  <c r="Q292" i="14"/>
  <c r="Q270" i="14"/>
  <c r="Q295" i="14" s="1"/>
  <c r="H10" i="14" s="1"/>
  <c r="K10" i="11" s="1"/>
  <c r="Q220" i="14"/>
  <c r="Q198" i="14"/>
  <c r="Q149" i="14"/>
  <c r="Q127" i="14"/>
  <c r="Q55" i="14"/>
  <c r="Q77" i="14" s="1"/>
  <c r="Q80" i="14" s="1"/>
  <c r="E10" i="14" s="1"/>
  <c r="Q223" i="14" l="1"/>
  <c r="G10" i="14" s="1"/>
  <c r="H10" i="11" s="1"/>
  <c r="L10" i="11"/>
  <c r="M10" i="11" s="1"/>
  <c r="I10" i="11"/>
  <c r="J10" i="11" s="1"/>
  <c r="Q152" i="14"/>
  <c r="F10" i="14" s="1"/>
  <c r="E10" i="11" l="1"/>
  <c r="I10" i="14"/>
  <c r="J10" i="14" s="1"/>
  <c r="F10" i="11" l="1"/>
  <c r="N10" i="11"/>
  <c r="G10" i="11" l="1"/>
  <c r="O10" i="11"/>
  <c r="P10" i="11" l="1"/>
  <c r="E19" i="4" l="1"/>
  <c r="H15" i="4" l="1"/>
  <c r="E5" i="4"/>
  <c r="G5" i="4" s="1"/>
  <c r="D285" i="14" l="1"/>
  <c r="D277" i="14"/>
  <c r="D278" i="14"/>
  <c r="D276" i="14"/>
  <c r="U77" i="14"/>
  <c r="D213" i="14"/>
  <c r="D205" i="14"/>
  <c r="D206" i="14"/>
  <c r="D204" i="14"/>
  <c r="N295" i="14" l="1"/>
  <c r="U292" i="14"/>
  <c r="N223" i="14"/>
  <c r="G9" i="14" s="1"/>
  <c r="H9" i="11" s="1"/>
  <c r="I9" i="11" s="1"/>
  <c r="J9" i="11" s="1"/>
  <c r="U220" i="14"/>
  <c r="N152" i="14"/>
  <c r="U149" i="14"/>
  <c r="H13" i="14"/>
  <c r="F40" i="4" l="1"/>
  <c r="E40" i="4"/>
  <c r="F39" i="4"/>
  <c r="E39" i="4"/>
  <c r="F38" i="4"/>
  <c r="E38" i="4"/>
  <c r="F37" i="4"/>
  <c r="E37" i="4"/>
  <c r="F14" i="4"/>
  <c r="E14" i="4"/>
  <c r="F13" i="4"/>
  <c r="E13" i="4"/>
  <c r="F12" i="4"/>
  <c r="E12" i="4"/>
  <c r="F27" i="4"/>
  <c r="E27" i="4"/>
  <c r="F26" i="4"/>
  <c r="E26" i="4"/>
  <c r="F25" i="4"/>
  <c r="E25" i="4"/>
  <c r="F24" i="4"/>
  <c r="E24" i="4"/>
  <c r="F36" i="4"/>
  <c r="E36" i="4"/>
  <c r="F35" i="4"/>
  <c r="E35" i="4"/>
  <c r="F34" i="4"/>
  <c r="E34" i="4"/>
  <c r="F33" i="4"/>
  <c r="E33" i="4"/>
  <c r="F32" i="4"/>
  <c r="E32" i="4"/>
  <c r="F30" i="4"/>
  <c r="E30" i="4"/>
  <c r="F29" i="4"/>
  <c r="E29" i="4"/>
  <c r="F23" i="4"/>
  <c r="E23" i="4"/>
  <c r="F22" i="4"/>
  <c r="E22" i="4"/>
  <c r="F21" i="4"/>
  <c r="E21" i="4"/>
  <c r="F20" i="4"/>
  <c r="E20" i="4"/>
  <c r="F19" i="4"/>
  <c r="F17" i="4"/>
  <c r="E17" i="4"/>
  <c r="F16" i="4"/>
  <c r="E16" i="4"/>
  <c r="F11" i="4"/>
  <c r="E11" i="4"/>
  <c r="F10" i="4"/>
  <c r="E10" i="4"/>
  <c r="F9" i="4"/>
  <c r="E9" i="4"/>
  <c r="F8" i="4"/>
  <c r="E8" i="4"/>
  <c r="F7" i="4"/>
  <c r="F5" i="4"/>
  <c r="F4" i="4"/>
  <c r="E4" i="4"/>
  <c r="G4" i="4" s="1"/>
  <c r="U127" i="14" l="1"/>
  <c r="U152" i="14" l="1"/>
  <c r="Y97" i="14"/>
  <c r="Y100" i="14"/>
  <c r="Y94" i="14"/>
  <c r="N80" i="14" l="1"/>
  <c r="U198" i="14" l="1"/>
  <c r="U223" i="14" s="1"/>
  <c r="Y117" i="14"/>
  <c r="U55" i="14" l="1"/>
  <c r="U80" i="14" s="1"/>
  <c r="Y122" i="14" l="1"/>
  <c r="Y121" i="14"/>
  <c r="Y120" i="14"/>
  <c r="Y119" i="14"/>
  <c r="Y118" i="14"/>
  <c r="Y116" i="14"/>
  <c r="Y115" i="14"/>
  <c r="Y113" i="14"/>
  <c r="Y112" i="14"/>
  <c r="Y111" i="14"/>
  <c r="Y109" i="14"/>
  <c r="Y88" i="14"/>
  <c r="Y87" i="14" l="1"/>
  <c r="Y114" i="14"/>
  <c r="Y105" i="14"/>
  <c r="Y98" i="14"/>
  <c r="Y89" i="14" l="1"/>
  <c r="G30" i="4" l="1"/>
  <c r="G33" i="4"/>
  <c r="G32" i="4"/>
  <c r="G31" i="4"/>
  <c r="G36" i="4"/>
  <c r="G35" i="4"/>
  <c r="G34" i="4"/>
  <c r="G25" i="4"/>
  <c r="G19" i="4"/>
  <c r="G18" i="4"/>
  <c r="G17" i="4"/>
  <c r="G22" i="4"/>
  <c r="G21" i="4"/>
  <c r="G20" i="4"/>
  <c r="G6" i="4"/>
  <c r="G7" i="4"/>
  <c r="G8" i="4"/>
  <c r="G9" i="4"/>
  <c r="G10" i="4"/>
  <c r="G11" i="4"/>
  <c r="G12" i="4"/>
  <c r="G13" i="4"/>
  <c r="G14" i="4"/>
  <c r="G15" i="4" l="1"/>
  <c r="E9" i="14"/>
  <c r="H9" i="14"/>
  <c r="K9" i="11" s="1"/>
  <c r="L9" i="11" s="1"/>
  <c r="M9" i="11" s="1"/>
  <c r="F64" i="14" l="1"/>
  <c r="G64" i="14" s="1"/>
  <c r="F75" i="14"/>
  <c r="G75" i="14" s="1"/>
  <c r="F147" i="14"/>
  <c r="G147" i="14" s="1"/>
  <c r="F290" i="14"/>
  <c r="G290" i="14" s="1"/>
  <c r="F218" i="14"/>
  <c r="G218" i="14" s="1"/>
  <c r="F68" i="14"/>
  <c r="G68" i="14" s="1"/>
  <c r="F59" i="14"/>
  <c r="G59" i="14" s="1"/>
  <c r="F215" i="14"/>
  <c r="G215" i="14" s="1"/>
  <c r="F208" i="14"/>
  <c r="G208" i="14" s="1"/>
  <c r="F288" i="14"/>
  <c r="G288" i="14" s="1"/>
  <c r="F273" i="14"/>
  <c r="G273" i="14" s="1"/>
  <c r="F145" i="14"/>
  <c r="G145" i="14" s="1"/>
  <c r="F137" i="14"/>
  <c r="G137" i="14" s="1"/>
  <c r="F211" i="14"/>
  <c r="G211" i="14" s="1"/>
  <c r="F284" i="14"/>
  <c r="G284" i="14" s="1"/>
  <c r="F210" i="14"/>
  <c r="G210" i="14" s="1"/>
  <c r="F76" i="14"/>
  <c r="G76" i="14" s="1"/>
  <c r="F67" i="14"/>
  <c r="G67" i="14" s="1"/>
  <c r="F58" i="14"/>
  <c r="G58" i="14" s="1"/>
  <c r="F214" i="14"/>
  <c r="G214" i="14" s="1"/>
  <c r="F207" i="14"/>
  <c r="G207" i="14" s="1"/>
  <c r="F287" i="14"/>
  <c r="G287" i="14" s="1"/>
  <c r="F280" i="14"/>
  <c r="G280" i="14" s="1"/>
  <c r="F144" i="14"/>
  <c r="G144" i="14" s="1"/>
  <c r="F136" i="14"/>
  <c r="G136" i="14" s="1"/>
  <c r="F74" i="14"/>
  <c r="G74" i="14" s="1"/>
  <c r="F66" i="14"/>
  <c r="G66" i="14" s="1"/>
  <c r="F213" i="14"/>
  <c r="G213" i="14" s="1"/>
  <c r="F206" i="14"/>
  <c r="G206" i="14" s="1"/>
  <c r="F286" i="14"/>
  <c r="G286" i="14" s="1"/>
  <c r="F279" i="14"/>
  <c r="G279" i="14" s="1"/>
  <c r="F143" i="14"/>
  <c r="G143" i="14" s="1"/>
  <c r="F135" i="14"/>
  <c r="G135" i="14" s="1"/>
  <c r="F73" i="14"/>
  <c r="G73" i="14" s="1"/>
  <c r="F65" i="14"/>
  <c r="G65" i="14" s="1"/>
  <c r="F212" i="14"/>
  <c r="G212" i="14" s="1"/>
  <c r="F142" i="14"/>
  <c r="G142" i="14" s="1"/>
  <c r="F219" i="14"/>
  <c r="G219" i="14" s="1"/>
  <c r="F72" i="14"/>
  <c r="G72" i="14" s="1"/>
  <c r="F204" i="14"/>
  <c r="G204" i="14" s="1"/>
  <c r="F277" i="14"/>
  <c r="G277" i="14" s="1"/>
  <c r="F141" i="14"/>
  <c r="G141" i="14" s="1"/>
  <c r="F62" i="14"/>
  <c r="G62" i="14" s="1"/>
  <c r="F205" i="14"/>
  <c r="G205" i="14" s="1"/>
  <c r="F285" i="14"/>
  <c r="G285" i="14" s="1"/>
  <c r="F278" i="14"/>
  <c r="G278" i="14" s="1"/>
  <c r="F134" i="14"/>
  <c r="G134" i="14" s="1"/>
  <c r="F63" i="14"/>
  <c r="G63" i="14" s="1"/>
  <c r="F133" i="14"/>
  <c r="G133" i="14" s="1"/>
  <c r="F71" i="14"/>
  <c r="G71" i="14" s="1"/>
  <c r="F203" i="14"/>
  <c r="G203" i="14" s="1"/>
  <c r="F70" i="14"/>
  <c r="G70" i="14" s="1"/>
  <c r="F202" i="14"/>
  <c r="G202" i="14" s="1"/>
  <c r="F281" i="14"/>
  <c r="G281" i="14" s="1"/>
  <c r="F131" i="14"/>
  <c r="G131" i="14" s="1"/>
  <c r="F69" i="14"/>
  <c r="G69" i="14" s="1"/>
  <c r="F201" i="14"/>
  <c r="G201" i="14" s="1"/>
  <c r="F276" i="14"/>
  <c r="G276" i="14" s="1"/>
  <c r="F130" i="14"/>
  <c r="G130" i="14" s="1"/>
  <c r="F61" i="14"/>
  <c r="G61" i="14" s="1"/>
  <c r="F275" i="14"/>
  <c r="G275" i="14" s="1"/>
  <c r="F148" i="14"/>
  <c r="G148" i="14" s="1"/>
  <c r="F146" i="14"/>
  <c r="G146" i="14" s="1"/>
  <c r="F138" i="14"/>
  <c r="G138" i="14" s="1"/>
  <c r="F60" i="14"/>
  <c r="G60" i="14" s="1"/>
  <c r="F274" i="14"/>
  <c r="G274" i="14" s="1"/>
  <c r="F209" i="14"/>
  <c r="G209" i="14" s="1"/>
  <c r="F217" i="14"/>
  <c r="G217" i="14" s="1"/>
  <c r="F291" i="14"/>
  <c r="G291" i="14" s="1"/>
  <c r="F140" i="14"/>
  <c r="G140" i="14" s="1"/>
  <c r="F289" i="14"/>
  <c r="G289" i="14" s="1"/>
  <c r="F139" i="14"/>
  <c r="G139" i="14" s="1"/>
  <c r="F283" i="14"/>
  <c r="G283" i="14" s="1"/>
  <c r="F282" i="14"/>
  <c r="G282" i="14" s="1"/>
  <c r="F216" i="14"/>
  <c r="G216" i="14" s="1"/>
  <c r="F132" i="14"/>
  <c r="G132" i="14" s="1"/>
  <c r="F197" i="14"/>
  <c r="G197" i="14" s="1"/>
  <c r="F53" i="14"/>
  <c r="G53" i="14" s="1"/>
  <c r="F125" i="14"/>
  <c r="G125" i="14" s="1"/>
  <c r="F269" i="14"/>
  <c r="G269" i="14" s="1"/>
  <c r="F268" i="14"/>
  <c r="G268" i="14" s="1"/>
  <c r="F196" i="14"/>
  <c r="G196" i="14" s="1"/>
  <c r="F126" i="14"/>
  <c r="G126" i="14" s="1"/>
  <c r="F54" i="14"/>
  <c r="G54" i="14" s="1"/>
  <c r="F51" i="14"/>
  <c r="G51" i="14" s="1"/>
  <c r="F52" i="14"/>
  <c r="G52" i="14" s="1"/>
  <c r="F124" i="14"/>
  <c r="G124" i="14" s="1"/>
  <c r="F266" i="14"/>
  <c r="G266" i="14" s="1"/>
  <c r="F195" i="14"/>
  <c r="G195" i="14" s="1"/>
  <c r="F267" i="14"/>
  <c r="G267" i="14" s="1"/>
  <c r="F194" i="14"/>
  <c r="G194" i="14" s="1"/>
  <c r="F123" i="14"/>
  <c r="G123" i="14" s="1"/>
  <c r="F264" i="14"/>
  <c r="G264" i="14" s="1"/>
  <c r="F262" i="14"/>
  <c r="G262" i="14" s="1"/>
  <c r="F252" i="14"/>
  <c r="G252" i="14" s="1"/>
  <c r="F248" i="14"/>
  <c r="G248" i="14" s="1"/>
  <c r="F238" i="14"/>
  <c r="G238" i="14" s="1"/>
  <c r="F232" i="14"/>
  <c r="G232" i="14" s="1"/>
  <c r="F184" i="14"/>
  <c r="G184" i="14" s="1"/>
  <c r="F176" i="14"/>
  <c r="G176" i="14" s="1"/>
  <c r="F168" i="14"/>
  <c r="G168" i="14" s="1"/>
  <c r="F258" i="14"/>
  <c r="G258" i="14" s="1"/>
  <c r="F242" i="14"/>
  <c r="G242" i="14" s="1"/>
  <c r="F190" i="14"/>
  <c r="G190" i="14" s="1"/>
  <c r="F178" i="14"/>
  <c r="G178" i="14" s="1"/>
  <c r="F164" i="14"/>
  <c r="G164" i="14" s="1"/>
  <c r="F246" i="14"/>
  <c r="G246" i="14" s="1"/>
  <c r="F230" i="14"/>
  <c r="G230" i="14" s="1"/>
  <c r="F162" i="14"/>
  <c r="G162" i="14" s="1"/>
  <c r="F259" i="14"/>
  <c r="G259" i="14" s="1"/>
  <c r="F257" i="14"/>
  <c r="G257" i="14" s="1"/>
  <c r="F255" i="14"/>
  <c r="G255" i="14" s="1"/>
  <c r="F253" i="14"/>
  <c r="G253" i="14" s="1"/>
  <c r="F251" i="14"/>
  <c r="G251" i="14" s="1"/>
  <c r="F249" i="14"/>
  <c r="G249" i="14" s="1"/>
  <c r="F247" i="14"/>
  <c r="G247" i="14" s="1"/>
  <c r="F245" i="14"/>
  <c r="G245" i="14" s="1"/>
  <c r="F243" i="14"/>
  <c r="G243" i="14" s="1"/>
  <c r="F241" i="14"/>
  <c r="G241" i="14" s="1"/>
  <c r="F239" i="14"/>
  <c r="G239" i="14" s="1"/>
  <c r="F237" i="14"/>
  <c r="G237" i="14" s="1"/>
  <c r="F235" i="14"/>
  <c r="G235" i="14" s="1"/>
  <c r="F233" i="14"/>
  <c r="G233" i="14" s="1"/>
  <c r="F231" i="14"/>
  <c r="G231" i="14" s="1"/>
  <c r="F193" i="14"/>
  <c r="G193" i="14" s="1"/>
  <c r="F191" i="14"/>
  <c r="G191" i="14" s="1"/>
  <c r="F189" i="14"/>
  <c r="G189" i="14" s="1"/>
  <c r="F187" i="14"/>
  <c r="G187" i="14" s="1"/>
  <c r="F185" i="14"/>
  <c r="G185" i="14" s="1"/>
  <c r="F183" i="14"/>
  <c r="G183" i="14" s="1"/>
  <c r="F181" i="14"/>
  <c r="G181" i="14" s="1"/>
  <c r="F179" i="14"/>
  <c r="G179" i="14" s="1"/>
  <c r="F177" i="14"/>
  <c r="G177" i="14" s="1"/>
  <c r="F175" i="14"/>
  <c r="G175" i="14" s="1"/>
  <c r="F173" i="14"/>
  <c r="G173" i="14" s="1"/>
  <c r="F171" i="14"/>
  <c r="G171" i="14" s="1"/>
  <c r="F169" i="14"/>
  <c r="G169" i="14" s="1"/>
  <c r="F167" i="14"/>
  <c r="G167" i="14" s="1"/>
  <c r="F165" i="14"/>
  <c r="G165" i="14" s="1"/>
  <c r="F163" i="14"/>
  <c r="G163" i="14" s="1"/>
  <c r="F161" i="14"/>
  <c r="G161" i="14" s="1"/>
  <c r="F159" i="14"/>
  <c r="G159" i="14" s="1"/>
  <c r="F260" i="14"/>
  <c r="G260" i="14" s="1"/>
  <c r="F240" i="14"/>
  <c r="G240" i="14" s="1"/>
  <c r="F192" i="14"/>
  <c r="G192" i="14" s="1"/>
  <c r="F182" i="14"/>
  <c r="G182" i="14" s="1"/>
  <c r="F174" i="14"/>
  <c r="G174" i="14" s="1"/>
  <c r="F166" i="14"/>
  <c r="G166" i="14" s="1"/>
  <c r="F265" i="14"/>
  <c r="G265" i="14" s="1"/>
  <c r="F263" i="14"/>
  <c r="G263" i="14" s="1"/>
  <c r="F261" i="14"/>
  <c r="G261" i="14" s="1"/>
  <c r="F256" i="14"/>
  <c r="G256" i="14" s="1"/>
  <c r="F250" i="14"/>
  <c r="G250" i="14" s="1"/>
  <c r="F244" i="14"/>
  <c r="G244" i="14" s="1"/>
  <c r="F236" i="14"/>
  <c r="G236" i="14" s="1"/>
  <c r="F188" i="14"/>
  <c r="G188" i="14" s="1"/>
  <c r="F180" i="14"/>
  <c r="G180" i="14" s="1"/>
  <c r="F170" i="14"/>
  <c r="G170" i="14" s="1"/>
  <c r="F160" i="14"/>
  <c r="G160" i="14" s="1"/>
  <c r="F254" i="14"/>
  <c r="G254" i="14" s="1"/>
  <c r="F234" i="14"/>
  <c r="G234" i="14" s="1"/>
  <c r="F186" i="14"/>
  <c r="G186" i="14" s="1"/>
  <c r="F172" i="14"/>
  <c r="G172" i="14" s="1"/>
  <c r="F158" i="14"/>
  <c r="G158" i="14" s="1"/>
  <c r="F50" i="14"/>
  <c r="G50" i="14" s="1"/>
  <c r="F49" i="14"/>
  <c r="G49" i="14" s="1"/>
  <c r="F121" i="14"/>
  <c r="G121" i="14" s="1"/>
  <c r="F29" i="14"/>
  <c r="G29" i="14" s="1"/>
  <c r="F23" i="14"/>
  <c r="G23" i="14" s="1"/>
  <c r="F119" i="14"/>
  <c r="G119" i="14" s="1"/>
  <c r="F111" i="14"/>
  <c r="G111" i="14" s="1"/>
  <c r="F103" i="14"/>
  <c r="G103" i="14" s="1"/>
  <c r="F95" i="14"/>
  <c r="G95" i="14" s="1"/>
  <c r="F87" i="14"/>
  <c r="G87" i="14" s="1"/>
  <c r="F41" i="14"/>
  <c r="G41" i="14" s="1"/>
  <c r="F33" i="14"/>
  <c r="G33" i="14" s="1"/>
  <c r="F24" i="14"/>
  <c r="G24" i="14" s="1"/>
  <c r="F15" i="14"/>
  <c r="G15" i="14" s="1"/>
  <c r="F118" i="14"/>
  <c r="G118" i="14" s="1"/>
  <c r="F110" i="14"/>
  <c r="G110" i="14" s="1"/>
  <c r="F102" i="14"/>
  <c r="G102" i="14" s="1"/>
  <c r="F94" i="14"/>
  <c r="G94" i="14" s="1"/>
  <c r="F48" i="14"/>
  <c r="G48" i="14" s="1"/>
  <c r="F40" i="14"/>
  <c r="G40" i="14" s="1"/>
  <c r="F32" i="14"/>
  <c r="G32" i="14" s="1"/>
  <c r="F22" i="14"/>
  <c r="G22" i="14" s="1"/>
  <c r="F117" i="14"/>
  <c r="G117" i="14" s="1"/>
  <c r="F109" i="14"/>
  <c r="G109" i="14" s="1"/>
  <c r="F101" i="14"/>
  <c r="G101" i="14" s="1"/>
  <c r="F93" i="14"/>
  <c r="G93" i="14" s="1"/>
  <c r="F47" i="14"/>
  <c r="G47" i="14" s="1"/>
  <c r="F39" i="14"/>
  <c r="G39" i="14" s="1"/>
  <c r="F31" i="14"/>
  <c r="G31" i="14" s="1"/>
  <c r="F21" i="14"/>
  <c r="G21" i="14" s="1"/>
  <c r="F116" i="14"/>
  <c r="G116" i="14" s="1"/>
  <c r="F108" i="14"/>
  <c r="G108" i="14" s="1"/>
  <c r="F100" i="14"/>
  <c r="G100" i="14" s="1"/>
  <c r="F92" i="14"/>
  <c r="G92" i="14" s="1"/>
  <c r="F46" i="14"/>
  <c r="G46" i="14" s="1"/>
  <c r="F38" i="14"/>
  <c r="G38" i="14" s="1"/>
  <c r="F30" i="14"/>
  <c r="G30" i="14" s="1"/>
  <c r="F20" i="14"/>
  <c r="G20" i="14" s="1"/>
  <c r="F115" i="14"/>
  <c r="G115" i="14" s="1"/>
  <c r="F107" i="14"/>
  <c r="G107" i="14" s="1"/>
  <c r="F99" i="14"/>
  <c r="G99" i="14" s="1"/>
  <c r="F91" i="14"/>
  <c r="G91" i="14" s="1"/>
  <c r="F45" i="14"/>
  <c r="G45" i="14" s="1"/>
  <c r="F37" i="14"/>
  <c r="G37" i="14" s="1"/>
  <c r="F28" i="14"/>
  <c r="G28" i="14" s="1"/>
  <c r="F19" i="14"/>
  <c r="G19" i="14" s="1"/>
  <c r="F114" i="14"/>
  <c r="G114" i="14" s="1"/>
  <c r="F106" i="14"/>
  <c r="G106" i="14" s="1"/>
  <c r="F98" i="14"/>
  <c r="G98" i="14" s="1"/>
  <c r="F90" i="14"/>
  <c r="G90" i="14" s="1"/>
  <c r="F44" i="14"/>
  <c r="G44" i="14" s="1"/>
  <c r="F36" i="14"/>
  <c r="G36" i="14" s="1"/>
  <c r="F27" i="14"/>
  <c r="G27" i="14" s="1"/>
  <c r="F18" i="14"/>
  <c r="G18" i="14" s="1"/>
  <c r="F122" i="14"/>
  <c r="G122" i="14" s="1"/>
  <c r="F113" i="14"/>
  <c r="G113" i="14" s="1"/>
  <c r="F105" i="14"/>
  <c r="G105" i="14" s="1"/>
  <c r="F97" i="14"/>
  <c r="G97" i="14" s="1"/>
  <c r="F89" i="14"/>
  <c r="G89" i="14" s="1"/>
  <c r="F43" i="14"/>
  <c r="G43" i="14" s="1"/>
  <c r="F35" i="14"/>
  <c r="G35" i="14" s="1"/>
  <c r="F26" i="14"/>
  <c r="G26" i="14" s="1"/>
  <c r="F17" i="14"/>
  <c r="G17" i="14" s="1"/>
  <c r="F120" i="14"/>
  <c r="G120" i="14" s="1"/>
  <c r="F112" i="14"/>
  <c r="G112" i="14" s="1"/>
  <c r="F104" i="14"/>
  <c r="G104" i="14" s="1"/>
  <c r="F96" i="14"/>
  <c r="G96" i="14" s="1"/>
  <c r="F88" i="14"/>
  <c r="G88" i="14" s="1"/>
  <c r="F42" i="14"/>
  <c r="G42" i="14" s="1"/>
  <c r="F34" i="14"/>
  <c r="G34" i="14" s="1"/>
  <c r="F25" i="14"/>
  <c r="G25" i="14" s="1"/>
  <c r="F16" i="14"/>
  <c r="G16" i="14" s="1"/>
  <c r="G198" i="14" l="1"/>
  <c r="G270" i="14"/>
  <c r="G127" i="14"/>
  <c r="G149" i="14"/>
  <c r="G77" i="14"/>
  <c r="G292" i="14"/>
  <c r="G55" i="14"/>
  <c r="G80" i="14" s="1"/>
  <c r="E6" i="14" s="1"/>
  <c r="G220" i="14"/>
  <c r="E149" i="14"/>
  <c r="E150" i="14" s="1"/>
  <c r="E77" i="14"/>
  <c r="E78" i="14" s="1"/>
  <c r="E292" i="14"/>
  <c r="E293" i="14" s="1"/>
  <c r="E220" i="14"/>
  <c r="E221" i="14" s="1"/>
  <c r="E127" i="14"/>
  <c r="E270" i="14"/>
  <c r="E198" i="14"/>
  <c r="G295" i="14" l="1"/>
  <c r="G223" i="14"/>
  <c r="H6" i="14"/>
  <c r="K6" i="11" s="1"/>
  <c r="B6" i="11"/>
  <c r="G152" i="14"/>
  <c r="F6" i="14" s="1"/>
  <c r="E6" i="11" s="1"/>
  <c r="F6" i="11" s="1"/>
  <c r="E271" i="14"/>
  <c r="E295" i="14"/>
  <c r="E199" i="14"/>
  <c r="E223" i="14"/>
  <c r="E128" i="14"/>
  <c r="E152" i="14"/>
  <c r="F9" i="14"/>
  <c r="E9" i="11" s="1"/>
  <c r="F9" i="11" s="1"/>
  <c r="G9" i="11" s="1"/>
  <c r="L6" i="11" l="1"/>
  <c r="G6" i="14"/>
  <c r="I6" i="14" s="1"/>
  <c r="J6" i="14" s="1"/>
  <c r="E154" i="14"/>
  <c r="M6" i="14"/>
  <c r="E225" i="14"/>
  <c r="N6" i="14"/>
  <c r="E297" i="14"/>
  <c r="O6" i="14"/>
  <c r="I9" i="14"/>
  <c r="M6" i="11" l="1"/>
  <c r="B9" i="11"/>
  <c r="C9" i="11" l="1"/>
  <c r="D9" i="11" s="1"/>
  <c r="G40" i="4" l="1"/>
  <c r="H41" i="4"/>
  <c r="G26" i="4"/>
  <c r="H28" i="4"/>
  <c r="G27" i="4"/>
  <c r="G24" i="4"/>
  <c r="G23" i="4"/>
  <c r="G16" i="4"/>
  <c r="G28" i="4" l="1"/>
  <c r="P64" i="14" l="1"/>
  <c r="O64" i="14" s="1"/>
  <c r="I64" i="14"/>
  <c r="J64" i="14" s="1"/>
  <c r="I290" i="14"/>
  <c r="J290" i="14" s="1"/>
  <c r="P290" i="14"/>
  <c r="O290" i="14" s="1"/>
  <c r="I147" i="14"/>
  <c r="J147" i="14" s="1"/>
  <c r="P75" i="14"/>
  <c r="O75" i="14" s="1"/>
  <c r="I75" i="14"/>
  <c r="J75" i="14" s="1"/>
  <c r="P218" i="14"/>
  <c r="O218" i="14" s="1"/>
  <c r="P147" i="14"/>
  <c r="O147" i="14" s="1"/>
  <c r="I218" i="14"/>
  <c r="J218" i="14" s="1"/>
  <c r="P286" i="14"/>
  <c r="O286" i="14" s="1"/>
  <c r="P280" i="14"/>
  <c r="O280" i="14" s="1"/>
  <c r="P273" i="14"/>
  <c r="O273" i="14" s="1"/>
  <c r="P265" i="14"/>
  <c r="O265" i="14" s="1"/>
  <c r="P248" i="14"/>
  <c r="O248" i="14" s="1"/>
  <c r="P242" i="14"/>
  <c r="O242" i="14" s="1"/>
  <c r="P236" i="14"/>
  <c r="O236" i="14" s="1"/>
  <c r="P231" i="14"/>
  <c r="O231" i="14" s="1"/>
  <c r="P214" i="14"/>
  <c r="O214" i="14" s="1"/>
  <c r="P207" i="14"/>
  <c r="O207" i="14" s="1"/>
  <c r="P191" i="14"/>
  <c r="O191" i="14" s="1"/>
  <c r="P183" i="14"/>
  <c r="O183" i="14" s="1"/>
  <c r="P176" i="14"/>
  <c r="O176" i="14" s="1"/>
  <c r="P169" i="14"/>
  <c r="O169" i="14" s="1"/>
  <c r="P162" i="14"/>
  <c r="O162" i="14" s="1"/>
  <c r="P145" i="14"/>
  <c r="O145" i="14" s="1"/>
  <c r="P138" i="14"/>
  <c r="O138" i="14" s="1"/>
  <c r="P121" i="14"/>
  <c r="O121" i="14" s="1"/>
  <c r="P115" i="14"/>
  <c r="O115" i="14" s="1"/>
  <c r="P108" i="14"/>
  <c r="O108" i="14" s="1"/>
  <c r="P101" i="14"/>
  <c r="O101" i="14" s="1"/>
  <c r="P96" i="14"/>
  <c r="O96" i="14" s="1"/>
  <c r="P91" i="14"/>
  <c r="O91" i="14" s="1"/>
  <c r="P73" i="14"/>
  <c r="O73" i="14" s="1"/>
  <c r="P67" i="14"/>
  <c r="O67" i="14" s="1"/>
  <c r="P60" i="14"/>
  <c r="O60" i="14" s="1"/>
  <c r="P18" i="14"/>
  <c r="O18" i="14" s="1"/>
  <c r="P26" i="14"/>
  <c r="O26" i="14" s="1"/>
  <c r="P34" i="14"/>
  <c r="O34" i="14" s="1"/>
  <c r="P42" i="14"/>
  <c r="O42" i="14" s="1"/>
  <c r="P50" i="14"/>
  <c r="O50" i="14" s="1"/>
  <c r="P285" i="14"/>
  <c r="O285" i="14" s="1"/>
  <c r="P247" i="14"/>
  <c r="O247" i="14" s="1"/>
  <c r="P235" i="14"/>
  <c r="O235" i="14" s="1"/>
  <c r="P213" i="14"/>
  <c r="O213" i="14" s="1"/>
  <c r="P206" i="14"/>
  <c r="O206" i="14" s="1"/>
  <c r="P190" i="14"/>
  <c r="O190" i="14" s="1"/>
  <c r="P168" i="14"/>
  <c r="O168" i="14" s="1"/>
  <c r="P144" i="14"/>
  <c r="O144" i="14" s="1"/>
  <c r="P137" i="14"/>
  <c r="O137" i="14" s="1"/>
  <c r="P19" i="14"/>
  <c r="O19" i="14" s="1"/>
  <c r="P43" i="14"/>
  <c r="O43" i="14" s="1"/>
  <c r="P174" i="14"/>
  <c r="O174" i="14" s="1"/>
  <c r="P120" i="14"/>
  <c r="O120" i="14" s="1"/>
  <c r="P100" i="14"/>
  <c r="O100" i="14" s="1"/>
  <c r="P66" i="14"/>
  <c r="O66" i="14" s="1"/>
  <c r="P28" i="14"/>
  <c r="O28" i="14" s="1"/>
  <c r="P97" i="14"/>
  <c r="O97" i="14" s="1"/>
  <c r="P32" i="14"/>
  <c r="O32" i="14" s="1"/>
  <c r="P182" i="14"/>
  <c r="O182" i="14" s="1"/>
  <c r="P27" i="14"/>
  <c r="O27" i="14" s="1"/>
  <c r="P143" i="14"/>
  <c r="O143" i="14" s="1"/>
  <c r="P89" i="14"/>
  <c r="O89" i="14" s="1"/>
  <c r="P20" i="14"/>
  <c r="O20" i="14" s="1"/>
  <c r="P52" i="14"/>
  <c r="O52" i="14" s="1"/>
  <c r="P132" i="14"/>
  <c r="O132" i="14" s="1"/>
  <c r="P284" i="14"/>
  <c r="O284" i="14" s="1"/>
  <c r="P278" i="14"/>
  <c r="O278" i="14" s="1"/>
  <c r="P264" i="14"/>
  <c r="O264" i="14" s="1"/>
  <c r="P259" i="14"/>
  <c r="O259" i="14" s="1"/>
  <c r="P253" i="14"/>
  <c r="O253" i="14" s="1"/>
  <c r="P230" i="14"/>
  <c r="O230" i="14" s="1"/>
  <c r="P205" i="14"/>
  <c r="O205" i="14" s="1"/>
  <c r="P196" i="14"/>
  <c r="O196" i="14" s="1"/>
  <c r="P189" i="14"/>
  <c r="O189" i="14" s="1"/>
  <c r="P181" i="14"/>
  <c r="O181" i="14" s="1"/>
  <c r="P160" i="14"/>
  <c r="O160" i="14" s="1"/>
  <c r="P136" i="14"/>
  <c r="O136" i="14" s="1"/>
  <c r="P106" i="14"/>
  <c r="O106" i="14" s="1"/>
  <c r="P72" i="14"/>
  <c r="O72" i="14" s="1"/>
  <c r="P44" i="14"/>
  <c r="O44" i="14" s="1"/>
  <c r="P139" i="14"/>
  <c r="O139" i="14" s="1"/>
  <c r="P68" i="14"/>
  <c r="O68" i="14" s="1"/>
  <c r="P291" i="14"/>
  <c r="O291" i="14" s="1"/>
  <c r="P283" i="14"/>
  <c r="O283" i="14" s="1"/>
  <c r="P277" i="14"/>
  <c r="O277" i="14" s="1"/>
  <c r="P269" i="14"/>
  <c r="O269" i="14" s="1"/>
  <c r="P258" i="14"/>
  <c r="O258" i="14" s="1"/>
  <c r="P252" i="14"/>
  <c r="O252" i="14" s="1"/>
  <c r="P246" i="14"/>
  <c r="O246" i="14" s="1"/>
  <c r="P240" i="14"/>
  <c r="O240" i="14" s="1"/>
  <c r="P234" i="14"/>
  <c r="O234" i="14" s="1"/>
  <c r="P212" i="14"/>
  <c r="O212" i="14" s="1"/>
  <c r="P195" i="14"/>
  <c r="O195" i="14" s="1"/>
  <c r="P188" i="14"/>
  <c r="O188" i="14" s="1"/>
  <c r="P180" i="14"/>
  <c r="O180" i="14" s="1"/>
  <c r="P173" i="14"/>
  <c r="O173" i="14" s="1"/>
  <c r="P166" i="14"/>
  <c r="O166" i="14" s="1"/>
  <c r="P159" i="14"/>
  <c r="O159" i="14" s="1"/>
  <c r="P142" i="14"/>
  <c r="O142" i="14" s="1"/>
  <c r="P135" i="14"/>
  <c r="O135" i="14" s="1"/>
  <c r="P126" i="14"/>
  <c r="O126" i="14" s="1"/>
  <c r="P119" i="14"/>
  <c r="O119" i="14" s="1"/>
  <c r="P105" i="14"/>
  <c r="O105" i="14" s="1"/>
  <c r="P94" i="14"/>
  <c r="O94" i="14" s="1"/>
  <c r="P71" i="14"/>
  <c r="O71" i="14" s="1"/>
  <c r="P65" i="14"/>
  <c r="O65" i="14" s="1"/>
  <c r="P21" i="14"/>
  <c r="O21" i="14" s="1"/>
  <c r="P29" i="14"/>
  <c r="O29" i="14" s="1"/>
  <c r="P37" i="14"/>
  <c r="O37" i="14" s="1"/>
  <c r="P45" i="14"/>
  <c r="O45" i="14" s="1"/>
  <c r="P53" i="14"/>
  <c r="O53" i="14" s="1"/>
  <c r="P179" i="14"/>
  <c r="O179" i="14" s="1"/>
  <c r="P158" i="14"/>
  <c r="O158" i="14" s="1"/>
  <c r="P134" i="14"/>
  <c r="O134" i="14" s="1"/>
  <c r="P118" i="14"/>
  <c r="O118" i="14" s="1"/>
  <c r="P112" i="14"/>
  <c r="O112" i="14" s="1"/>
  <c r="P99" i="14"/>
  <c r="O99" i="14" s="1"/>
  <c r="P93" i="14"/>
  <c r="O93" i="14" s="1"/>
  <c r="P88" i="14"/>
  <c r="O88" i="14" s="1"/>
  <c r="P63" i="14"/>
  <c r="O63" i="14" s="1"/>
  <c r="P58" i="14"/>
  <c r="O58" i="14" s="1"/>
  <c r="P22" i="14"/>
  <c r="O22" i="14" s="1"/>
  <c r="P30" i="14"/>
  <c r="O30" i="14" s="1"/>
  <c r="P46" i="14"/>
  <c r="O46" i="14" s="1"/>
  <c r="P54" i="14"/>
  <c r="O54" i="14" s="1"/>
  <c r="P288" i="14"/>
  <c r="O288" i="14" s="1"/>
  <c r="P262" i="14"/>
  <c r="O262" i="14" s="1"/>
  <c r="P243" i="14"/>
  <c r="O243" i="14" s="1"/>
  <c r="P216" i="14"/>
  <c r="O216" i="14" s="1"/>
  <c r="P193" i="14"/>
  <c r="O193" i="14" s="1"/>
  <c r="P123" i="14"/>
  <c r="O123" i="14" s="1"/>
  <c r="P92" i="14"/>
  <c r="O92" i="14" s="1"/>
  <c r="P48" i="14"/>
  <c r="O48" i="14" s="1"/>
  <c r="P289" i="14"/>
  <c r="O289" i="14" s="1"/>
  <c r="P282" i="14"/>
  <c r="O282" i="14" s="1"/>
  <c r="P276" i="14"/>
  <c r="O276" i="14" s="1"/>
  <c r="P268" i="14"/>
  <c r="O268" i="14" s="1"/>
  <c r="P263" i="14"/>
  <c r="O263" i="14" s="1"/>
  <c r="P257" i="14"/>
  <c r="O257" i="14" s="1"/>
  <c r="P245" i="14"/>
  <c r="O245" i="14" s="1"/>
  <c r="P239" i="14"/>
  <c r="O239" i="14" s="1"/>
  <c r="P233" i="14"/>
  <c r="O233" i="14" s="1"/>
  <c r="P219" i="14"/>
  <c r="O219" i="14" s="1"/>
  <c r="P211" i="14"/>
  <c r="O211" i="14" s="1"/>
  <c r="P204" i="14"/>
  <c r="O204" i="14" s="1"/>
  <c r="P187" i="14"/>
  <c r="O187" i="14" s="1"/>
  <c r="P172" i="14"/>
  <c r="O172" i="14" s="1"/>
  <c r="P165" i="14"/>
  <c r="O165" i="14" s="1"/>
  <c r="P141" i="14"/>
  <c r="O141" i="14" s="1"/>
  <c r="P125" i="14"/>
  <c r="O125" i="14" s="1"/>
  <c r="P70" i="14"/>
  <c r="O70" i="14" s="1"/>
  <c r="P38" i="14"/>
  <c r="O38" i="14" s="1"/>
  <c r="P281" i="14"/>
  <c r="O281" i="14" s="1"/>
  <c r="P238" i="14"/>
  <c r="O238" i="14" s="1"/>
  <c r="P209" i="14"/>
  <c r="O209" i="14" s="1"/>
  <c r="P202" i="14"/>
  <c r="O202" i="14" s="1"/>
  <c r="P163" i="14"/>
  <c r="O163" i="14" s="1"/>
  <c r="P24" i="14"/>
  <c r="O24" i="14" s="1"/>
  <c r="P275" i="14"/>
  <c r="O275" i="14" s="1"/>
  <c r="P267" i="14"/>
  <c r="O267" i="14" s="1"/>
  <c r="P256" i="14"/>
  <c r="O256" i="14" s="1"/>
  <c r="P251" i="14"/>
  <c r="O251" i="14" s="1"/>
  <c r="P244" i="14"/>
  <c r="O244" i="14" s="1"/>
  <c r="P217" i="14"/>
  <c r="O217" i="14" s="1"/>
  <c r="P210" i="14"/>
  <c r="O210" i="14" s="1"/>
  <c r="P203" i="14"/>
  <c r="O203" i="14" s="1"/>
  <c r="P194" i="14"/>
  <c r="O194" i="14" s="1"/>
  <c r="P186" i="14"/>
  <c r="O186" i="14" s="1"/>
  <c r="P171" i="14"/>
  <c r="O171" i="14" s="1"/>
  <c r="P164" i="14"/>
  <c r="O164" i="14" s="1"/>
  <c r="P148" i="14"/>
  <c r="O148" i="14" s="1"/>
  <c r="P140" i="14"/>
  <c r="O140" i="14" s="1"/>
  <c r="P133" i="14"/>
  <c r="O133" i="14" s="1"/>
  <c r="P124" i="14"/>
  <c r="O124" i="14" s="1"/>
  <c r="P117" i="14"/>
  <c r="O117" i="14" s="1"/>
  <c r="P111" i="14"/>
  <c r="O111" i="14" s="1"/>
  <c r="P104" i="14"/>
  <c r="O104" i="14" s="1"/>
  <c r="P98" i="14"/>
  <c r="O98" i="14" s="1"/>
  <c r="P87" i="14"/>
  <c r="O87" i="14" s="1"/>
  <c r="P69" i="14"/>
  <c r="O69" i="14" s="1"/>
  <c r="P62" i="14"/>
  <c r="O62" i="14" s="1"/>
  <c r="P23" i="14"/>
  <c r="O23" i="14" s="1"/>
  <c r="P31" i="14"/>
  <c r="O31" i="14" s="1"/>
  <c r="P39" i="14"/>
  <c r="O39" i="14" s="1"/>
  <c r="P47" i="14"/>
  <c r="O47" i="14" s="1"/>
  <c r="P15" i="14"/>
  <c r="O15" i="14" s="1"/>
  <c r="P232" i="14"/>
  <c r="O232" i="14" s="1"/>
  <c r="P76" i="14"/>
  <c r="O76" i="14" s="1"/>
  <c r="P250" i="14"/>
  <c r="O250" i="14" s="1"/>
  <c r="P178" i="14"/>
  <c r="O178" i="14" s="1"/>
  <c r="P110" i="14"/>
  <c r="O110" i="14" s="1"/>
  <c r="P16" i="14"/>
  <c r="O16" i="14" s="1"/>
  <c r="P287" i="14"/>
  <c r="O287" i="14" s="1"/>
  <c r="P274" i="14"/>
  <c r="O274" i="14" s="1"/>
  <c r="P266" i="14"/>
  <c r="O266" i="14" s="1"/>
  <c r="P261" i="14"/>
  <c r="O261" i="14" s="1"/>
  <c r="P255" i="14"/>
  <c r="O255" i="14" s="1"/>
  <c r="P249" i="14"/>
  <c r="O249" i="14" s="1"/>
  <c r="P237" i="14"/>
  <c r="O237" i="14" s="1"/>
  <c r="P215" i="14"/>
  <c r="O215" i="14" s="1"/>
  <c r="P208" i="14"/>
  <c r="O208" i="14" s="1"/>
  <c r="P201" i="14"/>
  <c r="O201" i="14" s="1"/>
  <c r="P192" i="14"/>
  <c r="O192" i="14" s="1"/>
  <c r="P184" i="14"/>
  <c r="O184" i="14" s="1"/>
  <c r="P177" i="14"/>
  <c r="O177" i="14" s="1"/>
  <c r="P170" i="14"/>
  <c r="O170" i="14" s="1"/>
  <c r="P146" i="14"/>
  <c r="O146" i="14" s="1"/>
  <c r="P131" i="14"/>
  <c r="O131" i="14" s="1"/>
  <c r="P122" i="14"/>
  <c r="O122" i="14" s="1"/>
  <c r="P116" i="14"/>
  <c r="O116" i="14" s="1"/>
  <c r="P109" i="14"/>
  <c r="O109" i="14" s="1"/>
  <c r="P102" i="14"/>
  <c r="O102" i="14" s="1"/>
  <c r="P74" i="14"/>
  <c r="O74" i="14" s="1"/>
  <c r="P61" i="14"/>
  <c r="O61" i="14" s="1"/>
  <c r="P17" i="14"/>
  <c r="O17" i="14" s="1"/>
  <c r="P25" i="14"/>
  <c r="O25" i="14" s="1"/>
  <c r="P33" i="14"/>
  <c r="O33" i="14" s="1"/>
  <c r="P41" i="14"/>
  <c r="O41" i="14" s="1"/>
  <c r="P49" i="14"/>
  <c r="O49" i="14" s="1"/>
  <c r="P279" i="14"/>
  <c r="O279" i="14" s="1"/>
  <c r="P260" i="14"/>
  <c r="O260" i="14" s="1"/>
  <c r="P254" i="14"/>
  <c r="O254" i="14" s="1"/>
  <c r="P241" i="14"/>
  <c r="O241" i="14" s="1"/>
  <c r="P197" i="14"/>
  <c r="O197" i="14" s="1"/>
  <c r="P175" i="14"/>
  <c r="O175" i="14" s="1"/>
  <c r="P161" i="14"/>
  <c r="O161" i="14" s="1"/>
  <c r="P130" i="14"/>
  <c r="O130" i="14" s="1"/>
  <c r="P114" i="14"/>
  <c r="O114" i="14" s="1"/>
  <c r="P107" i="14"/>
  <c r="O107" i="14" s="1"/>
  <c r="P90" i="14"/>
  <c r="O90" i="14" s="1"/>
  <c r="P35" i="14"/>
  <c r="O35" i="14" s="1"/>
  <c r="P51" i="14"/>
  <c r="O51" i="14" s="1"/>
  <c r="P167" i="14"/>
  <c r="O167" i="14" s="1"/>
  <c r="P113" i="14"/>
  <c r="O113" i="14" s="1"/>
  <c r="P95" i="14"/>
  <c r="O95" i="14" s="1"/>
  <c r="P59" i="14"/>
  <c r="O59" i="14" s="1"/>
  <c r="P36" i="14"/>
  <c r="O36" i="14" s="1"/>
  <c r="P185" i="14"/>
  <c r="O185" i="14" s="1"/>
  <c r="P103" i="14"/>
  <c r="O103" i="14" s="1"/>
  <c r="P40" i="14"/>
  <c r="O40" i="14" s="1"/>
  <c r="I76" i="14"/>
  <c r="J76" i="14" s="1"/>
  <c r="I68" i="14"/>
  <c r="J68" i="14" s="1"/>
  <c r="I59" i="14"/>
  <c r="J59" i="14" s="1"/>
  <c r="I213" i="14"/>
  <c r="J213" i="14" s="1"/>
  <c r="I206" i="14"/>
  <c r="J206" i="14" s="1"/>
  <c r="I285" i="14"/>
  <c r="J285" i="14" s="1"/>
  <c r="I278" i="14"/>
  <c r="J278" i="14" s="1"/>
  <c r="I143" i="14"/>
  <c r="J143" i="14" s="1"/>
  <c r="I135" i="14"/>
  <c r="J135" i="14" s="1"/>
  <c r="I139" i="14"/>
  <c r="J139" i="14" s="1"/>
  <c r="I62" i="14"/>
  <c r="J62" i="14" s="1"/>
  <c r="I288" i="14"/>
  <c r="J288" i="14" s="1"/>
  <c r="I67" i="14"/>
  <c r="J67" i="14" s="1"/>
  <c r="I58" i="14"/>
  <c r="J58" i="14" s="1"/>
  <c r="I212" i="14"/>
  <c r="J212" i="14" s="1"/>
  <c r="I205" i="14"/>
  <c r="J205" i="14" s="1"/>
  <c r="I284" i="14"/>
  <c r="J284" i="14" s="1"/>
  <c r="I277" i="14"/>
  <c r="J277" i="14" s="1"/>
  <c r="I142" i="14"/>
  <c r="J142" i="14" s="1"/>
  <c r="I134" i="14"/>
  <c r="J134" i="14" s="1"/>
  <c r="I219" i="14"/>
  <c r="J219" i="14" s="1"/>
  <c r="I74" i="14"/>
  <c r="J74" i="14" s="1"/>
  <c r="I66" i="14"/>
  <c r="J66" i="14" s="1"/>
  <c r="I211" i="14"/>
  <c r="J211" i="14" s="1"/>
  <c r="I204" i="14"/>
  <c r="J204" i="14" s="1"/>
  <c r="I283" i="14"/>
  <c r="J283" i="14" s="1"/>
  <c r="I276" i="14"/>
  <c r="J276" i="14" s="1"/>
  <c r="I141" i="14"/>
  <c r="J141" i="14" s="1"/>
  <c r="I133" i="14"/>
  <c r="J133" i="14" s="1"/>
  <c r="I73" i="14"/>
  <c r="J73" i="14" s="1"/>
  <c r="I65" i="14"/>
  <c r="J65" i="14" s="1"/>
  <c r="I210" i="14"/>
  <c r="J210" i="14" s="1"/>
  <c r="I203" i="14"/>
  <c r="J203" i="14" s="1"/>
  <c r="I291" i="14"/>
  <c r="J291" i="14" s="1"/>
  <c r="I275" i="14"/>
  <c r="J275" i="14" s="1"/>
  <c r="I209" i="14"/>
  <c r="J209" i="14" s="1"/>
  <c r="I281" i="14"/>
  <c r="J281" i="14" s="1"/>
  <c r="I148" i="14"/>
  <c r="J148" i="14" s="1"/>
  <c r="I282" i="14"/>
  <c r="J282" i="14" s="1"/>
  <c r="I140" i="14"/>
  <c r="J140" i="14" s="1"/>
  <c r="I132" i="14"/>
  <c r="J132" i="14" s="1"/>
  <c r="I72" i="14"/>
  <c r="J72" i="14" s="1"/>
  <c r="I63" i="14"/>
  <c r="J63" i="14" s="1"/>
  <c r="I217" i="14"/>
  <c r="J217" i="14" s="1"/>
  <c r="I202" i="14"/>
  <c r="J202" i="14" s="1"/>
  <c r="I289" i="14"/>
  <c r="J289" i="14" s="1"/>
  <c r="I274" i="14"/>
  <c r="J274" i="14" s="1"/>
  <c r="I131" i="14"/>
  <c r="J131" i="14" s="1"/>
  <c r="I71" i="14"/>
  <c r="J71" i="14" s="1"/>
  <c r="I216" i="14"/>
  <c r="J216" i="14" s="1"/>
  <c r="I201" i="14"/>
  <c r="J201" i="14" s="1"/>
  <c r="I215" i="14"/>
  <c r="J215" i="14" s="1"/>
  <c r="I286" i="14"/>
  <c r="J286" i="14" s="1"/>
  <c r="I136" i="14"/>
  <c r="J136" i="14" s="1"/>
  <c r="I214" i="14"/>
  <c r="J214" i="14" s="1"/>
  <c r="I280" i="14"/>
  <c r="J280" i="14" s="1"/>
  <c r="I130" i="14"/>
  <c r="J130" i="14" s="1"/>
  <c r="I208" i="14"/>
  <c r="J208" i="14" s="1"/>
  <c r="I279" i="14"/>
  <c r="J279" i="14" s="1"/>
  <c r="I61" i="14"/>
  <c r="J61" i="14" s="1"/>
  <c r="I287" i="14"/>
  <c r="J287" i="14" s="1"/>
  <c r="I137" i="14"/>
  <c r="J137" i="14" s="1"/>
  <c r="I207" i="14"/>
  <c r="J207" i="14" s="1"/>
  <c r="I273" i="14"/>
  <c r="J273" i="14" s="1"/>
  <c r="I146" i="14"/>
  <c r="J146" i="14" s="1"/>
  <c r="I70" i="14"/>
  <c r="J70" i="14" s="1"/>
  <c r="I145" i="14"/>
  <c r="J145" i="14" s="1"/>
  <c r="I138" i="14"/>
  <c r="J138" i="14" s="1"/>
  <c r="I69" i="14"/>
  <c r="J69" i="14" s="1"/>
  <c r="I144" i="14"/>
  <c r="J144" i="14" s="1"/>
  <c r="I60" i="14"/>
  <c r="J60" i="14" s="1"/>
  <c r="I196" i="14"/>
  <c r="J196" i="14" s="1"/>
  <c r="I126" i="14"/>
  <c r="J126" i="14" s="1"/>
  <c r="I269" i="14"/>
  <c r="J269" i="14" s="1"/>
  <c r="I53" i="14"/>
  <c r="J53" i="14" s="1"/>
  <c r="I125" i="14"/>
  <c r="J125" i="14" s="1"/>
  <c r="I197" i="14"/>
  <c r="J197" i="14" s="1"/>
  <c r="I268" i="14"/>
  <c r="J268" i="14" s="1"/>
  <c r="I54" i="14"/>
  <c r="J54" i="14" s="1"/>
  <c r="I51" i="14"/>
  <c r="J51" i="14" s="1"/>
  <c r="I195" i="14"/>
  <c r="J195" i="14" s="1"/>
  <c r="I266" i="14"/>
  <c r="J266" i="14" s="1"/>
  <c r="I267" i="14"/>
  <c r="J267" i="14" s="1"/>
  <c r="I123" i="14"/>
  <c r="J123" i="14" s="1"/>
  <c r="I194" i="14"/>
  <c r="J194" i="14" s="1"/>
  <c r="I124" i="14"/>
  <c r="J124" i="14" s="1"/>
  <c r="I52" i="14"/>
  <c r="J52" i="14" s="1"/>
  <c r="I250" i="14"/>
  <c r="J250" i="14" s="1"/>
  <c r="I248" i="14"/>
  <c r="J248" i="14" s="1"/>
  <c r="I242" i="14"/>
  <c r="J242" i="14" s="1"/>
  <c r="I232" i="14"/>
  <c r="J232" i="14" s="1"/>
  <c r="I186" i="14"/>
  <c r="J186" i="14" s="1"/>
  <c r="I176" i="14"/>
  <c r="J176" i="14" s="1"/>
  <c r="I166" i="14"/>
  <c r="J166" i="14" s="1"/>
  <c r="I264" i="14"/>
  <c r="J264" i="14" s="1"/>
  <c r="I258" i="14"/>
  <c r="J258" i="14" s="1"/>
  <c r="I238" i="14"/>
  <c r="J238" i="14" s="1"/>
  <c r="I190" i="14"/>
  <c r="J190" i="14" s="1"/>
  <c r="I180" i="14"/>
  <c r="J180" i="14" s="1"/>
  <c r="I170" i="14"/>
  <c r="J170" i="14" s="1"/>
  <c r="I160" i="14"/>
  <c r="J160" i="14" s="1"/>
  <c r="I259" i="14"/>
  <c r="J259" i="14" s="1"/>
  <c r="I257" i="14"/>
  <c r="J257" i="14" s="1"/>
  <c r="I255" i="14"/>
  <c r="J255" i="14" s="1"/>
  <c r="I253" i="14"/>
  <c r="J253" i="14" s="1"/>
  <c r="I251" i="14"/>
  <c r="J251" i="14" s="1"/>
  <c r="I249" i="14"/>
  <c r="J249" i="14" s="1"/>
  <c r="I247" i="14"/>
  <c r="J247" i="14" s="1"/>
  <c r="I245" i="14"/>
  <c r="J245" i="14" s="1"/>
  <c r="I243" i="14"/>
  <c r="J243" i="14" s="1"/>
  <c r="I241" i="14"/>
  <c r="J241" i="14" s="1"/>
  <c r="I239" i="14"/>
  <c r="J239" i="14" s="1"/>
  <c r="I237" i="14"/>
  <c r="J237" i="14" s="1"/>
  <c r="I235" i="14"/>
  <c r="J235" i="14" s="1"/>
  <c r="I233" i="14"/>
  <c r="J233" i="14" s="1"/>
  <c r="I231" i="14"/>
  <c r="J231" i="14" s="1"/>
  <c r="I193" i="14"/>
  <c r="J193" i="14" s="1"/>
  <c r="I191" i="14"/>
  <c r="J191" i="14" s="1"/>
  <c r="I189" i="14"/>
  <c r="J189" i="14" s="1"/>
  <c r="I187" i="14"/>
  <c r="J187" i="14" s="1"/>
  <c r="I185" i="14"/>
  <c r="J185" i="14" s="1"/>
  <c r="I183" i="14"/>
  <c r="J183" i="14" s="1"/>
  <c r="I181" i="14"/>
  <c r="J181" i="14" s="1"/>
  <c r="I179" i="14"/>
  <c r="J179" i="14" s="1"/>
  <c r="I177" i="14"/>
  <c r="J177" i="14" s="1"/>
  <c r="I175" i="14"/>
  <c r="J175" i="14" s="1"/>
  <c r="I173" i="14"/>
  <c r="J173" i="14" s="1"/>
  <c r="I171" i="14"/>
  <c r="J171" i="14" s="1"/>
  <c r="I169" i="14"/>
  <c r="J169" i="14" s="1"/>
  <c r="I167" i="14"/>
  <c r="J167" i="14" s="1"/>
  <c r="I165" i="14"/>
  <c r="J165" i="14" s="1"/>
  <c r="I163" i="14"/>
  <c r="J163" i="14" s="1"/>
  <c r="I161" i="14"/>
  <c r="J161" i="14" s="1"/>
  <c r="I159" i="14"/>
  <c r="J159" i="14" s="1"/>
  <c r="I254" i="14"/>
  <c r="J254" i="14" s="1"/>
  <c r="I262" i="14"/>
  <c r="J262" i="14" s="1"/>
  <c r="I265" i="14"/>
  <c r="J265" i="14" s="1"/>
  <c r="I263" i="14"/>
  <c r="J263" i="14" s="1"/>
  <c r="I261" i="14"/>
  <c r="J261" i="14" s="1"/>
  <c r="I260" i="14"/>
  <c r="J260" i="14" s="1"/>
  <c r="I244" i="14"/>
  <c r="J244" i="14" s="1"/>
  <c r="I234" i="14"/>
  <c r="J234" i="14" s="1"/>
  <c r="I188" i="14"/>
  <c r="J188" i="14" s="1"/>
  <c r="I178" i="14"/>
  <c r="J178" i="14" s="1"/>
  <c r="I168" i="14"/>
  <c r="J168" i="14" s="1"/>
  <c r="I158" i="14"/>
  <c r="J158" i="14" s="1"/>
  <c r="I252" i="14"/>
  <c r="J252" i="14" s="1"/>
  <c r="I246" i="14"/>
  <c r="J246" i="14" s="1"/>
  <c r="I236" i="14"/>
  <c r="J236" i="14" s="1"/>
  <c r="I192" i="14"/>
  <c r="J192" i="14" s="1"/>
  <c r="I182" i="14"/>
  <c r="J182" i="14" s="1"/>
  <c r="I172" i="14"/>
  <c r="J172" i="14" s="1"/>
  <c r="I162" i="14"/>
  <c r="J162" i="14" s="1"/>
  <c r="I256" i="14"/>
  <c r="J256" i="14" s="1"/>
  <c r="I240" i="14"/>
  <c r="J240" i="14" s="1"/>
  <c r="I230" i="14"/>
  <c r="J230" i="14" s="1"/>
  <c r="I184" i="14"/>
  <c r="J184" i="14" s="1"/>
  <c r="I174" i="14"/>
  <c r="J174" i="14" s="1"/>
  <c r="I164" i="14"/>
  <c r="J164" i="14" s="1"/>
  <c r="I49" i="14"/>
  <c r="J49" i="14" s="1"/>
  <c r="I121" i="14"/>
  <c r="J121" i="14" s="1"/>
  <c r="I50" i="14"/>
  <c r="J50" i="14" s="1"/>
  <c r="I29" i="14"/>
  <c r="J29" i="14" s="1"/>
  <c r="I23" i="14"/>
  <c r="J23" i="14" s="1"/>
  <c r="I43" i="14"/>
  <c r="J43" i="14" s="1"/>
  <c r="I35" i="14"/>
  <c r="J35" i="14" s="1"/>
  <c r="I26" i="14"/>
  <c r="J26" i="14" s="1"/>
  <c r="I17" i="14"/>
  <c r="J17" i="14" s="1"/>
  <c r="I116" i="14"/>
  <c r="J116" i="14" s="1"/>
  <c r="I108" i="14"/>
  <c r="J108" i="14" s="1"/>
  <c r="I100" i="14"/>
  <c r="J100" i="14" s="1"/>
  <c r="I92" i="14"/>
  <c r="J92" i="14" s="1"/>
  <c r="I42" i="14"/>
  <c r="J42" i="14" s="1"/>
  <c r="I34" i="14"/>
  <c r="J34" i="14" s="1"/>
  <c r="I25" i="14"/>
  <c r="J25" i="14" s="1"/>
  <c r="I16" i="14"/>
  <c r="J16" i="14" s="1"/>
  <c r="I115" i="14"/>
  <c r="J115" i="14" s="1"/>
  <c r="I107" i="14"/>
  <c r="J107" i="14" s="1"/>
  <c r="I99" i="14"/>
  <c r="J99" i="14" s="1"/>
  <c r="I91" i="14"/>
  <c r="J91" i="14" s="1"/>
  <c r="I41" i="14"/>
  <c r="J41" i="14" s="1"/>
  <c r="I33" i="14"/>
  <c r="J33" i="14" s="1"/>
  <c r="I24" i="14"/>
  <c r="J24" i="14" s="1"/>
  <c r="I15" i="14"/>
  <c r="J15" i="14" s="1"/>
  <c r="I114" i="14"/>
  <c r="J114" i="14" s="1"/>
  <c r="I106" i="14"/>
  <c r="J106" i="14" s="1"/>
  <c r="I98" i="14"/>
  <c r="J98" i="14" s="1"/>
  <c r="I90" i="14"/>
  <c r="J90" i="14" s="1"/>
  <c r="I48" i="14"/>
  <c r="J48" i="14" s="1"/>
  <c r="I40" i="14"/>
  <c r="J40" i="14" s="1"/>
  <c r="I32" i="14"/>
  <c r="J32" i="14" s="1"/>
  <c r="I22" i="14"/>
  <c r="J22" i="14" s="1"/>
  <c r="I122" i="14"/>
  <c r="J122" i="14" s="1"/>
  <c r="I113" i="14"/>
  <c r="J113" i="14" s="1"/>
  <c r="I105" i="14"/>
  <c r="J105" i="14" s="1"/>
  <c r="I97" i="14"/>
  <c r="J97" i="14" s="1"/>
  <c r="I89" i="14"/>
  <c r="J89" i="14" s="1"/>
  <c r="I47" i="14"/>
  <c r="J47" i="14" s="1"/>
  <c r="I39" i="14"/>
  <c r="J39" i="14" s="1"/>
  <c r="I31" i="14"/>
  <c r="J31" i="14" s="1"/>
  <c r="I21" i="14"/>
  <c r="J21" i="14" s="1"/>
  <c r="I120" i="14"/>
  <c r="J120" i="14" s="1"/>
  <c r="I112" i="14"/>
  <c r="J112" i="14" s="1"/>
  <c r="I104" i="14"/>
  <c r="J104" i="14" s="1"/>
  <c r="I96" i="14"/>
  <c r="J96" i="14" s="1"/>
  <c r="I88" i="14"/>
  <c r="J88" i="14" s="1"/>
  <c r="I46" i="14"/>
  <c r="J46" i="14" s="1"/>
  <c r="I38" i="14"/>
  <c r="J38" i="14" s="1"/>
  <c r="I30" i="14"/>
  <c r="J30" i="14" s="1"/>
  <c r="I20" i="14"/>
  <c r="J20" i="14" s="1"/>
  <c r="I119" i="14"/>
  <c r="J119" i="14" s="1"/>
  <c r="I111" i="14"/>
  <c r="J111" i="14" s="1"/>
  <c r="I103" i="14"/>
  <c r="J103" i="14" s="1"/>
  <c r="I95" i="14"/>
  <c r="J95" i="14" s="1"/>
  <c r="I87" i="14"/>
  <c r="J87" i="14" s="1"/>
  <c r="I45" i="14"/>
  <c r="J45" i="14" s="1"/>
  <c r="I37" i="14"/>
  <c r="J37" i="14" s="1"/>
  <c r="I28" i="14"/>
  <c r="J28" i="14" s="1"/>
  <c r="I19" i="14"/>
  <c r="J19" i="14" s="1"/>
  <c r="I118" i="14"/>
  <c r="J118" i="14" s="1"/>
  <c r="I110" i="14"/>
  <c r="J110" i="14" s="1"/>
  <c r="I102" i="14"/>
  <c r="J102" i="14" s="1"/>
  <c r="I94" i="14"/>
  <c r="J94" i="14" s="1"/>
  <c r="I44" i="14"/>
  <c r="J44" i="14" s="1"/>
  <c r="I36" i="14"/>
  <c r="J36" i="14" s="1"/>
  <c r="I27" i="14"/>
  <c r="J27" i="14" s="1"/>
  <c r="I18" i="14"/>
  <c r="J18" i="14" s="1"/>
  <c r="I117" i="14"/>
  <c r="J117" i="14" s="1"/>
  <c r="I109" i="14"/>
  <c r="J109" i="14" s="1"/>
  <c r="I101" i="14"/>
  <c r="J101" i="14" s="1"/>
  <c r="I93" i="14"/>
  <c r="J93" i="14" s="1"/>
  <c r="G38" i="4"/>
  <c r="J127" i="14" l="1"/>
  <c r="J77" i="14"/>
  <c r="J270" i="14"/>
  <c r="J220" i="14"/>
  <c r="J198" i="14"/>
  <c r="J149" i="14"/>
  <c r="J55" i="14"/>
  <c r="J80" i="14" s="1"/>
  <c r="E7" i="14" s="1"/>
  <c r="J292" i="14"/>
  <c r="H77" i="14"/>
  <c r="H78" i="14" s="1"/>
  <c r="O198" i="14"/>
  <c r="O270" i="14"/>
  <c r="O292" i="14"/>
  <c r="O149" i="14"/>
  <c r="O127" i="14"/>
  <c r="O220" i="14"/>
  <c r="O55" i="14"/>
  <c r="O77" i="14" s="1"/>
  <c r="H220" i="14"/>
  <c r="H221" i="14" s="1"/>
  <c r="H149" i="14"/>
  <c r="H150" i="14" s="1"/>
  <c r="H292" i="14"/>
  <c r="H293" i="14" s="1"/>
  <c r="H270" i="14"/>
  <c r="H198" i="14"/>
  <c r="H127" i="14"/>
  <c r="H55" i="14"/>
  <c r="C28" i="11"/>
  <c r="E28" i="11"/>
  <c r="J152" i="14" l="1"/>
  <c r="J223" i="14"/>
  <c r="J295" i="14"/>
  <c r="H223" i="14"/>
  <c r="H271" i="14"/>
  <c r="H295" i="14"/>
  <c r="H199" i="14"/>
  <c r="H128" i="14"/>
  <c r="H152" i="14"/>
  <c r="H56" i="14"/>
  <c r="H80" i="14"/>
  <c r="L7" i="14" s="1"/>
  <c r="G37" i="4"/>
  <c r="G39" i="4"/>
  <c r="G7" i="14" l="1"/>
  <c r="F7" i="14"/>
  <c r="H154" i="14"/>
  <c r="M7" i="14"/>
  <c r="H297" i="14"/>
  <c r="O7" i="14"/>
  <c r="H225" i="14"/>
  <c r="N7" i="14"/>
  <c r="H82" i="14"/>
  <c r="E7" i="11" l="1"/>
  <c r="F7" i="11" s="1"/>
  <c r="P7" i="14"/>
  <c r="G29" i="4"/>
  <c r="G41" i="4" s="1"/>
  <c r="L64" i="14" l="1"/>
  <c r="M64" i="14" s="1"/>
  <c r="V64" i="14" s="1"/>
  <c r="W64" i="14" s="1"/>
  <c r="L147" i="14"/>
  <c r="M147" i="14" s="1"/>
  <c r="V147" i="14" s="1"/>
  <c r="L290" i="14"/>
  <c r="M290" i="14" s="1"/>
  <c r="V290" i="14" s="1"/>
  <c r="L75" i="14"/>
  <c r="M75" i="14" s="1"/>
  <c r="V75" i="14" s="1"/>
  <c r="W75" i="14" s="1"/>
  <c r="L218" i="14"/>
  <c r="M218" i="14" s="1"/>
  <c r="V218" i="14" s="1"/>
  <c r="L68" i="14"/>
  <c r="M68" i="14" s="1"/>
  <c r="V68" i="14" s="1"/>
  <c r="W68" i="14" s="1"/>
  <c r="L59" i="14"/>
  <c r="M59" i="14" s="1"/>
  <c r="V59" i="14" s="1"/>
  <c r="W59" i="14" s="1"/>
  <c r="L211" i="14"/>
  <c r="M211" i="14" s="1"/>
  <c r="V211" i="14" s="1"/>
  <c r="L204" i="14"/>
  <c r="M204" i="14" s="1"/>
  <c r="V204" i="14" s="1"/>
  <c r="L291" i="14"/>
  <c r="M291" i="14" s="1"/>
  <c r="V291" i="14" s="1"/>
  <c r="L282" i="14"/>
  <c r="M282" i="14" s="1"/>
  <c r="V282" i="14" s="1"/>
  <c r="L275" i="14"/>
  <c r="M275" i="14" s="1"/>
  <c r="V275" i="14" s="1"/>
  <c r="L141" i="14"/>
  <c r="M141" i="14" s="1"/>
  <c r="V141" i="14" s="1"/>
  <c r="L133" i="14"/>
  <c r="M133" i="14" s="1"/>
  <c r="V133" i="14" s="1"/>
  <c r="L62" i="14"/>
  <c r="M62" i="14" s="1"/>
  <c r="V62" i="14" s="1"/>
  <c r="W62" i="14" s="1"/>
  <c r="L207" i="14"/>
  <c r="M207" i="14" s="1"/>
  <c r="V207" i="14" s="1"/>
  <c r="L285" i="14"/>
  <c r="M285" i="14" s="1"/>
  <c r="V285" i="14" s="1"/>
  <c r="L67" i="14"/>
  <c r="M67" i="14" s="1"/>
  <c r="V67" i="14" s="1"/>
  <c r="W67" i="14" s="1"/>
  <c r="L58" i="14"/>
  <c r="M58" i="14" s="1"/>
  <c r="L210" i="14"/>
  <c r="M210" i="14" s="1"/>
  <c r="V210" i="14" s="1"/>
  <c r="L203" i="14"/>
  <c r="M203" i="14" s="1"/>
  <c r="V203" i="14" s="1"/>
  <c r="L289" i="14"/>
  <c r="M289" i="14" s="1"/>
  <c r="V289" i="14" s="1"/>
  <c r="L281" i="14"/>
  <c r="M281" i="14" s="1"/>
  <c r="V281" i="14" s="1"/>
  <c r="L274" i="14"/>
  <c r="M274" i="14" s="1"/>
  <c r="V274" i="14" s="1"/>
  <c r="L140" i="14"/>
  <c r="M140" i="14" s="1"/>
  <c r="V140" i="14" s="1"/>
  <c r="L132" i="14"/>
  <c r="M132" i="14" s="1"/>
  <c r="V132" i="14" s="1"/>
  <c r="L74" i="14"/>
  <c r="M74" i="14" s="1"/>
  <c r="V74" i="14" s="1"/>
  <c r="W74" i="14" s="1"/>
  <c r="L66" i="14"/>
  <c r="M66" i="14" s="1"/>
  <c r="V66" i="14" s="1"/>
  <c r="W66" i="14" s="1"/>
  <c r="L217" i="14"/>
  <c r="M217" i="14" s="1"/>
  <c r="V217" i="14" s="1"/>
  <c r="L209" i="14"/>
  <c r="M209" i="14" s="1"/>
  <c r="V209" i="14" s="1"/>
  <c r="L202" i="14"/>
  <c r="M202" i="14" s="1"/>
  <c r="V202" i="14" s="1"/>
  <c r="L288" i="14"/>
  <c r="M288" i="14" s="1"/>
  <c r="V288" i="14" s="1"/>
  <c r="L273" i="14"/>
  <c r="M273" i="14" s="1"/>
  <c r="L148" i="14"/>
  <c r="M148" i="14" s="1"/>
  <c r="V148" i="14" s="1"/>
  <c r="L139" i="14"/>
  <c r="M139" i="14" s="1"/>
  <c r="V139" i="14" s="1"/>
  <c r="L131" i="14"/>
  <c r="M131" i="14" s="1"/>
  <c r="V131" i="14" s="1"/>
  <c r="L73" i="14"/>
  <c r="M73" i="14" s="1"/>
  <c r="V73" i="14" s="1"/>
  <c r="W73" i="14" s="1"/>
  <c r="L65" i="14"/>
  <c r="M65" i="14" s="1"/>
  <c r="V65" i="14" s="1"/>
  <c r="W65" i="14" s="1"/>
  <c r="L216" i="14"/>
  <c r="M216" i="14" s="1"/>
  <c r="V216" i="14" s="1"/>
  <c r="L287" i="14"/>
  <c r="M287" i="14" s="1"/>
  <c r="V287" i="14" s="1"/>
  <c r="L146" i="14"/>
  <c r="M146" i="14" s="1"/>
  <c r="V146" i="14" s="1"/>
  <c r="L130" i="14"/>
  <c r="M130" i="14" s="1"/>
  <c r="L63" i="14"/>
  <c r="M63" i="14" s="1"/>
  <c r="V63" i="14" s="1"/>
  <c r="W63" i="14" s="1"/>
  <c r="L215" i="14"/>
  <c r="M215" i="14" s="1"/>
  <c r="V215" i="14" s="1"/>
  <c r="L279" i="14"/>
  <c r="M279" i="14" s="1"/>
  <c r="V279" i="14" s="1"/>
  <c r="L201" i="14"/>
  <c r="M201" i="14" s="1"/>
  <c r="L280" i="14"/>
  <c r="M280" i="14" s="1"/>
  <c r="V280" i="14" s="1"/>
  <c r="L138" i="14"/>
  <c r="M138" i="14" s="1"/>
  <c r="V138" i="14" s="1"/>
  <c r="L72" i="14"/>
  <c r="M72" i="14" s="1"/>
  <c r="V72" i="14" s="1"/>
  <c r="W72" i="14" s="1"/>
  <c r="L208" i="14"/>
  <c r="M208" i="14" s="1"/>
  <c r="V208" i="14" s="1"/>
  <c r="L286" i="14"/>
  <c r="M286" i="14" s="1"/>
  <c r="V286" i="14" s="1"/>
  <c r="L145" i="14"/>
  <c r="M145" i="14" s="1"/>
  <c r="V145" i="14" s="1"/>
  <c r="L137" i="14"/>
  <c r="M137" i="14" s="1"/>
  <c r="V137" i="14" s="1"/>
  <c r="L71" i="14"/>
  <c r="M71" i="14" s="1"/>
  <c r="V71" i="14" s="1"/>
  <c r="W71" i="14" s="1"/>
  <c r="L214" i="14"/>
  <c r="M214" i="14" s="1"/>
  <c r="V214" i="14" s="1"/>
  <c r="L70" i="14"/>
  <c r="M70" i="14" s="1"/>
  <c r="V70" i="14" s="1"/>
  <c r="W70" i="14" s="1"/>
  <c r="L136" i="14"/>
  <c r="M136" i="14" s="1"/>
  <c r="V136" i="14" s="1"/>
  <c r="L69" i="14"/>
  <c r="M69" i="14" s="1"/>
  <c r="V69" i="14" s="1"/>
  <c r="W69" i="14" s="1"/>
  <c r="L135" i="14"/>
  <c r="M135" i="14" s="1"/>
  <c r="V135" i="14" s="1"/>
  <c r="L61" i="14"/>
  <c r="M61" i="14" s="1"/>
  <c r="V61" i="14" s="1"/>
  <c r="W61" i="14" s="1"/>
  <c r="L284" i="14"/>
  <c r="M284" i="14" s="1"/>
  <c r="V284" i="14" s="1"/>
  <c r="L134" i="14"/>
  <c r="M134" i="14" s="1"/>
  <c r="V134" i="14" s="1"/>
  <c r="L276" i="14"/>
  <c r="M276" i="14" s="1"/>
  <c r="V276" i="14" s="1"/>
  <c r="L143" i="14"/>
  <c r="M143" i="14" s="1"/>
  <c r="V143" i="14" s="1"/>
  <c r="L76" i="14"/>
  <c r="M76" i="14" s="1"/>
  <c r="V76" i="14" s="1"/>
  <c r="W76" i="14" s="1"/>
  <c r="L219" i="14"/>
  <c r="M219" i="14" s="1"/>
  <c r="V219" i="14" s="1"/>
  <c r="L60" i="14"/>
  <c r="M60" i="14" s="1"/>
  <c r="V60" i="14" s="1"/>
  <c r="W60" i="14" s="1"/>
  <c r="L283" i="14"/>
  <c r="M283" i="14" s="1"/>
  <c r="V283" i="14" s="1"/>
  <c r="L205" i="14"/>
  <c r="M205" i="14" s="1"/>
  <c r="V205" i="14" s="1"/>
  <c r="L142" i="14"/>
  <c r="M142" i="14" s="1"/>
  <c r="V142" i="14" s="1"/>
  <c r="L213" i="14"/>
  <c r="M213" i="14" s="1"/>
  <c r="V213" i="14" s="1"/>
  <c r="L278" i="14"/>
  <c r="M278" i="14" s="1"/>
  <c r="V278" i="14" s="1"/>
  <c r="L206" i="14"/>
  <c r="M206" i="14" s="1"/>
  <c r="V206" i="14" s="1"/>
  <c r="L212" i="14"/>
  <c r="M212" i="14" s="1"/>
  <c r="V212" i="14" s="1"/>
  <c r="L277" i="14"/>
  <c r="M277" i="14" s="1"/>
  <c r="V277" i="14" s="1"/>
  <c r="L144" i="14"/>
  <c r="M144" i="14" s="1"/>
  <c r="V144" i="14" s="1"/>
  <c r="L269" i="14"/>
  <c r="M269" i="14" s="1"/>
  <c r="V269" i="14" s="1"/>
  <c r="L53" i="14"/>
  <c r="M53" i="14" s="1"/>
  <c r="V53" i="14" s="1"/>
  <c r="W53" i="14" s="1"/>
  <c r="L125" i="14"/>
  <c r="M125" i="14" s="1"/>
  <c r="V125" i="14" s="1"/>
  <c r="L268" i="14"/>
  <c r="M268" i="14" s="1"/>
  <c r="L126" i="14"/>
  <c r="M126" i="14" s="1"/>
  <c r="V126" i="14" s="1"/>
  <c r="L197" i="14"/>
  <c r="M197" i="14" s="1"/>
  <c r="V197" i="14" s="1"/>
  <c r="L54" i="14"/>
  <c r="M54" i="14" s="1"/>
  <c r="V54" i="14" s="1"/>
  <c r="W54" i="14" s="1"/>
  <c r="L196" i="14"/>
  <c r="M196" i="14" s="1"/>
  <c r="V196" i="14" s="1"/>
  <c r="L266" i="14"/>
  <c r="M266" i="14" s="1"/>
  <c r="V266" i="14" s="1"/>
  <c r="L195" i="14"/>
  <c r="M195" i="14" s="1"/>
  <c r="V195" i="14" s="1"/>
  <c r="L267" i="14"/>
  <c r="M267" i="14" s="1"/>
  <c r="V267" i="14" s="1"/>
  <c r="L123" i="14"/>
  <c r="M123" i="14" s="1"/>
  <c r="V123" i="14" s="1"/>
  <c r="L194" i="14"/>
  <c r="M194" i="14" s="1"/>
  <c r="V194" i="14" s="1"/>
  <c r="L51" i="14"/>
  <c r="M51" i="14" s="1"/>
  <c r="V51" i="14" s="1"/>
  <c r="W51" i="14" s="1"/>
  <c r="L52" i="14"/>
  <c r="M52" i="14" s="1"/>
  <c r="V52" i="14" s="1"/>
  <c r="W52" i="14" s="1"/>
  <c r="L124" i="14"/>
  <c r="M124" i="14" s="1"/>
  <c r="V124" i="14" s="1"/>
  <c r="L264" i="14"/>
  <c r="M264" i="14" s="1"/>
  <c r="V264" i="14" s="1"/>
  <c r="L259" i="14"/>
  <c r="M259" i="14" s="1"/>
  <c r="V259" i="14" s="1"/>
  <c r="L257" i="14"/>
  <c r="M257" i="14" s="1"/>
  <c r="V257" i="14" s="1"/>
  <c r="L255" i="14"/>
  <c r="M255" i="14" s="1"/>
  <c r="V255" i="14" s="1"/>
  <c r="L253" i="14"/>
  <c r="M253" i="14" s="1"/>
  <c r="V253" i="14" s="1"/>
  <c r="L251" i="14"/>
  <c r="M251" i="14" s="1"/>
  <c r="V251" i="14" s="1"/>
  <c r="L249" i="14"/>
  <c r="M249" i="14" s="1"/>
  <c r="V249" i="14" s="1"/>
  <c r="L247" i="14"/>
  <c r="M247" i="14" s="1"/>
  <c r="V247" i="14" s="1"/>
  <c r="L245" i="14"/>
  <c r="M245" i="14" s="1"/>
  <c r="V245" i="14" s="1"/>
  <c r="L243" i="14"/>
  <c r="M243" i="14" s="1"/>
  <c r="V243" i="14" s="1"/>
  <c r="L241" i="14"/>
  <c r="M241" i="14" s="1"/>
  <c r="V241" i="14" s="1"/>
  <c r="L239" i="14"/>
  <c r="M239" i="14" s="1"/>
  <c r="V239" i="14" s="1"/>
  <c r="L237" i="14"/>
  <c r="M237" i="14" s="1"/>
  <c r="V237" i="14" s="1"/>
  <c r="L235" i="14"/>
  <c r="M235" i="14" s="1"/>
  <c r="V235" i="14" s="1"/>
  <c r="L233" i="14"/>
  <c r="M233" i="14" s="1"/>
  <c r="V233" i="14" s="1"/>
  <c r="L231" i="14"/>
  <c r="M231" i="14" s="1"/>
  <c r="V231" i="14" s="1"/>
  <c r="L193" i="14"/>
  <c r="M193" i="14" s="1"/>
  <c r="V193" i="14" s="1"/>
  <c r="L191" i="14"/>
  <c r="M191" i="14" s="1"/>
  <c r="V191" i="14" s="1"/>
  <c r="L189" i="14"/>
  <c r="M189" i="14" s="1"/>
  <c r="V189" i="14" s="1"/>
  <c r="L187" i="14"/>
  <c r="M187" i="14" s="1"/>
  <c r="V187" i="14" s="1"/>
  <c r="L185" i="14"/>
  <c r="M185" i="14" s="1"/>
  <c r="V185" i="14" s="1"/>
  <c r="L183" i="14"/>
  <c r="M183" i="14" s="1"/>
  <c r="V183" i="14" s="1"/>
  <c r="L181" i="14"/>
  <c r="M181" i="14" s="1"/>
  <c r="V181" i="14" s="1"/>
  <c r="L179" i="14"/>
  <c r="M179" i="14" s="1"/>
  <c r="V179" i="14" s="1"/>
  <c r="L177" i="14"/>
  <c r="M177" i="14" s="1"/>
  <c r="V177" i="14" s="1"/>
  <c r="L175" i="14"/>
  <c r="M175" i="14" s="1"/>
  <c r="V175" i="14" s="1"/>
  <c r="L173" i="14"/>
  <c r="M173" i="14" s="1"/>
  <c r="V173" i="14" s="1"/>
  <c r="L171" i="14"/>
  <c r="M171" i="14" s="1"/>
  <c r="V171" i="14" s="1"/>
  <c r="L169" i="14"/>
  <c r="M169" i="14" s="1"/>
  <c r="V169" i="14" s="1"/>
  <c r="L167" i="14"/>
  <c r="M167" i="14" s="1"/>
  <c r="V167" i="14" s="1"/>
  <c r="L165" i="14"/>
  <c r="M165" i="14" s="1"/>
  <c r="V165" i="14" s="1"/>
  <c r="L163" i="14"/>
  <c r="M163" i="14" s="1"/>
  <c r="V163" i="14" s="1"/>
  <c r="L161" i="14"/>
  <c r="M161" i="14" s="1"/>
  <c r="V161" i="14" s="1"/>
  <c r="L159" i="14"/>
  <c r="M159" i="14" s="1"/>
  <c r="V159" i="14" s="1"/>
  <c r="L265" i="14"/>
  <c r="M265" i="14" s="1"/>
  <c r="V265" i="14" s="1"/>
  <c r="L263" i="14"/>
  <c r="M263" i="14" s="1"/>
  <c r="V263" i="14" s="1"/>
  <c r="L261" i="14"/>
  <c r="M261" i="14" s="1"/>
  <c r="V261" i="14" s="1"/>
  <c r="L262" i="14"/>
  <c r="M262" i="14" s="1"/>
  <c r="V262" i="14" s="1"/>
  <c r="L260" i="14"/>
  <c r="M260" i="14" s="1"/>
  <c r="V260" i="14" s="1"/>
  <c r="L258" i="14"/>
  <c r="M258" i="14" s="1"/>
  <c r="V258" i="14" s="1"/>
  <c r="L256" i="14"/>
  <c r="M256" i="14" s="1"/>
  <c r="V256" i="14" s="1"/>
  <c r="L254" i="14"/>
  <c r="M254" i="14" s="1"/>
  <c r="V254" i="14" s="1"/>
  <c r="L252" i="14"/>
  <c r="M252" i="14" s="1"/>
  <c r="V252" i="14" s="1"/>
  <c r="L250" i="14"/>
  <c r="M250" i="14" s="1"/>
  <c r="V250" i="14" s="1"/>
  <c r="L248" i="14"/>
  <c r="M248" i="14" s="1"/>
  <c r="V248" i="14" s="1"/>
  <c r="L246" i="14"/>
  <c r="M246" i="14" s="1"/>
  <c r="V246" i="14" s="1"/>
  <c r="L244" i="14"/>
  <c r="M244" i="14" s="1"/>
  <c r="V244" i="14" s="1"/>
  <c r="L242" i="14"/>
  <c r="M242" i="14" s="1"/>
  <c r="V242" i="14" s="1"/>
  <c r="L240" i="14"/>
  <c r="M240" i="14" s="1"/>
  <c r="V240" i="14" s="1"/>
  <c r="L238" i="14"/>
  <c r="M238" i="14" s="1"/>
  <c r="V238" i="14" s="1"/>
  <c r="L236" i="14"/>
  <c r="M236" i="14" s="1"/>
  <c r="V236" i="14" s="1"/>
  <c r="L234" i="14"/>
  <c r="M234" i="14" s="1"/>
  <c r="V234" i="14" s="1"/>
  <c r="L232" i="14"/>
  <c r="M232" i="14" s="1"/>
  <c r="V232" i="14" s="1"/>
  <c r="L230" i="14"/>
  <c r="M230" i="14" s="1"/>
  <c r="L192" i="14"/>
  <c r="M192" i="14" s="1"/>
  <c r="V192" i="14" s="1"/>
  <c r="L190" i="14"/>
  <c r="M190" i="14" s="1"/>
  <c r="V190" i="14" s="1"/>
  <c r="L188" i="14"/>
  <c r="M188" i="14" s="1"/>
  <c r="V188" i="14" s="1"/>
  <c r="L186" i="14"/>
  <c r="M186" i="14" s="1"/>
  <c r="V186" i="14" s="1"/>
  <c r="L184" i="14"/>
  <c r="M184" i="14" s="1"/>
  <c r="V184" i="14" s="1"/>
  <c r="L182" i="14"/>
  <c r="M182" i="14" s="1"/>
  <c r="V182" i="14" s="1"/>
  <c r="L180" i="14"/>
  <c r="M180" i="14" s="1"/>
  <c r="V180" i="14" s="1"/>
  <c r="L178" i="14"/>
  <c r="M178" i="14" s="1"/>
  <c r="V178" i="14" s="1"/>
  <c r="L176" i="14"/>
  <c r="M176" i="14" s="1"/>
  <c r="V176" i="14" s="1"/>
  <c r="L174" i="14"/>
  <c r="M174" i="14" s="1"/>
  <c r="V174" i="14" s="1"/>
  <c r="L172" i="14"/>
  <c r="M172" i="14" s="1"/>
  <c r="V172" i="14" s="1"/>
  <c r="L170" i="14"/>
  <c r="M170" i="14" s="1"/>
  <c r="V170" i="14" s="1"/>
  <c r="L168" i="14"/>
  <c r="M168" i="14" s="1"/>
  <c r="V168" i="14" s="1"/>
  <c r="L166" i="14"/>
  <c r="M166" i="14" s="1"/>
  <c r="V166" i="14" s="1"/>
  <c r="L164" i="14"/>
  <c r="M164" i="14" s="1"/>
  <c r="V164" i="14" s="1"/>
  <c r="L162" i="14"/>
  <c r="M162" i="14" s="1"/>
  <c r="V162" i="14" s="1"/>
  <c r="L160" i="14"/>
  <c r="M160" i="14" s="1"/>
  <c r="V160" i="14" s="1"/>
  <c r="L158" i="14"/>
  <c r="M158" i="14" s="1"/>
  <c r="L121" i="14"/>
  <c r="M121" i="14" s="1"/>
  <c r="V121" i="14" s="1"/>
  <c r="L49" i="14"/>
  <c r="M49" i="14" s="1"/>
  <c r="V49" i="14" s="1"/>
  <c r="W49" i="14" s="1"/>
  <c r="L50" i="14"/>
  <c r="M50" i="14" s="1"/>
  <c r="V50" i="14" s="1"/>
  <c r="W50" i="14" s="1"/>
  <c r="L29" i="14"/>
  <c r="M29" i="14" s="1"/>
  <c r="V29" i="14" s="1"/>
  <c r="W29" i="14" s="1"/>
  <c r="L23" i="14"/>
  <c r="M23" i="14" s="1"/>
  <c r="V23" i="14" s="1"/>
  <c r="W23" i="14" s="1"/>
  <c r="L48" i="14"/>
  <c r="M48" i="14" s="1"/>
  <c r="V48" i="14" s="1"/>
  <c r="W48" i="14" s="1"/>
  <c r="L40" i="14"/>
  <c r="M40" i="14" s="1"/>
  <c r="V40" i="14" s="1"/>
  <c r="W40" i="14" s="1"/>
  <c r="L32" i="14"/>
  <c r="M32" i="14" s="1"/>
  <c r="V32" i="14" s="1"/>
  <c r="W32" i="14" s="1"/>
  <c r="L22" i="14"/>
  <c r="M22" i="14" s="1"/>
  <c r="V22" i="14" s="1"/>
  <c r="W22" i="14" s="1"/>
  <c r="L122" i="14"/>
  <c r="M122" i="14" s="1"/>
  <c r="V122" i="14" s="1"/>
  <c r="L113" i="14"/>
  <c r="M113" i="14" s="1"/>
  <c r="V113" i="14" s="1"/>
  <c r="L105" i="14"/>
  <c r="M105" i="14" s="1"/>
  <c r="V105" i="14" s="1"/>
  <c r="L97" i="14"/>
  <c r="M97" i="14" s="1"/>
  <c r="V97" i="14" s="1"/>
  <c r="L89" i="14"/>
  <c r="M89" i="14" s="1"/>
  <c r="V89" i="14" s="1"/>
  <c r="L47" i="14"/>
  <c r="M47" i="14" s="1"/>
  <c r="V47" i="14" s="1"/>
  <c r="W47" i="14" s="1"/>
  <c r="L39" i="14"/>
  <c r="M39" i="14" s="1"/>
  <c r="V39" i="14" s="1"/>
  <c r="W39" i="14" s="1"/>
  <c r="L31" i="14"/>
  <c r="M31" i="14" s="1"/>
  <c r="V31" i="14" s="1"/>
  <c r="W31" i="14" s="1"/>
  <c r="L21" i="14"/>
  <c r="M21" i="14" s="1"/>
  <c r="V21" i="14" s="1"/>
  <c r="W21" i="14" s="1"/>
  <c r="L120" i="14"/>
  <c r="M120" i="14" s="1"/>
  <c r="V120" i="14" s="1"/>
  <c r="L112" i="14"/>
  <c r="M112" i="14" s="1"/>
  <c r="V112" i="14" s="1"/>
  <c r="L104" i="14"/>
  <c r="M104" i="14" s="1"/>
  <c r="V104" i="14" s="1"/>
  <c r="L96" i="14"/>
  <c r="M96" i="14" s="1"/>
  <c r="V96" i="14" s="1"/>
  <c r="L88" i="14"/>
  <c r="M88" i="14" s="1"/>
  <c r="V88" i="14" s="1"/>
  <c r="L46" i="14"/>
  <c r="M46" i="14" s="1"/>
  <c r="V46" i="14" s="1"/>
  <c r="W46" i="14" s="1"/>
  <c r="L38" i="14"/>
  <c r="M38" i="14" s="1"/>
  <c r="V38" i="14" s="1"/>
  <c r="W38" i="14" s="1"/>
  <c r="L30" i="14"/>
  <c r="M30" i="14" s="1"/>
  <c r="V30" i="14" s="1"/>
  <c r="W30" i="14" s="1"/>
  <c r="L20" i="14"/>
  <c r="M20" i="14" s="1"/>
  <c r="V20" i="14" s="1"/>
  <c r="W20" i="14" s="1"/>
  <c r="L119" i="14"/>
  <c r="M119" i="14" s="1"/>
  <c r="V119" i="14" s="1"/>
  <c r="L111" i="14"/>
  <c r="M111" i="14" s="1"/>
  <c r="V111" i="14" s="1"/>
  <c r="L103" i="14"/>
  <c r="M103" i="14" s="1"/>
  <c r="V103" i="14" s="1"/>
  <c r="L95" i="14"/>
  <c r="M95" i="14" s="1"/>
  <c r="V95" i="14" s="1"/>
  <c r="L87" i="14"/>
  <c r="M87" i="14" s="1"/>
  <c r="L45" i="14"/>
  <c r="M45" i="14" s="1"/>
  <c r="V45" i="14" s="1"/>
  <c r="W45" i="14" s="1"/>
  <c r="L37" i="14"/>
  <c r="M37" i="14" s="1"/>
  <c r="V37" i="14" s="1"/>
  <c r="W37" i="14" s="1"/>
  <c r="L28" i="14"/>
  <c r="M28" i="14" s="1"/>
  <c r="V28" i="14" s="1"/>
  <c r="W28" i="14" s="1"/>
  <c r="L19" i="14"/>
  <c r="M19" i="14" s="1"/>
  <c r="V19" i="14" s="1"/>
  <c r="W19" i="14" s="1"/>
  <c r="L118" i="14"/>
  <c r="M118" i="14" s="1"/>
  <c r="V118" i="14" s="1"/>
  <c r="L110" i="14"/>
  <c r="M110" i="14" s="1"/>
  <c r="V110" i="14" s="1"/>
  <c r="L102" i="14"/>
  <c r="M102" i="14" s="1"/>
  <c r="V102" i="14" s="1"/>
  <c r="L94" i="14"/>
  <c r="M94" i="14" s="1"/>
  <c r="V94" i="14" s="1"/>
  <c r="L44" i="14"/>
  <c r="M44" i="14" s="1"/>
  <c r="V44" i="14" s="1"/>
  <c r="W44" i="14" s="1"/>
  <c r="L36" i="14"/>
  <c r="M36" i="14" s="1"/>
  <c r="V36" i="14" s="1"/>
  <c r="W36" i="14" s="1"/>
  <c r="L27" i="14"/>
  <c r="M27" i="14" s="1"/>
  <c r="V27" i="14" s="1"/>
  <c r="W27" i="14" s="1"/>
  <c r="L18" i="14"/>
  <c r="M18" i="14" s="1"/>
  <c r="V18" i="14" s="1"/>
  <c r="W18" i="14" s="1"/>
  <c r="L117" i="14"/>
  <c r="M117" i="14" s="1"/>
  <c r="V117" i="14" s="1"/>
  <c r="L109" i="14"/>
  <c r="M109" i="14" s="1"/>
  <c r="V109" i="14" s="1"/>
  <c r="L101" i="14"/>
  <c r="M101" i="14" s="1"/>
  <c r="V101" i="14" s="1"/>
  <c r="L93" i="14"/>
  <c r="M93" i="14" s="1"/>
  <c r="V93" i="14" s="1"/>
  <c r="L43" i="14"/>
  <c r="M43" i="14" s="1"/>
  <c r="V43" i="14" s="1"/>
  <c r="W43" i="14" s="1"/>
  <c r="L35" i="14"/>
  <c r="M35" i="14" s="1"/>
  <c r="V35" i="14" s="1"/>
  <c r="W35" i="14" s="1"/>
  <c r="L26" i="14"/>
  <c r="M26" i="14" s="1"/>
  <c r="V26" i="14" s="1"/>
  <c r="W26" i="14" s="1"/>
  <c r="L17" i="14"/>
  <c r="M17" i="14" s="1"/>
  <c r="V17" i="14" s="1"/>
  <c r="W17" i="14" s="1"/>
  <c r="L116" i="14"/>
  <c r="M116" i="14" s="1"/>
  <c r="V116" i="14" s="1"/>
  <c r="L108" i="14"/>
  <c r="M108" i="14" s="1"/>
  <c r="V108" i="14" s="1"/>
  <c r="L100" i="14"/>
  <c r="M100" i="14" s="1"/>
  <c r="V100" i="14" s="1"/>
  <c r="L92" i="14"/>
  <c r="M92" i="14" s="1"/>
  <c r="V92" i="14" s="1"/>
  <c r="L42" i="14"/>
  <c r="M42" i="14" s="1"/>
  <c r="V42" i="14" s="1"/>
  <c r="W42" i="14" s="1"/>
  <c r="L34" i="14"/>
  <c r="M34" i="14" s="1"/>
  <c r="V34" i="14" s="1"/>
  <c r="W34" i="14" s="1"/>
  <c r="L25" i="14"/>
  <c r="M25" i="14" s="1"/>
  <c r="V25" i="14" s="1"/>
  <c r="W25" i="14" s="1"/>
  <c r="L16" i="14"/>
  <c r="M16" i="14" s="1"/>
  <c r="V16" i="14" s="1"/>
  <c r="W16" i="14" s="1"/>
  <c r="L115" i="14"/>
  <c r="M115" i="14" s="1"/>
  <c r="V115" i="14" s="1"/>
  <c r="L107" i="14"/>
  <c r="M107" i="14" s="1"/>
  <c r="V107" i="14" s="1"/>
  <c r="L99" i="14"/>
  <c r="M99" i="14" s="1"/>
  <c r="V99" i="14" s="1"/>
  <c r="L91" i="14"/>
  <c r="M91" i="14" s="1"/>
  <c r="V91" i="14" s="1"/>
  <c r="L41" i="14"/>
  <c r="M41" i="14" s="1"/>
  <c r="V41" i="14" s="1"/>
  <c r="W41" i="14" s="1"/>
  <c r="L33" i="14"/>
  <c r="M33" i="14" s="1"/>
  <c r="V33" i="14" s="1"/>
  <c r="W33" i="14" s="1"/>
  <c r="L24" i="14"/>
  <c r="M24" i="14" s="1"/>
  <c r="V24" i="14" s="1"/>
  <c r="W24" i="14" s="1"/>
  <c r="L15" i="14"/>
  <c r="M15" i="14" s="1"/>
  <c r="L114" i="14"/>
  <c r="M114" i="14" s="1"/>
  <c r="V114" i="14" s="1"/>
  <c r="L106" i="14"/>
  <c r="M106" i="14" s="1"/>
  <c r="V106" i="14" s="1"/>
  <c r="L98" i="14"/>
  <c r="M98" i="14" s="1"/>
  <c r="V98" i="14" s="1"/>
  <c r="L90" i="14"/>
  <c r="M90" i="14" s="1"/>
  <c r="V90" i="14" s="1"/>
  <c r="V268" i="14" l="1"/>
  <c r="U268" i="14"/>
  <c r="U270" i="14" s="1"/>
  <c r="U295" i="14" s="1"/>
  <c r="H7" i="14" s="1"/>
  <c r="K7" i="11" s="1"/>
  <c r="M220" i="14"/>
  <c r="V201" i="14"/>
  <c r="V220" i="14" s="1"/>
  <c r="M127" i="14"/>
  <c r="V87" i="14"/>
  <c r="V127" i="14" s="1"/>
  <c r="M198" i="14"/>
  <c r="M223" i="14" s="1"/>
  <c r="V158" i="14"/>
  <c r="V198" i="14" s="1"/>
  <c r="V223" i="14" s="1"/>
  <c r="M77" i="14"/>
  <c r="V58" i="14"/>
  <c r="M270" i="14"/>
  <c r="M295" i="14" s="1"/>
  <c r="V230" i="14"/>
  <c r="V270" i="14" s="1"/>
  <c r="V295" i="14" s="1"/>
  <c r="M149" i="14"/>
  <c r="V130" i="14"/>
  <c r="V149" i="14" s="1"/>
  <c r="M55" i="14"/>
  <c r="M80" i="14" s="1"/>
  <c r="E8" i="14" s="1"/>
  <c r="V15" i="14"/>
  <c r="M292" i="14"/>
  <c r="V273" i="14"/>
  <c r="V292" i="14" s="1"/>
  <c r="K77" i="14"/>
  <c r="K78" i="14" s="1"/>
  <c r="K292" i="14"/>
  <c r="K293" i="14" s="1"/>
  <c r="K220" i="14"/>
  <c r="K221" i="14" s="1"/>
  <c r="K149" i="14"/>
  <c r="K150" i="14" s="1"/>
  <c r="K270" i="14"/>
  <c r="K198" i="14"/>
  <c r="K127" i="14"/>
  <c r="K55" i="14"/>
  <c r="G7" i="11"/>
  <c r="N9" i="11"/>
  <c r="V152" i="14" l="1"/>
  <c r="Y148" i="14" s="1"/>
  <c r="Y151" i="14" s="1"/>
  <c r="M152" i="14"/>
  <c r="W15" i="14"/>
  <c r="V55" i="14"/>
  <c r="G153" i="14"/>
  <c r="G296" i="14"/>
  <c r="J296" i="14"/>
  <c r="G8" i="14"/>
  <c r="G11" i="14" s="1"/>
  <c r="M224" i="14"/>
  <c r="H8" i="14"/>
  <c r="M296" i="14"/>
  <c r="E11" i="14"/>
  <c r="F8" i="14"/>
  <c r="M153" i="14"/>
  <c r="L7" i="11"/>
  <c r="G224" i="14"/>
  <c r="J224" i="14"/>
  <c r="W58" i="14"/>
  <c r="W77" i="14" s="1"/>
  <c r="V77" i="14"/>
  <c r="K271" i="14"/>
  <c r="K295" i="14"/>
  <c r="K199" i="14"/>
  <c r="K223" i="14"/>
  <c r="K128" i="14"/>
  <c r="K152" i="14"/>
  <c r="K56" i="14"/>
  <c r="K80" i="14"/>
  <c r="J9" i="14"/>
  <c r="B8" i="11"/>
  <c r="H7" i="11"/>
  <c r="I18" i="2"/>
  <c r="M18" i="2"/>
  <c r="E18" i="2"/>
  <c r="G18" i="2" s="1"/>
  <c r="J153" i="14" l="1"/>
  <c r="E8" i="11"/>
  <c r="F8" i="11" s="1"/>
  <c r="G8" i="11" s="1"/>
  <c r="F11" i="14"/>
  <c r="K8" i="11"/>
  <c r="H11" i="14"/>
  <c r="I8" i="14"/>
  <c r="J8" i="14" s="1"/>
  <c r="M7" i="11"/>
  <c r="K82" i="14"/>
  <c r="L8" i="14"/>
  <c r="K154" i="14"/>
  <c r="M8" i="14"/>
  <c r="M11" i="14" s="1"/>
  <c r="K225" i="14"/>
  <c r="N8" i="14"/>
  <c r="N11" i="14" s="1"/>
  <c r="K297" i="14"/>
  <c r="O8" i="14"/>
  <c r="O11" i="14" s="1"/>
  <c r="C8" i="11"/>
  <c r="O9" i="11"/>
  <c r="I7" i="11"/>
  <c r="H8" i="11"/>
  <c r="F6" i="2"/>
  <c r="N8" i="11" l="1"/>
  <c r="L8" i="11"/>
  <c r="L11" i="11" s="1"/>
  <c r="C20" i="11" s="1"/>
  <c r="K11" i="11"/>
  <c r="B20" i="11" s="1"/>
  <c r="B37" i="11" s="1"/>
  <c r="C39" i="11" s="1"/>
  <c r="G39" i="11" s="1"/>
  <c r="P8" i="14"/>
  <c r="D8" i="11"/>
  <c r="J7" i="11"/>
  <c r="P9" i="11"/>
  <c r="I8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M8" i="11" l="1"/>
  <c r="M11" i="11" s="1"/>
  <c r="D20" i="11" s="1"/>
  <c r="O8" i="11"/>
  <c r="J8" i="11"/>
  <c r="O91" i="2"/>
  <c r="M91" i="2"/>
  <c r="G92" i="2"/>
  <c r="P8" i="11" l="1"/>
  <c r="J92" i="2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11" i="11" l="1"/>
  <c r="B18" i="11" s="1"/>
  <c r="H6" i="11" l="1"/>
  <c r="H11" i="11" s="1"/>
  <c r="B35" i="11"/>
  <c r="F11" i="11"/>
  <c r="C18" i="11" l="1"/>
  <c r="G6" i="11"/>
  <c r="G11" i="11" s="1"/>
  <c r="I6" i="11"/>
  <c r="I11" i="11" s="1"/>
  <c r="B19" i="11"/>
  <c r="B36" i="11" s="1"/>
  <c r="G35" i="11"/>
  <c r="D18" i="11" l="1"/>
  <c r="C19" i="11"/>
  <c r="J6" i="11"/>
  <c r="J11" i="11" s="1"/>
  <c r="G36" i="11"/>
  <c r="C37" i="11"/>
  <c r="G37" i="11" s="1"/>
  <c r="C38" i="11"/>
  <c r="C40" i="11" l="1"/>
  <c r="D19" i="11"/>
  <c r="G38" i="11"/>
  <c r="V80" i="14"/>
  <c r="E55" i="14"/>
  <c r="M81" i="14" l="1"/>
  <c r="J81" i="14"/>
  <c r="G81" i="14"/>
  <c r="W55" i="14"/>
  <c r="W80" i="14" s="1"/>
  <c r="E56" i="14" l="1"/>
  <c r="E80" i="14"/>
  <c r="L6" i="14" s="1"/>
  <c r="C6" i="11"/>
  <c r="N6" i="11"/>
  <c r="I7" i="14"/>
  <c r="B7" i="11"/>
  <c r="P6" i="14" l="1"/>
  <c r="L11" i="14"/>
  <c r="N7" i="11"/>
  <c r="N11" i="11" s="1"/>
  <c r="C7" i="11"/>
  <c r="O7" i="11" s="1"/>
  <c r="B11" i="11"/>
  <c r="O6" i="11"/>
  <c r="J7" i="14"/>
  <c r="I11" i="14"/>
  <c r="E82" i="14"/>
  <c r="D6" i="11"/>
  <c r="B17" i="11" l="1"/>
  <c r="B21" i="11" s="1"/>
  <c r="J11" i="14"/>
  <c r="K11" i="14" s="1"/>
  <c r="P11" i="14"/>
  <c r="C11" i="11"/>
  <c r="C17" i="11" s="1"/>
  <c r="C21" i="11" s="1"/>
  <c r="O11" i="11"/>
  <c r="P6" i="11"/>
  <c r="D7" i="11"/>
  <c r="P7" i="11" s="1"/>
  <c r="B34" i="11"/>
  <c r="B40" i="11" s="1"/>
  <c r="P11" i="11" l="1"/>
  <c r="K7" i="14"/>
  <c r="D22" i="11"/>
  <c r="C5" i="17"/>
  <c r="D5" i="17" s="1"/>
  <c r="E5" i="17" s="1"/>
  <c r="Q7" i="14"/>
  <c r="Q8" i="14"/>
  <c r="Q6" i="14"/>
  <c r="K6" i="14"/>
  <c r="K8" i="14"/>
  <c r="D11" i="11"/>
  <c r="D17" i="11"/>
  <c r="D21" i="11" s="1"/>
  <c r="B27" i="11" s="1"/>
  <c r="G34" i="11"/>
  <c r="G40" i="11" s="1"/>
  <c r="B28" i="11" l="1"/>
  <c r="F27" i="11"/>
  <c r="F28" i="11" s="1"/>
  <c r="F29" i="11" s="1"/>
  <c r="E39" i="11" s="1"/>
  <c r="D27" i="11"/>
  <c r="D28" i="11" s="1"/>
  <c r="D29" i="11" s="1"/>
  <c r="D38" i="11" s="1"/>
  <c r="F38" i="11" s="1"/>
  <c r="F5" i="17"/>
  <c r="D13" i="17" s="1"/>
  <c r="D14" i="17"/>
  <c r="D39" i="11" l="1"/>
  <c r="E36" i="11"/>
  <c r="E37" i="11"/>
  <c r="E34" i="11"/>
  <c r="E35" i="11"/>
  <c r="E38" i="11"/>
  <c r="D35" i="11"/>
  <c r="F35" i="11" s="1"/>
  <c r="D36" i="11"/>
  <c r="F36" i="11" s="1"/>
  <c r="F39" i="11"/>
  <c r="D34" i="11"/>
  <c r="D37" i="11"/>
  <c r="F37" i="11" s="1"/>
  <c r="G5" i="17"/>
  <c r="D15" i="17" s="1"/>
  <c r="H5" i="17"/>
  <c r="I5" i="17" s="1"/>
  <c r="D9" i="17" s="1"/>
  <c r="E40" i="11" l="1"/>
  <c r="F34" i="11"/>
  <c r="D40" i="11"/>
  <c r="K5" i="17"/>
  <c r="D10" i="17" s="1"/>
  <c r="D17" i="17" s="1"/>
  <c r="J5" i="17"/>
  <c r="D8" i="17" s="1"/>
  <c r="F40" i="11" l="1"/>
  <c r="A46" i="11" s="1"/>
  <c r="D48" i="11" s="1"/>
  <c r="C48" i="11" l="1"/>
  <c r="E48" i="11" s="1"/>
  <c r="B48" i="11" l="1"/>
</calcChain>
</file>

<file path=xl/comments1.xml><?xml version="1.0" encoding="utf-8"?>
<comments xmlns="http://schemas.openxmlformats.org/spreadsheetml/2006/main">
  <authors>
    <author>Ajuntament de Barcelona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sense transició</t>
        </r>
      </text>
    </comment>
  </commentList>
</comments>
</file>

<file path=xl/sharedStrings.xml><?xml version="1.0" encoding="utf-8"?>
<sst xmlns="http://schemas.openxmlformats.org/spreadsheetml/2006/main" count="1727" uniqueCount="442">
  <si>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</si>
  <si>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</si>
  <si>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</si>
  <si>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</si>
  <si>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</si>
  <si>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</si>
  <si>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</si>
  <si>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</si>
  <si>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</si>
  <si>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</si>
  <si>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</si>
  <si>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</si>
  <si>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</si>
  <si>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</si>
  <si>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</si>
  <si>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</si>
  <si>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</si>
  <si>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</si>
  <si>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</si>
  <si>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</si>
  <si>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</si>
  <si>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</si>
  <si>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</si>
  <si>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</si>
  <si>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</si>
  <si>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</si>
  <si>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</si>
  <si>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</si>
  <si>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</si>
  <si>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</si>
  <si>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</si>
  <si>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</si>
  <si>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</si>
  <si>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</si>
  <si>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</si>
  <si>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</si>
  <si>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</si>
  <si>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</si>
  <si>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</si>
  <si>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</si>
  <si>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</si>
  <si>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</si>
  <si>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</si>
  <si>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</si>
  <si>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</si>
  <si>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</si>
  <si>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</si>
  <si>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</si>
  <si>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</si>
  <si>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</si>
  <si>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</si>
  <si>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</si>
  <si>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</si>
  <si>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</si>
  <si>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</si>
  <si>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</si>
  <si>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</si>
  <si>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</si>
  <si>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</si>
  <si>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</si>
  <si>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</si>
  <si>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</si>
  <si>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</si>
  <si>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</si>
  <si>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</si>
  <si>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</si>
  <si>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</si>
  <si>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</si>
  <si>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</si>
  <si>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</si>
  <si>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</si>
  <si>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</si>
  <si>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</si>
  <si>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</si>
  <si>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</si>
  <si>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</si>
  <si>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</si>
  <si>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</si>
  <si>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</si>
  <si>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</si>
  <si>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</si>
  <si>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</si>
  <si>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</si>
  <si>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</si>
  <si>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</si>
  <si>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</si>
  <si>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</si>
  <si>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</si>
  <si>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</si>
  <si>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</si>
  <si>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</si>
  <si>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</si>
  <si>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</si>
  <si>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</si>
  <si>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</si>
  <si>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</si>
  <si>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</si>
  <si>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</si>
  <si>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</si>
  <si>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</si>
  <si>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</si>
  <si>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</si>
  <si>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</si>
  <si>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</si>
  <si>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</si>
  <si>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</si>
  <si>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</si>
  <si>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</si>
  <si>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</si>
  <si>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</si>
  <si>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</si>
  <si>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</si>
  <si>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</si>
  <si>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</si>
  <si>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</si>
  <si>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</si>
  <si>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</si>
  <si>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</si>
  <si>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</si>
  <si>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</si>
  <si>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</si>
  <si>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</si>
  <si>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</si>
  <si>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</si>
  <si>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</si>
  <si>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</si>
  <si>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</si>
  <si>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</si>
  <si>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</si>
  <si>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</si>
  <si>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</si>
  <si>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</si>
  <si>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</si>
  <si>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</si>
  <si>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</si>
  <si>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</si>
  <si>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</si>
  <si>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</si>
  <si>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</si>
  <si>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</si>
  <si>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</si>
  <si>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</si>
  <si>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</si>
  <si>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</si>
  <si>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</si>
  <si>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</si>
  <si>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</si>
  <si>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</si>
  <si>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</si>
  <si>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</si>
  <si>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</si>
  <si>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</si>
  <si>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</si>
  <si>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</si>
  <si>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</si>
  <si>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</si>
  <si>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</si>
  <si>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</si>
  <si>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</si>
  <si>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</si>
  <si>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</si>
  <si>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</si>
  <si>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</si>
  <si>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</si>
  <si>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</si>
  <si>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</si>
  <si>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</si>
  <si>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</si>
  <si>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</si>
  <si>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</si>
  <si>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</si>
  <si>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</si>
  <si>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</si>
  <si>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</si>
  <si>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</si>
  <si>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</si>
  <si>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</si>
  <si>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2022</t>
  </si>
  <si>
    <t>Import 2023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</si>
  <si>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</si>
  <si>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</si>
  <si>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</si>
  <si>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</si>
  <si>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</si>
  <si>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</si>
  <si>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</si>
  <si>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</si>
  <si>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</si>
  <si>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</si>
  <si>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 xml:space="preserve">  - Llicències</t>
  </si>
  <si>
    <t>€ Llicències</t>
  </si>
  <si>
    <t>Preu perfil IVA inclòs</t>
  </si>
  <si>
    <t>Preu perfil IVA exclòs</t>
  </si>
  <si>
    <t>Preu / hora /perfil 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</si>
  <si>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</si>
  <si>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</si>
  <si>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</si>
  <si>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</si>
  <si>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</si>
  <si>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</si>
  <si>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</si>
  <si>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</si>
  <si>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</si>
  <si>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Segons consum</t>
  </si>
  <si>
    <t>Mesos transició</t>
  </si>
  <si>
    <t>TOTAL (sense transició)</t>
  </si>
  <si>
    <t>Mesos</t>
  </si>
  <si>
    <t>Benefici industrial (20%)</t>
  </si>
  <si>
    <t>Despeses generals d’estructura (8%)</t>
  </si>
  <si>
    <t>Import 2025</t>
  </si>
  <si>
    <t>SER0004</t>
  </si>
  <si>
    <t>Ajuts econòmics Serveis Socials</t>
  </si>
  <si>
    <t>APP0034</t>
  </si>
  <si>
    <t>Ajuts Econòmics</t>
  </si>
  <si>
    <t>APP0857</t>
  </si>
  <si>
    <t>Ajuts Infància</t>
  </si>
  <si>
    <t xml:space="preserve">APP0989 </t>
  </si>
  <si>
    <t>Campanyes</t>
  </si>
  <si>
    <t>SER0012</t>
  </si>
  <si>
    <t>Menjadors Socials</t>
  </si>
  <si>
    <t>APP0426</t>
  </si>
  <si>
    <t>Menjadors</t>
  </si>
  <si>
    <t>SER0018</t>
  </si>
  <si>
    <t>Servei d’assistència persones amb discapacitat:</t>
  </si>
  <si>
    <t>APP0257</t>
  </si>
  <si>
    <t>Equip d'Assessorament Laboral</t>
  </si>
  <si>
    <t>APP0318</t>
  </si>
  <si>
    <t>Promoció i suport IMPD</t>
  </si>
  <si>
    <t>APP0856</t>
  </si>
  <si>
    <t>Cens Persones amb Discapacitat</t>
  </si>
  <si>
    <t>SER0011</t>
  </si>
  <si>
    <t>Serveis d'assistència a la immigració</t>
  </si>
  <si>
    <t>APP0598</t>
  </si>
  <si>
    <t>SAIER</t>
  </si>
  <si>
    <t>SER0013</t>
  </si>
  <si>
    <t>Equipaments i altres recursos Persones vulnerables</t>
  </si>
  <si>
    <t>APP0608</t>
  </si>
  <si>
    <t>Sense Sostre</t>
  </si>
  <si>
    <t>SER0003</t>
  </si>
  <si>
    <t>Servei d'Assistència a la Dona</t>
  </si>
  <si>
    <t>APP0736</t>
  </si>
  <si>
    <t>SARA</t>
  </si>
  <si>
    <t>SER0016</t>
  </si>
  <si>
    <t>Teleassistència Domiciliària</t>
  </si>
  <si>
    <t>APP0671</t>
  </si>
  <si>
    <t>Teleassistència</t>
  </si>
  <si>
    <t>APP0002</t>
  </si>
  <si>
    <t>Abordatge Integral Treball Sexual</t>
  </si>
  <si>
    <t>SER0006</t>
  </si>
  <si>
    <t>Beques vacances estiu nens i joves</t>
  </si>
  <si>
    <t>APP0311</t>
  </si>
  <si>
    <t>Gestió beques campanya vacances estiu infants</t>
  </si>
  <si>
    <t>APP0320</t>
  </si>
  <si>
    <t>Gestió Informes Arrelament</t>
  </si>
  <si>
    <t>APP0321</t>
  </si>
  <si>
    <t xml:space="preserve">Gestió Informes Habitatge </t>
  </si>
  <si>
    <t>APP0978</t>
  </si>
  <si>
    <t>Inspectors GIH</t>
  </si>
  <si>
    <t>SER0014</t>
  </si>
  <si>
    <t>Llei de la Dependència</t>
  </si>
  <si>
    <t>APP0976</t>
  </si>
  <si>
    <t>SER0010</t>
  </si>
  <si>
    <t>Portal del Professional de Serveis Socials</t>
  </si>
  <si>
    <t>APP0529</t>
  </si>
  <si>
    <t>Portal del Professional</t>
  </si>
  <si>
    <t xml:space="preserve">APP0988 </t>
  </si>
  <si>
    <t>Xarxa Col·laborativa (XaC) - Administració Azure</t>
  </si>
  <si>
    <t>SER0343</t>
  </si>
  <si>
    <t>JIRA Acció Social (QVIE)</t>
  </si>
  <si>
    <t>APP0331</t>
  </si>
  <si>
    <t>Gestor peticions JIRA QVI</t>
  </si>
  <si>
    <t>SER0015</t>
  </si>
  <si>
    <t>Servei d'atenció Domiciliària</t>
  </si>
  <si>
    <t>APP0596</t>
  </si>
  <si>
    <t>SAD</t>
  </si>
  <si>
    <t>APP0985</t>
  </si>
  <si>
    <t>SER0009</t>
  </si>
  <si>
    <t>Expedients Serveis Socials</t>
  </si>
  <si>
    <t>APP0633</t>
  </si>
  <si>
    <t>Sistema d'Informació Acció Social SIAS</t>
  </si>
  <si>
    <t>APP0615</t>
  </si>
  <si>
    <t>SIAS Serveis</t>
  </si>
  <si>
    <t>APP0975</t>
  </si>
  <si>
    <t>CINTRAOS</t>
  </si>
  <si>
    <t>APP0981</t>
  </si>
  <si>
    <t>Oficina tècnica d'arquitectura Drets Socials</t>
  </si>
  <si>
    <t>SER0007</t>
  </si>
  <si>
    <t>Serveis d'assistència a la Gent Gran</t>
  </si>
  <si>
    <t>APP0986</t>
  </si>
  <si>
    <t>Equipaments</t>
  </si>
  <si>
    <t>SER0551</t>
  </si>
  <si>
    <t>Urgències i Emergències Socials</t>
  </si>
  <si>
    <t>CUESB</t>
  </si>
  <si>
    <t xml:space="preserve">SER0550 </t>
  </si>
  <si>
    <t>Serveis Socials Bàsics</t>
  </si>
  <si>
    <t>SIRIUS</t>
  </si>
  <si>
    <t>APP0982</t>
  </si>
  <si>
    <t>APP0983</t>
  </si>
  <si>
    <t>Administració</t>
  </si>
  <si>
    <t>APP0980</t>
  </si>
  <si>
    <t>Eina data quality</t>
  </si>
  <si>
    <t>Responsable del contracte</t>
  </si>
  <si>
    <t>Cap de projecte sènior</t>
  </si>
  <si>
    <t>Full Stack Developer WINDOWS MOBILE</t>
  </si>
  <si>
    <t>AM Drets Socials (3+2)</t>
  </si>
  <si>
    <t>Incrementar de 21.000 a 30.000€ el recurrent</t>
  </si>
  <si>
    <t>APP1019</t>
  </si>
  <si>
    <t>ICR</t>
  </si>
  <si>
    <t>Incrementar de 8.000 a 20.000 el recurrent</t>
  </si>
  <si>
    <t>Dependència</t>
  </si>
  <si>
    <t>Increment de 28.000 a 40.000 al recurrent</t>
  </si>
  <si>
    <t>Incrementar de 65 a 80 el recurrent</t>
  </si>
  <si>
    <t>APP0701</t>
  </si>
  <si>
    <t>Campanya Viatges Gent Gran</t>
  </si>
  <si>
    <t>DOMUS</t>
  </si>
  <si>
    <t>Agents externs</t>
  </si>
  <si>
    <t>APP1094</t>
  </si>
  <si>
    <t>APP1093</t>
  </si>
  <si>
    <t>Consulta i acreditacions</t>
  </si>
  <si>
    <t>Avaluacions</t>
  </si>
  <si>
    <t>NOU</t>
  </si>
  <si>
    <t>Incrementar de 16.000 a 25.000€ el recurrent</t>
  </si>
  <si>
    <t>Incrementar de 8 a 20.000 el recurrent</t>
  </si>
  <si>
    <t>Incrementar de 25 a 60.000 el recurrent</t>
  </si>
  <si>
    <t>APP1073</t>
  </si>
  <si>
    <t>APP1130</t>
  </si>
  <si>
    <t>Incrementar de 7 a 10.000 el correctiu i de 13 a 16000 el recurrent i de 6 a 11000 la OT</t>
  </si>
  <si>
    <t>Incrementar de 9 a 20.000 el recurrent</t>
  </si>
  <si>
    <t>Incrementar de 4 a 10.000 el recurrent</t>
  </si>
  <si>
    <t>Incrementar de 5 a 15.000 el recurrent</t>
  </si>
  <si>
    <t>ANY 2023</t>
  </si>
  <si>
    <t>ANY 2024</t>
  </si>
  <si>
    <t>ANY 2025</t>
  </si>
  <si>
    <t>Servei indicadors i explotació de dades</t>
  </si>
  <si>
    <t xml:space="preserve">SER0017 </t>
  </si>
  <si>
    <t>APPXXXX</t>
  </si>
  <si>
    <t>ETLs</t>
  </si>
  <si>
    <t>Simulador les meves ajudes</t>
  </si>
  <si>
    <t>Increment de 13.000 a 40.000 al recurrent (Copagament SAD-Dep, ...)</t>
  </si>
  <si>
    <t>Incrementar de 8 a 10.000 el correctiu i de 9 a 16.000 el recurrent i s'afegeix 10.000 al recurrent per fi projecte 0 i s'afegeix 30000 al recurrent per fi projecte 1, de 11 a 20 de OT (Fi projecte 0 i Fi Projecte 1)</t>
  </si>
  <si>
    <t>S'amplia en 10000€ recurrent per projecte "Extensió integració sociosanitària"</t>
  </si>
  <si>
    <t>S'amplia en 20000€ recurrent per projecte "SIRIUS 2"</t>
  </si>
  <si>
    <t>S'amplia en 20000€ recurrent per projecte "SIRIUS 3" i arrossega 20000€ projecte "SIRIUS 2"</t>
  </si>
  <si>
    <t>Incrementar de 16.000 a 30.000€ el recurrent (fluxos genèrics)</t>
  </si>
  <si>
    <t>Incrementar de 16 a 40.000 el recurrent (Atenció integral socioeducativa a la infància, ...)</t>
  </si>
  <si>
    <t>Incrementar de 24 a 30.000 el correctiu, de 36 a 80.000 el recurrent i de 21 a 25.000 la OT (SSM, Atenció integral socioeducativa a la infància, ...)</t>
  </si>
  <si>
    <t>DSSIEP</t>
  </si>
  <si>
    <t>Targetes reserva estacionament i transport especial</t>
  </si>
  <si>
    <t>Incrementar de 6.000 a 30.000 el recurrent</t>
  </si>
  <si>
    <t>Incrementar de 13.000 a 35.000 el recurrent</t>
  </si>
  <si>
    <t>Incrementar de 2.000 a 20.000 el recurrent</t>
  </si>
  <si>
    <t>Part de l'increment 
per projecte nou</t>
  </si>
  <si>
    <t>IMSS</t>
  </si>
  <si>
    <t>DS</t>
  </si>
  <si>
    <t>INCREMENT</t>
  </si>
  <si>
    <t>Nous projectes 2022 (posem una mica més de la meitat)</t>
  </si>
  <si>
    <t>Hores anuals</t>
  </si>
  <si>
    <t>SER0180</t>
  </si>
  <si>
    <t>SER0671</t>
  </si>
  <si>
    <t>SER0163</t>
  </si>
  <si>
    <t xml:space="preserve"> SER0162</t>
  </si>
  <si>
    <t>PDT</t>
  </si>
  <si>
    <t>SER0DC3</t>
  </si>
  <si>
    <t>Registre d'activitats i tràmits (RAT)</t>
  </si>
  <si>
    <t>Escriptori d'Atenció Ciutadana</t>
  </si>
  <si>
    <t>Servei de cita prèvia a les OAC's i Serveis Tècnics</t>
  </si>
  <si>
    <t>Quioscos multiserveis</t>
  </si>
  <si>
    <t>Auto-tramitació</t>
  </si>
  <si>
    <t>Campanya Esport Escolar</t>
  </si>
  <si>
    <t>APP1142</t>
  </si>
  <si>
    <t>Peanyes (aplicació)</t>
  </si>
  <si>
    <t>Avantprojecte</t>
  </si>
  <si>
    <t>APP0053</t>
  </si>
  <si>
    <t>Aplicació de tràmits de Quioscos</t>
  </si>
  <si>
    <t>PDTE</t>
  </si>
  <si>
    <t xml:space="preserve">siecampanyaesportesc </t>
  </si>
  <si>
    <t>SER0152</t>
  </si>
  <si>
    <t>QDOC. Normes ISO</t>
  </si>
  <si>
    <t>RAT</t>
  </si>
  <si>
    <t xml:space="preserve">ANY 2022 </t>
  </si>
  <si>
    <t>2 mesos de transició + 2 mesos de servei</t>
  </si>
  <si>
    <t>Import Total 
IVA exclòs</t>
  </si>
  <si>
    <t>Import Total 
IVA inclòs</t>
  </si>
  <si>
    <t>SER0498</t>
  </si>
  <si>
    <t>Bústia Ètica</t>
  </si>
  <si>
    <t>G-Bustia</t>
  </si>
  <si>
    <t>SER0397</t>
  </si>
  <si>
    <t>Fitxer d'Entitats</t>
  </si>
  <si>
    <t>APP1071</t>
  </si>
  <si>
    <t>Nou Fitxer d'Entitats</t>
  </si>
  <si>
    <t>SER0022</t>
  </si>
  <si>
    <t>Queixes i suggeriments ciutadans IRIS</t>
  </si>
  <si>
    <t>Incidències reclamacions i Suggeriments Internet (IRIS)_2021</t>
  </si>
  <si>
    <t>SER0026</t>
  </si>
  <si>
    <t>Troballes</t>
  </si>
  <si>
    <t>SER0160</t>
  </si>
  <si>
    <t>IRIS Mòbil</t>
  </si>
  <si>
    <t>SER0030</t>
  </si>
  <si>
    <t>Serveis a Escoles</t>
  </si>
  <si>
    <t>APP0484-PAE</t>
  </si>
  <si>
    <t>WPRPAE</t>
  </si>
  <si>
    <t>NovaAplicació</t>
  </si>
  <si>
    <t>Consells Escolars Municipals</t>
  </si>
  <si>
    <t>Boulevard Educatiu</t>
  </si>
  <si>
    <t>SER0491</t>
  </si>
  <si>
    <t>PDS IBE</t>
  </si>
  <si>
    <t>Conjunt aplicatius PDS ibe</t>
  </si>
  <si>
    <t>APPDC01</t>
  </si>
  <si>
    <t>FTE (2 mesos)</t>
  </si>
  <si>
    <t>Llicències (incloses a STM)</t>
  </si>
  <si>
    <t>Evolutiu identificat</t>
  </si>
  <si>
    <t>PT Evolutiu Identificat</t>
  </si>
  <si>
    <t>€ Evolutiu Identificat</t>
  </si>
  <si>
    <t>Sistemes d'informació, tràmits i gestions (ITACA)</t>
  </si>
  <si>
    <t>Evolutius identificats</t>
  </si>
  <si>
    <t>APP0369</t>
  </si>
  <si>
    <t>APP0DC2</t>
  </si>
  <si>
    <t>APP0DC1</t>
  </si>
  <si>
    <t>Centre d'acollida d'animals de companyia</t>
  </si>
  <si>
    <t>Equip/Agrupació</t>
  </si>
  <si>
    <t>Campanya d'esports</t>
  </si>
  <si>
    <t>Equip 1 
Drets Socials,  IMPD, Escoles i Esports</t>
  </si>
  <si>
    <t>Equip 2 
Phyton</t>
  </si>
  <si>
    <t>Equip 3 
Atenció Ciutadana i Bústia</t>
  </si>
  <si>
    <t>Equip 4  
Intervenció Social</t>
  </si>
  <si>
    <t>Equip 5 
Atenció Social, Urgències i Recursos</t>
  </si>
  <si>
    <t>Equip 6 
Transversal Drets Socials</t>
  </si>
  <si>
    <t>APP0016-APP0662</t>
  </si>
  <si>
    <t>Sistemes d'informació, tràmits i gestions(ITACA)</t>
  </si>
  <si>
    <t>Consultor/a (inclou responsable tècnic seguretat)</t>
  </si>
  <si>
    <t>Arquitecte/a</t>
  </si>
  <si>
    <t>Analista programador/a J2EE/PYTHON</t>
  </si>
  <si>
    <t>Programador/a J2EE</t>
  </si>
  <si>
    <t>Programador/a JAVASCRIPT / ANGULAR / REACT</t>
  </si>
  <si>
    <t>Formador/a</t>
  </si>
  <si>
    <t>Maquetador/ra</t>
  </si>
  <si>
    <t>Dissenyador/a</t>
  </si>
  <si>
    <t>H2022</t>
  </si>
  <si>
    <t>H2023</t>
  </si>
  <si>
    <t xml:space="preserve">H2024 </t>
  </si>
  <si>
    <t>H2025</t>
  </si>
  <si>
    <t>Atenció a persones usuàries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</si>
</sst>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0.0000%"/>
    <numFmt numFmtId="172" formatCode="_-* #,##0\ _€_-;\-* #,##0\ _€_-;_-* &quot;-&quot;??\ _€_-;_-@_-"/>
    <numFmt numFmtId="173" formatCode="0.000000"/>
    <numFmt numFmtId="174" formatCode="_-* #,##0.000\ &quot;€&quot;_-;\-* #,##0.000\ &quot;€&quot;_-;_-* &quot;-&quot;??\ &quot;€&quot;_-;_-@_-"/>
    <numFmt numFmtId="175" formatCode="0.0%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FF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</fills>
  <borders count="4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419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ont="1" applyAlignment="1">
      <alignment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47" fillId="25" borderId="41" xfId="0" applyFont="1" applyFill="1" applyBorder="1" applyAlignment="1">
      <alignment horizontal="left" vertical="center"/>
    </xf>
    <xf numFmtId="0" fontId="47" fillId="25" borderId="42" xfId="0" applyFont="1" applyFill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43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44" fillId="0" borderId="2" xfId="0" applyFont="1" applyBorder="1" applyAlignment="1">
      <alignment wrapText="1"/>
    </xf>
    <xf numFmtId="0" fontId="44" fillId="0" borderId="0" xfId="0" applyFont="1" applyBorder="1" applyAlignment="1">
      <alignment vertical="center" wrapText="1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Protection="1"/>
    <xf numFmtId="0" fontId="0" fillId="0" borderId="0" xfId="0" applyAlignment="1" applyProtection="1">
      <alignment vertical="justify"/>
    </xf>
    <xf numFmtId="0" fontId="46" fillId="0" borderId="0" xfId="0" applyFont="1" applyAlignment="1" applyProtection="1">
      <alignment horizontal="left"/>
    </xf>
    <xf numFmtId="0" fontId="0" fillId="0" borderId="0" xfId="0" applyProtection="1"/>
    <xf numFmtId="0" fontId="5" fillId="0" borderId="0" xfId="0" applyFont="1" applyAlignment="1" applyProtection="1">
      <alignment vertical="justify"/>
    </xf>
    <xf numFmtId="0" fontId="6" fillId="14" borderId="7" xfId="0" applyFont="1" applyFill="1" applyBorder="1" applyAlignment="1" applyProtection="1">
      <alignment horizontal="center" vertical="justify"/>
    </xf>
    <xf numFmtId="0" fontId="6" fillId="14" borderId="7" xfId="0" applyFont="1" applyFill="1" applyBorder="1" applyAlignment="1" applyProtection="1">
      <alignment horizontal="center" vertical="center"/>
    </xf>
    <xf numFmtId="0" fontId="6" fillId="14" borderId="7" xfId="0" applyFont="1" applyFill="1" applyBorder="1" applyAlignment="1" applyProtection="1">
      <alignment horizontal="center" vertical="center" wrapText="1"/>
    </xf>
    <xf numFmtId="2" fontId="46" fillId="0" borderId="0" xfId="0" applyNumberFormat="1" applyFont="1" applyAlignment="1" applyProtection="1">
      <alignment horizontal="left"/>
    </xf>
    <xf numFmtId="0" fontId="0" fillId="0" borderId="2" xfId="0" applyBorder="1" applyAlignment="1" applyProtection="1">
      <alignment horizontal="left"/>
    </xf>
    <xf numFmtId="10" fontId="0" fillId="0" borderId="7" xfId="0" applyNumberFormat="1" applyBorder="1" applyProtection="1"/>
    <xf numFmtId="2" fontId="0" fillId="0" borderId="7" xfId="0" applyNumberFormat="1" applyBorder="1" applyProtection="1"/>
    <xf numFmtId="0" fontId="1" fillId="11" borderId="7" xfId="0" applyFont="1" applyFill="1" applyBorder="1" applyAlignment="1" applyProtection="1">
      <alignment horizontal="left"/>
    </xf>
    <xf numFmtId="2" fontId="1" fillId="11" borderId="7" xfId="0" applyNumberFormat="1" applyFont="1" applyFill="1" applyBorder="1" applyAlignment="1" applyProtection="1">
      <alignment horizontal="right"/>
    </xf>
    <xf numFmtId="10" fontId="46" fillId="0" borderId="0" xfId="0" applyNumberFormat="1" applyFont="1" applyAlignment="1" applyProtection="1">
      <alignment horizontal="left"/>
    </xf>
    <xf numFmtId="0" fontId="6" fillId="14" borderId="19" xfId="0" applyFont="1" applyFill="1" applyBorder="1" applyAlignment="1" applyProtection="1">
      <alignment horizontal="center" vertical="center" wrapText="1"/>
    </xf>
    <xf numFmtId="9" fontId="0" fillId="0" borderId="0" xfId="2" applyFont="1" applyProtection="1"/>
    <xf numFmtId="4" fontId="1" fillId="0" borderId="2" xfId="0" applyNumberFormat="1" applyFont="1" applyFill="1" applyBorder="1" applyAlignment="1" applyProtection="1">
      <alignment horizontal="center"/>
    </xf>
    <xf numFmtId="0" fontId="9" fillId="13" borderId="0" xfId="0" applyFont="1" applyFill="1" applyAlignment="1" applyProtection="1">
      <alignment wrapText="1"/>
    </xf>
    <xf numFmtId="0" fontId="6" fillId="13" borderId="0" xfId="0" applyFont="1" applyFill="1" applyAlignment="1" applyProtection="1"/>
    <xf numFmtId="0" fontId="7" fillId="13" borderId="0" xfId="0" applyFont="1" applyFill="1" applyAlignment="1" applyProtection="1">
      <alignment horizontal="center" wrapText="1"/>
    </xf>
    <xf numFmtId="0" fontId="9" fillId="0" borderId="0" xfId="0" applyFont="1" applyFill="1" applyProtection="1"/>
    <xf numFmtId="0" fontId="9" fillId="0" borderId="0" xfId="0" applyFont="1" applyProtection="1"/>
    <xf numFmtId="0" fontId="0" fillId="0" borderId="0" xfId="0" applyFont="1" applyAlignment="1" applyProtection="1">
      <alignment horizontal="center" wrapText="1"/>
    </xf>
    <xf numFmtId="14" fontId="9" fillId="0" borderId="0" xfId="0" applyNumberFormat="1" applyFont="1" applyProtection="1"/>
    <xf numFmtId="0" fontId="9" fillId="0" borderId="0" xfId="0" applyFont="1" applyAlignment="1" applyProtection="1">
      <alignment horizontal="center"/>
    </xf>
    <xf numFmtId="14" fontId="0" fillId="0" borderId="0" xfId="0" applyNumberFormat="1" applyFill="1" applyAlignment="1" applyProtection="1">
      <alignment wrapText="1"/>
    </xf>
    <xf numFmtId="14" fontId="9" fillId="0" borderId="0" xfId="0" applyNumberFormat="1" applyFont="1" applyFill="1" applyAlignment="1" applyProtection="1"/>
    <xf numFmtId="0" fontId="9" fillId="0" borderId="0" xfId="0" applyFont="1" applyFill="1" applyAlignment="1" applyProtection="1">
      <alignment wrapText="1"/>
    </xf>
    <xf numFmtId="0" fontId="9" fillId="0" borderId="0" xfId="0" applyFont="1" applyFill="1" applyAlignment="1" applyProtection="1">
      <alignment horizontal="center" wrapText="1"/>
    </xf>
    <xf numFmtId="164" fontId="9" fillId="0" borderId="0" xfId="0" applyNumberFormat="1" applyFont="1" applyFill="1" applyAlignment="1" applyProtection="1">
      <alignment vertic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14" fontId="0" fillId="17" borderId="0" xfId="0" applyNumberFormat="1" applyFill="1" applyAlignment="1" applyProtection="1">
      <alignment wrapText="1"/>
    </xf>
    <xf numFmtId="0" fontId="9" fillId="0" borderId="0" xfId="0" applyFont="1" applyAlignment="1" applyProtection="1">
      <alignment wrapText="1"/>
    </xf>
    <xf numFmtId="0" fontId="9" fillId="0" borderId="0" xfId="0" applyFont="1" applyAlignment="1" applyProtection="1">
      <alignment horizontal="center" wrapText="1"/>
    </xf>
    <xf numFmtId="172" fontId="3" fillId="0" borderId="0" xfId="10" applyNumberFormat="1" applyFont="1" applyAlignment="1" applyProtection="1">
      <alignment horizontal="center"/>
    </xf>
    <xf numFmtId="171" fontId="9" fillId="0" borderId="0" xfId="2" applyNumberFormat="1" applyFont="1" applyProtection="1"/>
    <xf numFmtId="14" fontId="0" fillId="0" borderId="0" xfId="0" applyNumberFormat="1" applyFont="1" applyProtection="1"/>
    <xf numFmtId="4" fontId="0" fillId="0" borderId="0" xfId="0" applyNumberFormat="1" applyProtection="1"/>
    <xf numFmtId="0" fontId="0" fillId="0" borderId="0" xfId="0" applyFill="1" applyAlignment="1" applyProtection="1">
      <alignment wrapText="1"/>
    </xf>
    <xf numFmtId="0" fontId="6" fillId="14" borderId="0" xfId="0" applyFont="1" applyFill="1" applyAlignment="1" applyProtection="1">
      <alignment horizontal="center" vertical="center" wrapText="1"/>
    </xf>
    <xf numFmtId="0" fontId="6" fillId="14" borderId="0" xfId="0" applyFont="1" applyFill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 wrapText="1"/>
    </xf>
    <xf numFmtId="0" fontId="8" fillId="20" borderId="0" xfId="0" applyFont="1" applyFill="1" applyAlignment="1" applyProtection="1">
      <alignment horizontal="center" vertical="center" wrapText="1"/>
    </xf>
    <xf numFmtId="0" fontId="0" fillId="0" borderId="0" xfId="0" applyFont="1" applyAlignment="1" applyProtection="1"/>
    <xf numFmtId="4" fontId="10" fillId="0" borderId="2" xfId="0" applyNumberFormat="1" applyFont="1" applyBorder="1" applyAlignment="1" applyProtection="1">
      <alignment horizontal="left" wrapText="1"/>
    </xf>
    <xf numFmtId="164" fontId="9" fillId="0" borderId="2" xfId="0" applyNumberFormat="1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vertical="center"/>
    </xf>
    <xf numFmtId="10" fontId="3" fillId="0" borderId="0" xfId="2" applyNumberFormat="1" applyFont="1" applyAlignment="1" applyProtection="1">
      <alignment horizontal="center"/>
    </xf>
    <xf numFmtId="4" fontId="0" fillId="0" borderId="2" xfId="0" applyNumberFormat="1" applyFont="1" applyBorder="1" applyProtection="1"/>
    <xf numFmtId="4" fontId="9" fillId="0" borderId="2" xfId="0" applyNumberFormat="1" applyFont="1" applyBorder="1" applyProtection="1"/>
    <xf numFmtId="175" fontId="9" fillId="0" borderId="0" xfId="2" applyNumberFormat="1" applyFont="1" applyProtection="1"/>
    <xf numFmtId="4" fontId="1" fillId="0" borderId="2" xfId="0" applyNumberFormat="1" applyFont="1" applyBorder="1" applyAlignment="1" applyProtection="1">
      <alignment horizontal="left" wrapText="1"/>
    </xf>
    <xf numFmtId="0" fontId="42" fillId="0" borderId="0" xfId="0" applyFont="1" applyProtection="1"/>
    <xf numFmtId="164" fontId="29" fillId="0" borderId="2" xfId="0" applyNumberFormat="1" applyFont="1" applyFill="1" applyBorder="1" applyAlignment="1" applyProtection="1">
      <alignment vertical="center"/>
    </xf>
    <xf numFmtId="9" fontId="3" fillId="0" borderId="0" xfId="2" applyFont="1" applyAlignment="1" applyProtection="1">
      <alignment horizontal="center"/>
    </xf>
    <xf numFmtId="0" fontId="9" fillId="0" borderId="0" xfId="0" applyFont="1" applyAlignment="1" applyProtection="1"/>
    <xf numFmtId="4" fontId="10" fillId="11" borderId="0" xfId="0" applyNumberFormat="1" applyFont="1" applyFill="1" applyAlignment="1" applyProtection="1">
      <alignment horizontal="left" wrapText="1"/>
    </xf>
    <xf numFmtId="164" fontId="29" fillId="11" borderId="0" xfId="0" applyNumberFormat="1" applyFont="1" applyFill="1" applyAlignment="1" applyProtection="1"/>
    <xf numFmtId="164" fontId="1" fillId="11" borderId="0" xfId="0" applyNumberFormat="1" applyFont="1" applyFill="1" applyAlignment="1" applyProtection="1"/>
    <xf numFmtId="164" fontId="9" fillId="0" borderId="0" xfId="0" applyNumberFormat="1" applyFont="1" applyProtection="1"/>
    <xf numFmtId="4" fontId="1" fillId="11" borderId="0" xfId="0" applyNumberFormat="1" applyFont="1" applyFill="1" applyAlignment="1" applyProtection="1"/>
    <xf numFmtId="0" fontId="43" fillId="0" borderId="0" xfId="0" applyFont="1" applyProtection="1"/>
    <xf numFmtId="0" fontId="43" fillId="0" borderId="0" xfId="0" applyFont="1" applyAlignment="1" applyProtection="1">
      <alignment horizontal="center"/>
    </xf>
    <xf numFmtId="0" fontId="5" fillId="17" borderId="0" xfId="0" applyFont="1" applyFill="1" applyAlignment="1" applyProtection="1">
      <alignment horizontal="left"/>
    </xf>
    <xf numFmtId="0" fontId="5" fillId="17" borderId="0" xfId="0" applyFont="1" applyFill="1" applyAlignment="1" applyProtection="1">
      <alignment wrapText="1"/>
    </xf>
    <xf numFmtId="0" fontId="9" fillId="17" borderId="0" xfId="0" applyFont="1" applyFill="1" applyAlignment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 wrapText="1"/>
    </xf>
    <xf numFmtId="0" fontId="0" fillId="0" borderId="0" xfId="0" applyFont="1" applyProtection="1"/>
    <xf numFmtId="0" fontId="0" fillId="0" borderId="0" xfId="0" applyFont="1" applyFill="1" applyProtection="1"/>
    <xf numFmtId="0" fontId="0" fillId="0" borderId="0" xfId="0" applyFont="1" applyFill="1" applyAlignment="1" applyProtection="1">
      <alignment horizontal="center"/>
    </xf>
    <xf numFmtId="0" fontId="8" fillId="15" borderId="2" xfId="0" applyFont="1" applyFill="1" applyBorder="1" applyAlignment="1" applyProtection="1">
      <alignment horizontal="center" vertical="center" wrapText="1"/>
    </xf>
    <xf numFmtId="0" fontId="8" fillId="15" borderId="2" xfId="0" applyFont="1" applyFill="1" applyBorder="1" applyAlignment="1" applyProtection="1">
      <alignment vertical="justify" wrapText="1"/>
    </xf>
    <xf numFmtId="0" fontId="8" fillId="14" borderId="0" xfId="0" applyFont="1" applyFill="1" applyAlignment="1" applyProtection="1">
      <alignment horizontal="center" vertical="center" wrapText="1"/>
    </xf>
    <xf numFmtId="0" fontId="8" fillId="14" borderId="2" xfId="0" applyFont="1" applyFill="1" applyBorder="1" applyAlignment="1" applyProtection="1">
      <alignment horizontal="center" vertical="center" wrapText="1"/>
    </xf>
    <xf numFmtId="0" fontId="8" fillId="14" borderId="0" xfId="0" applyFont="1" applyFill="1" applyBorder="1" applyAlignment="1" applyProtection="1">
      <alignment horizontal="center" vertical="center" wrapText="1"/>
    </xf>
    <xf numFmtId="0" fontId="0" fillId="5" borderId="2" xfId="0" applyFill="1" applyBorder="1" applyProtection="1"/>
    <xf numFmtId="0" fontId="0" fillId="0" borderId="2" xfId="0" applyFill="1" applyBorder="1" applyAlignment="1" applyProtection="1"/>
    <xf numFmtId="0" fontId="0" fillId="0" borderId="2" xfId="0" applyFill="1" applyBorder="1" applyProtection="1"/>
    <xf numFmtId="173" fontId="0" fillId="0" borderId="2" xfId="0" applyNumberFormat="1" applyFill="1" applyBorder="1" applyAlignment="1" applyProtection="1">
      <alignment horizontal="center" vertical="center"/>
    </xf>
    <xf numFmtId="44" fontId="0" fillId="0" borderId="2" xfId="0" applyNumberFormat="1" applyFill="1" applyBorder="1" applyAlignment="1" applyProtection="1">
      <alignment horizontal="center" vertical="center"/>
    </xf>
    <xf numFmtId="44" fontId="0" fillId="0" borderId="2" xfId="1" applyFont="1" applyFill="1" applyBorder="1" applyAlignment="1" applyProtection="1">
      <alignment horizontal="center" vertical="center"/>
    </xf>
    <xf numFmtId="14" fontId="0" fillId="0" borderId="2" xfId="0" applyNumberForma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</xf>
    <xf numFmtId="44" fontId="0" fillId="24" borderId="2" xfId="0" applyNumberFormat="1" applyFill="1" applyBorder="1" applyProtection="1"/>
    <xf numFmtId="44" fontId="0" fillId="0" borderId="2" xfId="0" applyNumberFormat="1" applyFill="1" applyBorder="1" applyProtection="1"/>
    <xf numFmtId="44" fontId="0" fillId="0" borderId="0" xfId="0" applyNumberFormat="1" applyFill="1" applyBorder="1" applyProtection="1"/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4" fontId="11" fillId="11" borderId="2" xfId="0" applyNumberFormat="1" applyFont="1" applyFill="1" applyBorder="1" applyAlignment="1" applyProtection="1">
      <alignment horizontal="center" vertical="center"/>
    </xf>
    <xf numFmtId="44" fontId="0" fillId="23" borderId="2" xfId="1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/>
    </xf>
    <xf numFmtId="44" fontId="0" fillId="21" borderId="2" xfId="1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0" borderId="4" xfId="0" applyFill="1" applyBorder="1" applyAlignment="1" applyProtection="1"/>
    <xf numFmtId="173" fontId="0" fillId="0" borderId="4" xfId="0" applyNumberFormat="1" applyFill="1" applyBorder="1" applyAlignment="1" applyProtection="1">
      <alignment horizontal="center" vertical="center"/>
    </xf>
    <xf numFmtId="44" fontId="0" fillId="0" borderId="4" xfId="0" applyNumberFormat="1" applyFill="1" applyBorder="1" applyAlignment="1" applyProtection="1">
      <alignment horizontal="center" vertical="center"/>
    </xf>
    <xf numFmtId="44" fontId="0" fillId="0" borderId="4" xfId="1" applyFont="1" applyFill="1" applyBorder="1" applyAlignment="1" applyProtection="1">
      <alignment horizontal="center" vertical="center"/>
    </xf>
    <xf numFmtId="14" fontId="0" fillId="0" borderId="4" xfId="0" applyNumberForma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</xf>
    <xf numFmtId="44" fontId="0" fillId="0" borderId="4" xfId="0" applyNumberFormat="1" applyFill="1" applyBorder="1" applyProtection="1"/>
    <xf numFmtId="0" fontId="0" fillId="7" borderId="31" xfId="0" applyFill="1" applyBorder="1" applyAlignment="1" applyProtection="1">
      <alignment horizontal="left" vertical="center"/>
    </xf>
    <xf numFmtId="0" fontId="0" fillId="7" borderId="28" xfId="0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/>
    </xf>
    <xf numFmtId="0" fontId="0" fillId="0" borderId="2" xfId="0" applyBorder="1" applyAlignment="1" applyProtection="1">
      <alignment wrapText="1"/>
    </xf>
    <xf numFmtId="0" fontId="0" fillId="7" borderId="32" xfId="0" applyFill="1" applyBorder="1" applyAlignment="1" applyProtection="1">
      <alignment horizontal="left" vertical="center"/>
    </xf>
    <xf numFmtId="0" fontId="0" fillId="7" borderId="2" xfId="0" applyFill="1" applyBorder="1" applyAlignment="1" applyProtection="1">
      <alignment horizontal="left" vertical="center"/>
    </xf>
    <xf numFmtId="0" fontId="0" fillId="0" borderId="2" xfId="0" applyBorder="1" applyAlignment="1" applyProtection="1">
      <alignment vertical="center" wrapText="1"/>
    </xf>
    <xf numFmtId="0" fontId="0" fillId="0" borderId="2" xfId="0" applyBorder="1" applyAlignment="1" applyProtection="1">
      <alignment horizontal="left" vertical="center" wrapText="1"/>
    </xf>
    <xf numFmtId="2" fontId="0" fillId="7" borderId="2" xfId="0" applyNumberFormat="1" applyFont="1" applyFill="1" applyBorder="1" applyProtection="1"/>
    <xf numFmtId="0" fontId="0" fillId="0" borderId="33" xfId="0" applyFill="1" applyBorder="1" applyAlignment="1" applyProtection="1">
      <alignment horizontal="center"/>
    </xf>
    <xf numFmtId="0" fontId="0" fillId="0" borderId="29" xfId="0" applyFill="1" applyBorder="1" applyAlignment="1" applyProtection="1">
      <alignment vertical="center" wrapText="1"/>
    </xf>
    <xf numFmtId="4" fontId="11" fillId="11" borderId="29" xfId="0" applyNumberFormat="1" applyFont="1" applyFill="1" applyBorder="1" applyAlignment="1" applyProtection="1">
      <alignment horizontal="center" vertical="center"/>
    </xf>
    <xf numFmtId="4" fontId="3" fillId="0" borderId="29" xfId="0" applyNumberFormat="1" applyFont="1" applyFill="1" applyBorder="1" applyAlignment="1" applyProtection="1">
      <alignment horizontal="center" vertical="center"/>
    </xf>
    <xf numFmtId="164" fontId="0" fillId="23" borderId="29" xfId="1" applyNumberFormat="1" applyFont="1" applyFill="1" applyBorder="1" applyAlignment="1" applyProtection="1">
      <alignment horizontal="right" vertical="center"/>
    </xf>
    <xf numFmtId="44" fontId="0" fillId="0" borderId="29" xfId="0" applyNumberFormat="1" applyFill="1" applyBorder="1" applyAlignment="1" applyProtection="1">
      <alignment horizontal="center" vertical="center"/>
    </xf>
    <xf numFmtId="14" fontId="0" fillId="0" borderId="29" xfId="0" applyNumberForma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/>
    </xf>
    <xf numFmtId="164" fontId="0" fillId="21" borderId="29" xfId="1" applyNumberFormat="1" applyFont="1" applyFill="1" applyBorder="1" applyAlignment="1" applyProtection="1">
      <alignment horizontal="right" vertical="center"/>
    </xf>
    <xf numFmtId="164" fontId="0" fillId="21" borderId="30" xfId="1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 wrapText="1"/>
    </xf>
    <xf numFmtId="0" fontId="0" fillId="0" borderId="27" xfId="0" applyFill="1" applyBorder="1" applyProtection="1"/>
    <xf numFmtId="4" fontId="11" fillId="11" borderId="27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44" fontId="0" fillId="0" borderId="27" xfId="0" applyNumberFormat="1" applyFill="1" applyBorder="1" applyAlignment="1" applyProtection="1">
      <alignment horizontal="center" vertical="center"/>
    </xf>
    <xf numFmtId="14" fontId="0" fillId="0" borderId="27" xfId="0" applyNumberFormat="1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/>
    </xf>
    <xf numFmtId="44" fontId="0" fillId="0" borderId="27" xfId="0" applyNumberFormat="1" applyFill="1" applyBorder="1" applyProtection="1"/>
    <xf numFmtId="0" fontId="0" fillId="11" borderId="2" xfId="0" applyFill="1" applyBorder="1" applyAlignment="1" applyProtection="1">
      <alignment wrapText="1"/>
    </xf>
    <xf numFmtId="0" fontId="0" fillId="11" borderId="2" xfId="0" applyFill="1" applyBorder="1" applyAlignment="1" applyProtection="1"/>
    <xf numFmtId="164" fontId="11" fillId="11" borderId="2" xfId="0" applyNumberFormat="1" applyFont="1" applyFill="1" applyBorder="1" applyAlignment="1" applyProtection="1"/>
    <xf numFmtId="164" fontId="11" fillId="0" borderId="0" xfId="0" applyNumberFormat="1" applyFont="1" applyFill="1" applyBorder="1" applyAlignment="1" applyProtection="1"/>
    <xf numFmtId="0" fontId="1" fillId="0" borderId="0" xfId="0" applyFont="1" applyFill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wrapText="1"/>
    </xf>
    <xf numFmtId="0" fontId="0" fillId="0" borderId="0" xfId="0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" vertical="center"/>
    </xf>
    <xf numFmtId="9" fontId="29" fillId="0" borderId="0" xfId="2" applyFont="1" applyBorder="1" applyAlignment="1" applyProtection="1">
      <alignment horizontal="right" vertical="center"/>
    </xf>
    <xf numFmtId="4" fontId="29" fillId="0" borderId="0" xfId="0" applyNumberFormat="1" applyFont="1" applyBorder="1" applyAlignment="1" applyProtection="1">
      <alignment horizontal="center" vertical="center"/>
    </xf>
    <xf numFmtId="4" fontId="29" fillId="0" borderId="0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0" fillId="0" borderId="1" xfId="0" applyFill="1" applyBorder="1" applyAlignment="1" applyProtection="1"/>
    <xf numFmtId="0" fontId="1" fillId="0" borderId="9" xfId="0" applyFont="1" applyBorder="1" applyAlignment="1" applyProtection="1">
      <alignment wrapText="1"/>
    </xf>
    <xf numFmtId="4" fontId="11" fillId="0" borderId="0" xfId="0" applyNumberFormat="1" applyFont="1" applyBorder="1" applyAlignment="1" applyProtection="1">
      <alignment horizontal="center" vertical="center"/>
    </xf>
    <xf numFmtId="164" fontId="11" fillId="0" borderId="0" xfId="0" applyNumberFormat="1" applyFont="1" applyBorder="1" applyAlignment="1" applyProtection="1">
      <alignment horizontal="right" vertical="center"/>
    </xf>
    <xf numFmtId="14" fontId="29" fillId="0" borderId="7" xfId="0" applyNumberFormat="1" applyFont="1" applyFill="1" applyBorder="1" applyAlignment="1" applyProtection="1">
      <alignment horizontal="center"/>
    </xf>
    <xf numFmtId="14" fontId="29" fillId="0" borderId="0" xfId="0" applyNumberFormat="1" applyFont="1" applyFill="1" applyBorder="1" applyAlignment="1" applyProtection="1">
      <alignment horizontal="center"/>
    </xf>
    <xf numFmtId="4" fontId="41" fillId="0" borderId="0" xfId="0" applyNumberFormat="1" applyFont="1" applyProtection="1"/>
    <xf numFmtId="0" fontId="0" fillId="0" borderId="1" xfId="0" applyFill="1" applyBorder="1" applyAlignment="1" applyProtection="1">
      <alignment horizontal="left"/>
    </xf>
    <xf numFmtId="0" fontId="0" fillId="0" borderId="9" xfId="0" applyBorder="1" applyAlignment="1" applyProtection="1">
      <alignment wrapText="1"/>
    </xf>
    <xf numFmtId="0" fontId="0" fillId="0" borderId="0" xfId="0" applyBorder="1" applyAlignment="1" applyProtection="1">
      <alignment horizontal="center" wrapText="1"/>
    </xf>
    <xf numFmtId="164" fontId="29" fillId="0" borderId="0" xfId="0" applyNumberFormat="1" applyFont="1" applyBorder="1" applyAlignment="1" applyProtection="1">
      <alignment horizontal="right" vertical="center"/>
    </xf>
    <xf numFmtId="164" fontId="29" fillId="0" borderId="8" xfId="1" applyNumberFormat="1" applyFont="1" applyFill="1" applyBorder="1" applyAlignment="1" applyProtection="1">
      <alignment horizontal="center" vertical="center"/>
    </xf>
    <xf numFmtId="4" fontId="9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wrapText="1"/>
    </xf>
    <xf numFmtId="0" fontId="8" fillId="15" borderId="0" xfId="0" applyFont="1" applyFill="1" applyAlignment="1" applyProtection="1">
      <alignment horizontal="center" vertical="center" wrapText="1"/>
    </xf>
    <xf numFmtId="14" fontId="1" fillId="0" borderId="0" xfId="0" applyNumberFormat="1" applyFont="1" applyProtection="1"/>
    <xf numFmtId="0" fontId="1" fillId="17" borderId="0" xfId="0" applyFont="1" applyFill="1" applyProtection="1"/>
    <xf numFmtId="44" fontId="0" fillId="0" borderId="0" xfId="0" applyNumberFormat="1" applyAlignment="1" applyProtection="1">
      <alignment horizontal="center"/>
    </xf>
    <xf numFmtId="0" fontId="45" fillId="0" borderId="2" xfId="0" applyFont="1" applyFill="1" applyBorder="1" applyProtection="1"/>
    <xf numFmtId="0" fontId="44" fillId="0" borderId="4" xfId="0" applyFont="1" applyFill="1" applyBorder="1" applyProtection="1"/>
    <xf numFmtId="0" fontId="0" fillId="0" borderId="28" xfId="0" applyBorder="1" applyAlignment="1" applyProtection="1">
      <alignment horizontal="left" vertical="center"/>
    </xf>
    <xf numFmtId="0" fontId="0" fillId="0" borderId="28" xfId="0" applyBorder="1" applyAlignment="1" applyProtection="1">
      <alignment wrapText="1"/>
    </xf>
    <xf numFmtId="173" fontId="0" fillId="0" borderId="28" xfId="0" applyNumberFormat="1" applyFill="1" applyBorder="1" applyAlignment="1" applyProtection="1">
      <alignment horizontal="center" vertical="center"/>
    </xf>
    <xf numFmtId="44" fontId="0" fillId="0" borderId="28" xfId="0" applyNumberFormat="1" applyFill="1" applyBorder="1" applyAlignment="1" applyProtection="1">
      <alignment horizontal="center" vertical="center"/>
    </xf>
    <xf numFmtId="14" fontId="0" fillId="0" borderId="28" xfId="0" applyNumberFormat="1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/>
    </xf>
    <xf numFmtId="44" fontId="0" fillId="0" borderId="28" xfId="0" applyNumberFormat="1" applyFill="1" applyBorder="1" applyProtection="1"/>
    <xf numFmtId="164" fontId="0" fillId="0" borderId="2" xfId="0" applyNumberFormat="1" applyFill="1" applyBorder="1" applyAlignment="1" applyProtection="1">
      <alignment horizontal="center" vertical="center"/>
    </xf>
    <xf numFmtId="164" fontId="0" fillId="0" borderId="2" xfId="0" applyNumberFormat="1" applyFill="1" applyBorder="1" applyProtection="1"/>
    <xf numFmtId="164" fontId="3" fillId="0" borderId="2" xfId="0" applyNumberFormat="1" applyFont="1" applyBorder="1" applyAlignment="1" applyProtection="1">
      <alignment horizontal="right" vertical="center"/>
    </xf>
    <xf numFmtId="44" fontId="11" fillId="0" borderId="8" xfId="1" applyFont="1" applyFill="1" applyBorder="1" applyAlignment="1" applyProtection="1">
      <alignment horizontal="right" vertical="center"/>
    </xf>
    <xf numFmtId="44" fontId="1" fillId="0" borderId="0" xfId="1" applyFont="1" applyProtection="1"/>
    <xf numFmtId="164" fontId="0" fillId="23" borderId="29" xfId="1" applyNumberFormat="1" applyFont="1" applyFill="1" applyBorder="1" applyAlignment="1" applyProtection="1">
      <alignment horizontal="center" vertical="center"/>
    </xf>
    <xf numFmtId="164" fontId="0" fillId="21" borderId="30" xfId="1" applyNumberFormat="1" applyFont="1" applyFill="1" applyBorder="1" applyAlignment="1" applyProtection="1">
      <alignment horizontal="center" vertical="center"/>
    </xf>
    <xf numFmtId="10" fontId="1" fillId="0" borderId="0" xfId="2" applyNumberFormat="1" applyFont="1" applyProtection="1"/>
    <xf numFmtId="0" fontId="0" fillId="0" borderId="0" xfId="0" applyFont="1" applyAlignment="1" applyProtection="1">
      <alignment horizontal="right"/>
    </xf>
    <xf numFmtId="44" fontId="9" fillId="0" borderId="0" xfId="1" applyFont="1" applyProtection="1"/>
    <xf numFmtId="0" fontId="0" fillId="0" borderId="37" xfId="0" applyFill="1" applyBorder="1" applyAlignment="1" applyProtection="1">
      <alignment horizontal="center"/>
    </xf>
    <xf numFmtId="0" fontId="0" fillId="0" borderId="38" xfId="0" applyFill="1" applyBorder="1" applyAlignment="1" applyProtection="1">
      <alignment vertical="center" wrapText="1"/>
    </xf>
    <xf numFmtId="0" fontId="0" fillId="0" borderId="27" xfId="0" applyFill="1" applyBorder="1" applyAlignment="1" applyProtection="1"/>
    <xf numFmtId="173" fontId="0" fillId="0" borderId="27" xfId="0" applyNumberFormat="1" applyFill="1" applyBorder="1" applyAlignment="1" applyProtection="1">
      <alignment horizontal="center" vertical="center"/>
    </xf>
    <xf numFmtId="44" fontId="0" fillId="0" borderId="27" xfId="1" applyFont="1" applyFill="1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/>
    </xf>
    <xf numFmtId="44" fontId="3" fillId="0" borderId="0" xfId="1" applyFont="1" applyProtection="1"/>
    <xf numFmtId="164" fontId="11" fillId="23" borderId="2" xfId="0" applyNumberFormat="1" applyFont="1" applyFill="1" applyBorder="1" applyAlignment="1" applyProtection="1"/>
    <xf numFmtId="164" fontId="3" fillId="0" borderId="0" xfId="0" applyNumberFormat="1" applyFont="1" applyProtection="1"/>
    <xf numFmtId="0" fontId="0" fillId="0" borderId="23" xfId="0" applyBorder="1" applyAlignment="1" applyProtection="1">
      <alignment horizontal="center" vertical="center"/>
    </xf>
    <xf numFmtId="0" fontId="0" fillId="0" borderId="23" xfId="0" applyBorder="1" applyAlignment="1" applyProtection="1">
      <alignment wrapText="1"/>
    </xf>
    <xf numFmtId="0" fontId="0" fillId="0" borderId="23" xfId="0" applyFill="1" applyBorder="1" applyAlignment="1" applyProtection="1"/>
    <xf numFmtId="0" fontId="0" fillId="0" borderId="24" xfId="0" applyBorder="1" applyAlignment="1" applyProtection="1">
      <alignment wrapText="1"/>
    </xf>
    <xf numFmtId="14" fontId="29" fillId="0" borderId="25" xfId="0" applyNumberFormat="1" applyFont="1" applyFill="1" applyBorder="1" applyAlignment="1" applyProtection="1">
      <alignment horizontal="center"/>
    </xf>
    <xf numFmtId="44" fontId="29" fillId="0" borderId="26" xfId="1" applyFont="1" applyFill="1" applyBorder="1" applyAlignment="1" applyProtection="1">
      <alignment horizontal="center" vertical="center"/>
    </xf>
    <xf numFmtId="2" fontId="3" fillId="0" borderId="0" xfId="1" applyNumberFormat="1" applyFont="1" applyFill="1" applyProtection="1"/>
    <xf numFmtId="44" fontId="3" fillId="0" borderId="0" xfId="1" applyFont="1" applyFill="1" applyProtection="1"/>
    <xf numFmtId="0" fontId="0" fillId="0" borderId="2" xfId="0" applyBorder="1" applyAlignment="1" applyProtection="1">
      <alignment horizontal="center" vertical="center"/>
    </xf>
    <xf numFmtId="4" fontId="0" fillId="0" borderId="2" xfId="0" applyNumberFormat="1" applyBorder="1" applyAlignment="1" applyProtection="1">
      <alignment horizontal="center" vertical="center"/>
    </xf>
    <xf numFmtId="4" fontId="3" fillId="0" borderId="2" xfId="0" applyNumberFormat="1" applyFont="1" applyFill="1" applyBorder="1" applyAlignment="1" applyProtection="1">
      <alignment horizontal="center" vertical="center"/>
    </xf>
    <xf numFmtId="14" fontId="29" fillId="0" borderId="2" xfId="0" applyNumberFormat="1" applyFont="1" applyFill="1" applyBorder="1" applyAlignment="1" applyProtection="1">
      <alignment horizontal="center"/>
    </xf>
    <xf numFmtId="0" fontId="0" fillId="0" borderId="2" xfId="0" applyBorder="1" applyAlignment="1" applyProtection="1">
      <alignment vertical="center"/>
    </xf>
    <xf numFmtId="44" fontId="3" fillId="0" borderId="2" xfId="1" applyFont="1" applyFill="1" applyBorder="1" applyProtection="1"/>
    <xf numFmtId="0" fontId="0" fillId="0" borderId="1" xfId="0" applyBorder="1" applyAlignment="1" applyProtection="1">
      <alignment vertical="center" wrapText="1"/>
    </xf>
    <xf numFmtId="0" fontId="0" fillId="0" borderId="2" xfId="0" applyFill="1" applyBorder="1" applyAlignment="1" applyProtection="1">
      <alignment vertical="center" wrapText="1"/>
    </xf>
    <xf numFmtId="164" fontId="0" fillId="23" borderId="2" xfId="1" applyNumberFormat="1" applyFont="1" applyFill="1" applyBorder="1" applyAlignment="1" applyProtection="1">
      <alignment horizontal="center" vertical="center"/>
    </xf>
    <xf numFmtId="164" fontId="0" fillId="21" borderId="2" xfId="1" applyNumberFormat="1" applyFont="1" applyFill="1" applyBorder="1" applyAlignment="1" applyProtection="1">
      <alignment horizontal="center" vertical="center"/>
    </xf>
    <xf numFmtId="0" fontId="0" fillId="0" borderId="29" xfId="0" applyFill="1" applyBorder="1" applyProtection="1"/>
    <xf numFmtId="44" fontId="0" fillId="0" borderId="29" xfId="0" applyNumberFormat="1" applyFill="1" applyBorder="1" applyProtection="1"/>
    <xf numFmtId="44" fontId="0" fillId="0" borderId="30" xfId="0" applyNumberFormat="1" applyFill="1" applyBorder="1" applyProtection="1"/>
    <xf numFmtId="0" fontId="1" fillId="17" borderId="0" xfId="0" applyFont="1" applyFill="1" applyAlignment="1" applyProtection="1">
      <alignment wrapText="1"/>
    </xf>
    <xf numFmtId="0" fontId="0" fillId="0" borderId="28" xfId="0" applyBorder="1" applyAlignment="1" applyProtection="1">
      <alignment horizontal="center" vertical="center"/>
    </xf>
    <xf numFmtId="44" fontId="0" fillId="0" borderId="28" xfId="1" applyFont="1" applyFill="1" applyBorder="1" applyAlignment="1" applyProtection="1">
      <alignment horizontal="center" vertical="center"/>
    </xf>
    <xf numFmtId="2" fontId="3" fillId="0" borderId="0" xfId="0" applyNumberFormat="1" applyFont="1" applyProtection="1"/>
    <xf numFmtId="0" fontId="0" fillId="0" borderId="34" xfId="0" applyFill="1" applyBorder="1" applyAlignment="1" applyProtection="1">
      <alignment horizontal="center"/>
    </xf>
    <xf numFmtId="0" fontId="0" fillId="0" borderId="35" xfId="0" applyFill="1" applyBorder="1" applyAlignment="1" applyProtection="1">
      <alignment vertical="center" wrapText="1"/>
    </xf>
    <xf numFmtId="0" fontId="0" fillId="0" borderId="35" xfId="0" applyFill="1" applyBorder="1" applyProtection="1"/>
    <xf numFmtId="4" fontId="11" fillId="11" borderId="35" xfId="0" applyNumberFormat="1" applyFont="1" applyFill="1" applyBorder="1" applyAlignment="1" applyProtection="1">
      <alignment horizontal="center" vertical="center"/>
    </xf>
    <xf numFmtId="4" fontId="3" fillId="0" borderId="35" xfId="0" applyNumberFormat="1" applyFont="1" applyFill="1" applyBorder="1" applyAlignment="1" applyProtection="1">
      <alignment horizontal="center" vertical="center"/>
    </xf>
    <xf numFmtId="44" fontId="0" fillId="0" borderId="35" xfId="0" applyNumberFormat="1" applyFill="1" applyBorder="1" applyAlignment="1" applyProtection="1">
      <alignment horizontal="center" vertical="center"/>
    </xf>
    <xf numFmtId="14" fontId="0" fillId="0" borderId="35" xfId="0" applyNumberFormat="1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/>
    </xf>
    <xf numFmtId="44" fontId="0" fillId="0" borderId="35" xfId="0" applyNumberFormat="1" applyFill="1" applyBorder="1" applyProtection="1"/>
    <xf numFmtId="44" fontId="0" fillId="0" borderId="36" xfId="0" applyNumberFormat="1" applyFill="1" applyBorder="1" applyProtection="1"/>
    <xf numFmtId="2" fontId="3" fillId="0" borderId="0" xfId="0" applyNumberFormat="1" applyFont="1" applyFill="1" applyProtection="1"/>
    <xf numFmtId="0" fontId="3" fillId="0" borderId="0" xfId="0" applyFont="1" applyFill="1" applyProtection="1"/>
    <xf numFmtId="0" fontId="14" fillId="0" borderId="0" xfId="0" applyFont="1" applyFill="1" applyAlignment="1" applyProtection="1">
      <alignment horizontal="left"/>
    </xf>
    <xf numFmtId="0" fontId="15" fillId="0" borderId="0" xfId="0" applyFont="1" applyProtection="1"/>
    <xf numFmtId="0" fontId="15" fillId="0" borderId="0" xfId="0" applyFont="1" applyBorder="1" applyProtection="1"/>
    <xf numFmtId="0" fontId="14" fillId="16" borderId="2" xfId="0" applyFont="1" applyFill="1" applyBorder="1" applyAlignment="1" applyProtection="1">
      <alignment vertical="center" wrapText="1"/>
    </xf>
    <xf numFmtId="0" fontId="16" fillId="14" borderId="4" xfId="0" applyFont="1" applyFill="1" applyBorder="1" applyAlignment="1" applyProtection="1">
      <alignment horizontal="center" vertical="center"/>
    </xf>
    <xf numFmtId="0" fontId="16" fillId="14" borderId="2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vertical="center"/>
    </xf>
    <xf numFmtId="44" fontId="15" fillId="0" borderId="2" xfId="0" applyNumberFormat="1" applyFont="1" applyFill="1" applyBorder="1" applyAlignment="1" applyProtection="1">
      <alignment horizontal="center" vertical="center"/>
    </xf>
    <xf numFmtId="44" fontId="15" fillId="17" borderId="2" xfId="0" applyNumberFormat="1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left" vertical="center"/>
    </xf>
    <xf numFmtId="174" fontId="15" fillId="0" borderId="2" xfId="0" applyNumberFormat="1" applyFont="1" applyFill="1" applyBorder="1" applyAlignment="1" applyProtection="1">
      <alignment horizontal="center" vertical="center"/>
    </xf>
    <xf numFmtId="44" fontId="15" fillId="11" borderId="2" xfId="0" applyNumberFormat="1" applyFont="1" applyFill="1" applyBorder="1" applyAlignment="1" applyProtection="1">
      <alignment horizontal="center" vertical="center"/>
    </xf>
    <xf numFmtId="174" fontId="15" fillId="11" borderId="2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Protection="1"/>
    <xf numFmtId="44" fontId="15" fillId="0" borderId="0" xfId="0" applyNumberFormat="1" applyFont="1" applyProtection="1"/>
    <xf numFmtId="0" fontId="14" fillId="0" borderId="0" xfId="0" applyFont="1" applyProtection="1"/>
    <xf numFmtId="0" fontId="17" fillId="14" borderId="2" xfId="0" applyFont="1" applyFill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</xf>
    <xf numFmtId="44" fontId="19" fillId="0" borderId="2" xfId="0" applyNumberFormat="1" applyFont="1" applyBorder="1" applyAlignment="1" applyProtection="1">
      <alignment horizontal="center" vertical="center" wrapText="1"/>
    </xf>
    <xf numFmtId="44" fontId="18" fillId="0" borderId="2" xfId="0" applyNumberFormat="1" applyFont="1" applyBorder="1" applyAlignment="1" applyProtection="1">
      <alignment horizontal="center" vertical="center" wrapText="1"/>
    </xf>
    <xf numFmtId="44" fontId="18" fillId="17" borderId="2" xfId="0" applyNumberFormat="1" applyFont="1" applyFill="1" applyBorder="1" applyAlignment="1" applyProtection="1">
      <alignment horizontal="center" vertical="center" wrapText="1"/>
    </xf>
    <xf numFmtId="44" fontId="18" fillId="0" borderId="0" xfId="0" applyNumberFormat="1" applyFont="1" applyBorder="1" applyAlignment="1" applyProtection="1">
      <alignment horizontal="center" vertical="center" wrapText="1"/>
    </xf>
    <xf numFmtId="44" fontId="19" fillId="0" borderId="0" xfId="0" applyNumberFormat="1" applyFont="1" applyBorder="1" applyAlignment="1" applyProtection="1">
      <alignment horizontal="center" vertical="center" wrapText="1"/>
    </xf>
    <xf numFmtId="0" fontId="20" fillId="14" borderId="2" xfId="0" applyFont="1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 applyProtection="1">
      <alignment horizontal="left" vertical="center" wrapText="1"/>
    </xf>
    <xf numFmtId="164" fontId="21" fillId="0" borderId="2" xfId="0" applyNumberFormat="1" applyFont="1" applyBorder="1" applyAlignment="1" applyProtection="1">
      <alignment horizontal="right" vertical="center" wrapText="1"/>
    </xf>
    <xf numFmtId="10" fontId="21" fillId="17" borderId="2" xfId="0" applyNumberFormat="1" applyFont="1" applyFill="1" applyBorder="1" applyAlignment="1" applyProtection="1">
      <alignment horizontal="center" vertical="center" wrapText="1"/>
    </xf>
    <xf numFmtId="8" fontId="21" fillId="0" borderId="2" xfId="0" applyNumberFormat="1" applyFont="1" applyBorder="1" applyAlignment="1" applyProtection="1">
      <alignment horizontal="right" vertical="center"/>
    </xf>
    <xf numFmtId="0" fontId="22" fillId="11" borderId="2" xfId="0" applyFont="1" applyFill="1" applyBorder="1" applyAlignment="1" applyProtection="1">
      <alignment horizontal="left" vertical="center"/>
    </xf>
    <xf numFmtId="164" fontId="23" fillId="11" borderId="2" xfId="0" applyNumberFormat="1" applyFont="1" applyFill="1" applyBorder="1" applyAlignment="1" applyProtection="1">
      <alignment horizontal="right" vertical="center" wrapText="1"/>
    </xf>
    <xf numFmtId="10" fontId="23" fillId="11" borderId="2" xfId="0" applyNumberFormat="1" applyFont="1" applyFill="1" applyBorder="1" applyAlignment="1" applyProtection="1">
      <alignment horizontal="center" vertical="center" wrapText="1"/>
    </xf>
    <xf numFmtId="8" fontId="23" fillId="11" borderId="2" xfId="0" applyNumberFormat="1" applyFont="1" applyFill="1" applyBorder="1" applyAlignment="1" applyProtection="1">
      <alignment horizontal="right" vertical="center"/>
    </xf>
    <xf numFmtId="8" fontId="21" fillId="4" borderId="2" xfId="0" applyNumberFormat="1" applyFont="1" applyFill="1" applyBorder="1" applyAlignment="1" applyProtection="1">
      <alignment horizontal="right" vertical="center"/>
    </xf>
    <xf numFmtId="0" fontId="15" fillId="4" borderId="2" xfId="0" applyFont="1" applyFill="1" applyBorder="1" applyAlignment="1" applyProtection="1">
      <alignment horizontal="right"/>
    </xf>
    <xf numFmtId="0" fontId="24" fillId="14" borderId="3" xfId="0" applyFont="1" applyFill="1" applyBorder="1" applyAlignment="1" applyProtection="1">
      <alignment horizontal="center" vertical="center"/>
    </xf>
    <xf numFmtId="0" fontId="24" fillId="14" borderId="3" xfId="0" applyFont="1" applyFill="1" applyBorder="1" applyAlignment="1" applyProtection="1">
      <alignment horizontal="center" vertical="center" wrapText="1"/>
    </xf>
    <xf numFmtId="44" fontId="21" fillId="0" borderId="2" xfId="0" applyNumberFormat="1" applyFont="1" applyBorder="1" applyAlignment="1" applyProtection="1">
      <alignment horizontal="right" vertical="center"/>
    </xf>
    <xf numFmtId="8" fontId="21" fillId="0" borderId="2" xfId="0" applyNumberFormat="1" applyFont="1" applyFill="1" applyBorder="1" applyAlignment="1" applyProtection="1">
      <alignment horizontal="right" vertical="center"/>
    </xf>
    <xf numFmtId="165" fontId="15" fillId="0" borderId="0" xfId="0" applyNumberFormat="1" applyFont="1" applyProtection="1"/>
    <xf numFmtId="0" fontId="25" fillId="11" borderId="2" xfId="0" applyFont="1" applyFill="1" applyBorder="1" applyAlignment="1" applyProtection="1">
      <alignment horizontal="center" vertical="center"/>
    </xf>
    <xf numFmtId="44" fontId="23" fillId="11" borderId="2" xfId="0" applyNumberFormat="1" applyFont="1" applyFill="1" applyBorder="1" applyAlignment="1" applyProtection="1">
      <alignment horizontal="right" vertical="center"/>
    </xf>
    <xf numFmtId="8" fontId="15" fillId="0" borderId="0" xfId="0" applyNumberFormat="1" applyFont="1" applyProtection="1"/>
    <xf numFmtId="0" fontId="25" fillId="11" borderId="0" xfId="0" applyFont="1" applyFill="1" applyBorder="1" applyAlignment="1" applyProtection="1">
      <alignment horizontal="center" vertical="center"/>
    </xf>
    <xf numFmtId="8" fontId="23" fillId="11" borderId="0" xfId="0" applyNumberFormat="1" applyFont="1" applyFill="1" applyBorder="1" applyAlignment="1" applyProtection="1">
      <alignment horizontal="right" vertical="center"/>
    </xf>
    <xf numFmtId="0" fontId="26" fillId="0" borderId="0" xfId="0" applyFont="1" applyAlignment="1" applyProtection="1">
      <alignment wrapText="1"/>
    </xf>
    <xf numFmtId="0" fontId="28" fillId="0" borderId="2" xfId="0" applyFont="1" applyBorder="1" applyAlignment="1" applyProtection="1">
      <alignment horizontal="center" wrapText="1"/>
    </xf>
    <xf numFmtId="8" fontId="15" fillId="17" borderId="0" xfId="0" applyNumberFormat="1" applyFont="1" applyFill="1" applyProtection="1"/>
    <xf numFmtId="0" fontId="15" fillId="17" borderId="0" xfId="0" applyFont="1" applyFill="1" applyAlignment="1" applyProtection="1">
      <alignment horizontal="center"/>
    </xf>
    <xf numFmtId="0" fontId="27" fillId="0" borderId="0" xfId="0" applyFont="1" applyProtection="1"/>
    <xf numFmtId="0" fontId="15" fillId="0" borderId="0" xfId="0" quotePrefix="1" applyFont="1" applyAlignment="1" applyProtection="1">
      <alignment horizontal="center"/>
    </xf>
    <xf numFmtId="0" fontId="15" fillId="0" borderId="0" xfId="0" quotePrefix="1" applyFont="1" applyProtection="1"/>
    <xf numFmtId="0" fontId="28" fillId="0" borderId="0" xfId="0" applyFont="1" applyAlignment="1" applyProtection="1">
      <alignment wrapText="1"/>
    </xf>
    <xf numFmtId="0" fontId="7" fillId="18" borderId="7" xfId="0" applyFont="1" applyFill="1" applyBorder="1" applyAlignment="1" applyProtection="1">
      <alignment horizontal="center" vertical="justify"/>
    </xf>
    <xf numFmtId="0" fontId="7" fillId="18" borderId="7" xfId="0" applyFont="1" applyFill="1" applyBorder="1" applyAlignment="1" applyProtection="1">
      <alignment horizontal="center" vertical="justify" wrapText="1"/>
    </xf>
    <xf numFmtId="0" fontId="0" fillId="22" borderId="0" xfId="0" applyFill="1" applyAlignment="1" applyProtection="1">
      <alignment horizontal="center"/>
    </xf>
    <xf numFmtId="0" fontId="1" fillId="11" borderId="7" xfId="0" applyFont="1" applyFill="1" applyBorder="1" applyAlignment="1" applyProtection="1">
      <alignment horizontal="left"/>
    </xf>
    <xf numFmtId="0" fontId="6" fillId="14" borderId="39" xfId="0" applyFont="1" applyFill="1" applyBorder="1" applyAlignment="1" applyProtection="1">
      <alignment horizontal="center" vertical="center" wrapText="1"/>
    </xf>
    <xf numFmtId="0" fontId="6" fillId="14" borderId="40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39" fillId="14" borderId="21" xfId="0" applyFont="1" applyFill="1" applyBorder="1" applyAlignment="1" applyProtection="1">
      <alignment horizontal="center" vertical="center" wrapText="1"/>
    </xf>
    <xf numFmtId="0" fontId="39" fillId="14" borderId="22" xfId="0" applyFont="1" applyFill="1" applyBorder="1" applyAlignment="1" applyProtection="1">
      <alignment horizontal="center" vertical="center" wrapText="1"/>
    </xf>
    <xf numFmtId="0" fontId="40" fillId="14" borderId="3" xfId="0" applyFont="1" applyFill="1" applyBorder="1" applyAlignment="1" applyProtection="1">
      <alignment horizontal="center" vertical="center" wrapText="1"/>
    </xf>
    <xf numFmtId="0" fontId="40" fillId="14" borderId="6" xfId="0" applyFont="1" applyFill="1" applyBorder="1" applyAlignment="1" applyProtection="1">
      <alignment horizontal="center" vertical="center" wrapText="1"/>
    </xf>
    <xf numFmtId="0" fontId="16" fillId="14" borderId="3" xfId="0" applyFont="1" applyFill="1" applyBorder="1" applyAlignment="1" applyProtection="1">
      <alignment horizontal="center" vertical="center"/>
    </xf>
    <xf numFmtId="0" fontId="16" fillId="14" borderId="5" xfId="0" applyFont="1" applyFill="1" applyBorder="1" applyAlignment="1" applyProtection="1">
      <alignment horizontal="center" vertical="center"/>
    </xf>
    <xf numFmtId="0" fontId="16" fillId="14" borderId="6" xfId="0" applyFont="1" applyFill="1" applyBorder="1" applyAlignment="1" applyProtection="1">
      <alignment horizontal="center" vertical="center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</cellXfs>
  <cellStyles count="11">
    <cellStyle name="Coma" xfId="10" builtinId="3"/>
    <cellStyle name="Coma 2" xfId="5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ercentatge" xfId="2" builtinId="5"/>
  </cellStyles>
  <dxfs count="0"/>
  <tableStyles count="0" defaultTableStyle="TableStyleMedium2" defaultPivotStyle="PivotStyleLight16"/>
  <colors>
    <mruColors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76</xdr:row>
          <xdr:rowOff>66675</xdr:rowOff>
        </xdr:from>
        <xdr:to>
          <xdr:col>1</xdr:col>
          <xdr:colOff>1038225</xdr:colOff>
          <xdr:row>77</xdr:row>
          <xdr:rowOff>95250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76</xdr:row>
          <xdr:rowOff>66675</xdr:rowOff>
        </xdr:from>
        <xdr:to>
          <xdr:col>1</xdr:col>
          <xdr:colOff>1038225</xdr:colOff>
          <xdr:row>77</xdr:row>
          <xdr:rowOff>95250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76</xdr:row>
          <xdr:rowOff>66675</xdr:rowOff>
        </xdr:from>
        <xdr:to>
          <xdr:col>1</xdr:col>
          <xdr:colOff>1038225</xdr:colOff>
          <xdr:row>77</xdr:row>
          <xdr:rowOff>95250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76</xdr:row>
          <xdr:rowOff>66675</xdr:rowOff>
        </xdr:from>
        <xdr:to>
          <xdr:col>1</xdr:col>
          <xdr:colOff>1038225</xdr:colOff>
          <xdr:row>77</xdr:row>
          <xdr:rowOff>95250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76</xdr:row>
          <xdr:rowOff>66675</xdr:rowOff>
        </xdr:from>
        <xdr:to>
          <xdr:col>1</xdr:col>
          <xdr:colOff>1038225</xdr:colOff>
          <xdr:row>77</xdr:row>
          <xdr:rowOff>95250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A299"/>
  <sheetViews>
    <sheetView zoomScale="85" zoomScaleNormal="85" workbookViewId="0">
      <pane xSplit="2" topLeftCell="C1" activePane="topRight" state="frozen"/>
      <selection pane="topRight" activeCell="A5" sqref="A5"/>
    </sheetView>
  </sheetViews>
  <sheetFormatPr defaultColWidth="11.42578125" defaultRowHeight="15" x14ac:dyDescent="0.25"/>
  <cols>
    <col min="1" max="1" width="18.5703125" style="139" customWidth="1"/>
    <col min="2" max="2" width="48" style="150" customWidth="1"/>
    <col min="3" max="3" width="12.85546875" style="173" customWidth="1"/>
    <col min="4" max="4" width="44.5703125" style="150" customWidth="1"/>
    <col min="5" max="5" width="18.42578125" style="151" customWidth="1"/>
    <col min="6" max="6" width="13.5703125" style="136" customWidth="1"/>
    <col min="7" max="7" width="14" style="136" customWidth="1"/>
    <col min="8" max="8" width="15.42578125" style="136" customWidth="1"/>
    <col min="9" max="9" width="13.42578125" style="136" customWidth="1"/>
    <col min="10" max="10" width="15.85546875" style="136" customWidth="1"/>
    <col min="11" max="11" width="15.42578125" style="136" customWidth="1"/>
    <col min="12" max="12" width="10.28515625" style="136" bestFit="1" customWidth="1"/>
    <col min="13" max="13" width="15.5703125" style="136" customWidth="1"/>
    <col min="14" max="14" width="11.5703125" style="136" bestFit="1" customWidth="1"/>
    <col min="15" max="16" width="11.5703125" style="136" customWidth="1"/>
    <col min="17" max="17" width="15.42578125" style="136" customWidth="1"/>
    <col min="18" max="18" width="12.42578125" style="136" customWidth="1"/>
    <col min="19" max="19" width="11.42578125" style="136" bestFit="1" customWidth="1"/>
    <col min="20" max="20" width="11.42578125" style="136" customWidth="1"/>
    <col min="21" max="21" width="13.42578125" style="139" customWidth="1"/>
    <col min="22" max="22" width="15.5703125" style="136" customWidth="1"/>
    <col min="23" max="23" width="14" style="136" customWidth="1"/>
    <col min="24" max="24" width="11.140625" style="135" hidden="1" customWidth="1"/>
    <col min="25" max="25" width="12.42578125" style="135" hidden="1" customWidth="1"/>
    <col min="26" max="26" width="6.85546875" style="146" hidden="1" customWidth="1"/>
    <col min="27" max="30" width="0" style="136" hidden="1" customWidth="1"/>
    <col min="31" max="16384" width="11.42578125" style="136"/>
  </cols>
  <sheetData>
    <row r="1" spans="1:26" ht="31.5" customHeight="1" x14ac:dyDescent="0.25">
      <c r="A1" s="56" t="s">
        <v>304</v>
      </c>
      <c r="B1" s="132"/>
      <c r="C1" s="133"/>
      <c r="D1" s="56"/>
      <c r="E1" s="134"/>
      <c r="F1" s="135"/>
      <c r="I1" s="137"/>
      <c r="M1" s="138"/>
      <c r="X1" s="136"/>
      <c r="Y1" s="136"/>
      <c r="Z1" s="135"/>
    </row>
    <row r="2" spans="1:26" x14ac:dyDescent="0.25">
      <c r="A2" s="104" t="s">
        <v>115</v>
      </c>
      <c r="B2" s="140">
        <v>44814</v>
      </c>
      <c r="C2" s="141"/>
      <c r="D2" s="142"/>
      <c r="E2" s="143"/>
      <c r="F2" s="140"/>
      <c r="H2" s="144"/>
      <c r="I2" s="145"/>
      <c r="M2" s="138"/>
      <c r="T2" s="146"/>
      <c r="U2" s="147"/>
      <c r="X2" s="136"/>
      <c r="Y2" s="136"/>
      <c r="Z2" s="136"/>
    </row>
    <row r="3" spans="1:26" x14ac:dyDescent="0.25">
      <c r="A3" s="148" t="s">
        <v>137</v>
      </c>
      <c r="B3" s="140">
        <v>44875</v>
      </c>
      <c r="C3" s="141"/>
      <c r="D3" s="142"/>
      <c r="E3" s="143"/>
      <c r="F3" s="138"/>
      <c r="H3" s="144"/>
      <c r="I3" s="145"/>
      <c r="M3" s="138"/>
      <c r="T3" s="146"/>
      <c r="U3" s="147"/>
      <c r="X3" s="136"/>
      <c r="Y3" s="136"/>
      <c r="Z3" s="136"/>
    </row>
    <row r="4" spans="1:26" x14ac:dyDescent="0.25">
      <c r="A4" s="104" t="s">
        <v>173</v>
      </c>
      <c r="B4" s="149">
        <v>45909</v>
      </c>
      <c r="C4" s="141"/>
      <c r="I4" s="152"/>
      <c r="J4" s="153"/>
      <c r="M4" s="154"/>
      <c r="R4" s="155"/>
      <c r="T4" s="146"/>
      <c r="U4" s="147"/>
      <c r="V4" s="135"/>
      <c r="W4" s="135"/>
      <c r="Z4" s="136"/>
    </row>
    <row r="5" spans="1:26" ht="30" x14ac:dyDescent="0.25">
      <c r="A5" s="104"/>
      <c r="B5" s="104"/>
      <c r="C5" s="156"/>
      <c r="D5" s="157" t="s">
        <v>0</v>
      </c>
      <c r="E5" s="158" t="s">
        <v>177</v>
      </c>
      <c r="F5" s="158" t="s">
        <v>178</v>
      </c>
      <c r="G5" s="158" t="s">
        <v>197</v>
      </c>
      <c r="H5" s="158" t="s">
        <v>209</v>
      </c>
      <c r="I5" s="159" t="s">
        <v>382</v>
      </c>
      <c r="J5" s="159" t="s">
        <v>381</v>
      </c>
      <c r="L5" s="160" t="s">
        <v>437</v>
      </c>
      <c r="M5" s="160" t="s">
        <v>438</v>
      </c>
      <c r="N5" s="160" t="s">
        <v>439</v>
      </c>
      <c r="O5" s="160" t="s">
        <v>440</v>
      </c>
      <c r="P5" s="159" t="s">
        <v>116</v>
      </c>
      <c r="T5" s="146"/>
      <c r="U5" s="146"/>
      <c r="V5" s="146"/>
      <c r="W5" s="146"/>
      <c r="Y5" s="136"/>
      <c r="Z5" s="136"/>
    </row>
    <row r="6" spans="1:26" x14ac:dyDescent="0.25">
      <c r="A6" s="105"/>
      <c r="B6" s="105"/>
      <c r="C6" s="161" t="s">
        <v>200</v>
      </c>
      <c r="D6" s="162" t="s">
        <v>7</v>
      </c>
      <c r="E6" s="163">
        <f>ROUND(+G80,2)</f>
        <v>81339.75</v>
      </c>
      <c r="F6" s="163">
        <f>+G152</f>
        <v>495811.7</v>
      </c>
      <c r="G6" s="163">
        <f>G223</f>
        <v>495410.04</v>
      </c>
      <c r="H6" s="163">
        <f>+G295</f>
        <v>353612.85</v>
      </c>
      <c r="I6" s="163">
        <f>SUM(E6:H6)</f>
        <v>1426174.3399999999</v>
      </c>
      <c r="J6" s="164">
        <f>+ROUND(I6/1.21,3)</f>
        <v>1178656.4790000001</v>
      </c>
      <c r="K6" s="165">
        <f>J6/$J$11</f>
        <v>0.23506494235181094</v>
      </c>
      <c r="L6" s="166">
        <f>E80</f>
        <v>1745.4877324749646</v>
      </c>
      <c r="M6" s="166">
        <f>E152</f>
        <v>10639.736123032901</v>
      </c>
      <c r="N6" s="166">
        <f>E223</f>
        <v>10631.116666666663</v>
      </c>
      <c r="O6" s="166">
        <f>E295</f>
        <v>7588.2584093347632</v>
      </c>
      <c r="P6" s="167">
        <f>SUM(L6:O6)</f>
        <v>30604.598931509288</v>
      </c>
      <c r="Q6" s="168">
        <f>P6/$P$11</f>
        <v>0.25614120133011348</v>
      </c>
      <c r="T6" s="146"/>
      <c r="U6" s="146"/>
      <c r="V6" s="146"/>
      <c r="W6" s="146"/>
      <c r="Y6" s="154"/>
      <c r="Z6" s="136"/>
    </row>
    <row r="7" spans="1:26" x14ac:dyDescent="0.25">
      <c r="B7" s="139"/>
      <c r="C7" s="161" t="s">
        <v>201</v>
      </c>
      <c r="D7" s="162" t="s">
        <v>13</v>
      </c>
      <c r="E7" s="163">
        <f>ROUND(+J80+U80,2)</f>
        <v>258359.54</v>
      </c>
      <c r="F7" s="163">
        <f>+J152+U152</f>
        <v>1136665.0666666667</v>
      </c>
      <c r="G7" s="163">
        <f>+J223+U223</f>
        <v>1177690.8285714285</v>
      </c>
      <c r="H7" s="163">
        <f>+J295+U295</f>
        <v>824339.9933333334</v>
      </c>
      <c r="I7" s="163">
        <f>SUM(E7:H7)</f>
        <v>3397055.4285714282</v>
      </c>
      <c r="J7" s="164">
        <f>+ROUND(I7/1.21,3)</f>
        <v>2807483.8250000002</v>
      </c>
      <c r="K7" s="165">
        <f>J7/$J$11</f>
        <v>0.55990955400098952</v>
      </c>
      <c r="L7" s="166">
        <f>H80</f>
        <v>3548.2195235251174</v>
      </c>
      <c r="M7" s="166">
        <f>H152</f>
        <v>22538.789567987264</v>
      </c>
      <c r="N7" s="166">
        <f>H223</f>
        <v>23399.749153892102</v>
      </c>
      <c r="O7" s="166">
        <f>H295</f>
        <v>16394.717163547681</v>
      </c>
      <c r="P7" s="167">
        <f t="shared" ref="P7:P10" si="0">SUM(L7:O7)</f>
        <v>65881.475408952159</v>
      </c>
      <c r="Q7" s="168">
        <f>P7/$P$11</f>
        <v>0.55138642053157383</v>
      </c>
      <c r="T7" s="146"/>
      <c r="U7" s="146"/>
      <c r="V7" s="146"/>
      <c r="W7" s="146"/>
      <c r="X7" s="138"/>
      <c r="Y7" s="138"/>
      <c r="Z7" s="136"/>
    </row>
    <row r="8" spans="1:26" x14ac:dyDescent="0.25">
      <c r="B8" s="139"/>
      <c r="C8" s="161" t="s">
        <v>202</v>
      </c>
      <c r="D8" s="169" t="s">
        <v>196</v>
      </c>
      <c r="E8" s="163">
        <f>ROUND(+M80,2)</f>
        <v>69296.42</v>
      </c>
      <c r="F8" s="163">
        <f>+M152</f>
        <v>430131.92000000004</v>
      </c>
      <c r="G8" s="163">
        <f>+M223</f>
        <v>432213.26</v>
      </c>
      <c r="H8" s="163">
        <f>+M295</f>
        <v>312278.95</v>
      </c>
      <c r="I8" s="163">
        <f>SUM(E8:H8)</f>
        <v>1243920.55</v>
      </c>
      <c r="J8" s="164">
        <f>+ROUND(I8/1.21,3)</f>
        <v>1028033.512</v>
      </c>
      <c r="K8" s="165">
        <f>J8/$J$11</f>
        <v>0.20502550364719943</v>
      </c>
      <c r="L8" s="166">
        <f>K80</f>
        <v>1281.1320330313674</v>
      </c>
      <c r="M8" s="166">
        <f>K152</f>
        <v>7952.1524003204522</v>
      </c>
      <c r="N8" s="166">
        <f>K223</f>
        <v>7990.631478400197</v>
      </c>
      <c r="O8" s="166">
        <f>K295</f>
        <v>5773.3211892216677</v>
      </c>
      <c r="P8" s="167">
        <f t="shared" si="0"/>
        <v>22997.237100973685</v>
      </c>
      <c r="Q8" s="168">
        <f>P8/$P$11</f>
        <v>0.19247237813831269</v>
      </c>
      <c r="R8" s="170"/>
      <c r="S8" s="170"/>
      <c r="T8" s="170"/>
      <c r="U8" s="170"/>
      <c r="V8" s="170"/>
      <c r="W8" s="170"/>
      <c r="X8" s="136"/>
      <c r="Y8" s="136"/>
      <c r="Z8" s="136"/>
    </row>
    <row r="9" spans="1:26" x14ac:dyDescent="0.25">
      <c r="B9" s="139"/>
      <c r="C9" s="161" t="s">
        <v>203</v>
      </c>
      <c r="D9" s="169" t="s">
        <v>409</v>
      </c>
      <c r="E9" s="171">
        <f>+N80</f>
        <v>0</v>
      </c>
      <c r="F9" s="163">
        <f>+N152</f>
        <v>0</v>
      </c>
      <c r="G9" s="163">
        <f>+N223</f>
        <v>0</v>
      </c>
      <c r="H9" s="163">
        <f>+N152*$I$4/365</f>
        <v>0</v>
      </c>
      <c r="I9" s="163">
        <f>SUM(E9:H9)</f>
        <v>0</v>
      </c>
      <c r="J9" s="164">
        <f>+ROUND(I9/1.21,2)</f>
        <v>0</v>
      </c>
      <c r="K9" s="172"/>
      <c r="L9" s="167">
        <v>0</v>
      </c>
      <c r="M9" s="167">
        <v>0</v>
      </c>
      <c r="N9" s="167">
        <v>0</v>
      </c>
      <c r="O9" s="167">
        <v>0</v>
      </c>
      <c r="P9" s="167">
        <f t="shared" si="0"/>
        <v>0</v>
      </c>
      <c r="R9" s="170"/>
      <c r="S9" s="170"/>
      <c r="T9" s="170"/>
      <c r="U9" s="170"/>
      <c r="V9" s="170"/>
      <c r="W9" s="170"/>
      <c r="X9" s="136"/>
      <c r="Y9" s="136"/>
      <c r="Z9" s="136"/>
    </row>
    <row r="10" spans="1:26" x14ac:dyDescent="0.25">
      <c r="B10" s="139"/>
      <c r="D10" s="169" t="s">
        <v>410</v>
      </c>
      <c r="E10" s="171">
        <f>Q80</f>
        <v>0</v>
      </c>
      <c r="F10" s="163">
        <f>Q152</f>
        <v>0</v>
      </c>
      <c r="G10" s="163">
        <f>Q223</f>
        <v>0</v>
      </c>
      <c r="H10" s="163">
        <f>Q295</f>
        <v>0</v>
      </c>
      <c r="I10" s="163">
        <f>SUM(E10:H10)</f>
        <v>0</v>
      </c>
      <c r="J10" s="164">
        <f>+ROUND(I10/1.21,2)</f>
        <v>0</v>
      </c>
      <c r="K10" s="172"/>
      <c r="L10" s="167">
        <v>0</v>
      </c>
      <c r="M10" s="167">
        <v>0</v>
      </c>
      <c r="N10" s="167">
        <v>0</v>
      </c>
      <c r="O10" s="167">
        <v>0</v>
      </c>
      <c r="P10" s="167">
        <f t="shared" si="0"/>
        <v>0</v>
      </c>
      <c r="R10" s="170"/>
      <c r="S10" s="170"/>
      <c r="T10" s="170"/>
      <c r="U10" s="170"/>
      <c r="V10" s="170"/>
      <c r="W10" s="170"/>
      <c r="X10" s="136"/>
      <c r="Y10" s="136"/>
      <c r="Z10" s="136"/>
    </row>
    <row r="11" spans="1:26" ht="20.100000000000001" customHeight="1" x14ac:dyDescent="0.25">
      <c r="B11" s="139"/>
      <c r="C11" s="150"/>
      <c r="D11" s="174" t="s">
        <v>135</v>
      </c>
      <c r="E11" s="175">
        <f>SUM(E6:E10)</f>
        <v>408995.71</v>
      </c>
      <c r="F11" s="175">
        <f>SUM(F6:F8)</f>
        <v>2062608.6866666665</v>
      </c>
      <c r="G11" s="175">
        <f>SUM(G6:G8)</f>
        <v>2105314.1285714284</v>
      </c>
      <c r="H11" s="175">
        <f>SUM(H6:H8)</f>
        <v>1490231.7933333332</v>
      </c>
      <c r="I11" s="176">
        <f>SUM(I6:I10)</f>
        <v>6067150.3185714278</v>
      </c>
      <c r="J11" s="176">
        <f>SUM(J6:J10)</f>
        <v>5014173.8160000006</v>
      </c>
      <c r="K11" s="177">
        <f>I11-J11</f>
        <v>1052976.5025714273</v>
      </c>
      <c r="L11" s="178">
        <f>SUM(L6:L10)</f>
        <v>6574.839289031449</v>
      </c>
      <c r="M11" s="178">
        <f>SUM(M6:M10)</f>
        <v>41130.678091340618</v>
      </c>
      <c r="N11" s="178">
        <f>SUM(N6:N10)</f>
        <v>42021.497298958959</v>
      </c>
      <c r="O11" s="178">
        <f>SUM(O6:O10)</f>
        <v>29756.296762104113</v>
      </c>
      <c r="P11" s="178">
        <f>SUM(P6:P10)</f>
        <v>119483.31144143513</v>
      </c>
      <c r="R11" s="179"/>
      <c r="S11" s="179"/>
      <c r="T11" s="179"/>
      <c r="U11" s="180"/>
      <c r="V11" s="170"/>
      <c r="W11" s="170"/>
      <c r="X11" s="136"/>
      <c r="Y11" s="136"/>
      <c r="Z11" s="136"/>
    </row>
    <row r="12" spans="1:26" x14ac:dyDescent="0.25">
      <c r="B12" s="139"/>
      <c r="C12" s="150"/>
      <c r="D12" s="136"/>
      <c r="E12" s="150"/>
      <c r="F12" s="151"/>
      <c r="H12" s="177"/>
      <c r="J12" s="177"/>
      <c r="L12" s="153"/>
      <c r="U12" s="136"/>
      <c r="V12" s="139"/>
      <c r="X12" s="136"/>
      <c r="Y12" s="136"/>
      <c r="Z12" s="136"/>
    </row>
    <row r="13" spans="1:26" ht="15.75" x14ac:dyDescent="0.25">
      <c r="A13" s="181" t="s">
        <v>379</v>
      </c>
      <c r="B13" s="182" t="s">
        <v>380</v>
      </c>
      <c r="C13" s="183"/>
      <c r="D13" s="184" t="s">
        <v>206</v>
      </c>
      <c r="E13" s="185">
        <v>2</v>
      </c>
      <c r="F13" s="186" t="s">
        <v>356</v>
      </c>
      <c r="G13" s="136">
        <v>1800</v>
      </c>
      <c r="H13" s="136">
        <f>G13*E13/12</f>
        <v>300</v>
      </c>
      <c r="S13" s="135"/>
      <c r="T13" s="187"/>
      <c r="U13" s="188"/>
      <c r="V13" s="187"/>
      <c r="W13" s="146"/>
      <c r="X13" s="184"/>
      <c r="Y13" s="184"/>
      <c r="Z13" s="135"/>
    </row>
    <row r="14" spans="1:26" s="184" customFormat="1" ht="54" customHeight="1" x14ac:dyDescent="0.25">
      <c r="A14" s="189" t="s">
        <v>0</v>
      </c>
      <c r="B14" s="189" t="s">
        <v>144</v>
      </c>
      <c r="C14" s="190" t="s">
        <v>136</v>
      </c>
      <c r="D14" s="189" t="s">
        <v>138</v>
      </c>
      <c r="E14" s="160" t="s">
        <v>133</v>
      </c>
      <c r="F14" s="191" t="s">
        <v>108</v>
      </c>
      <c r="G14" s="191" t="s">
        <v>2</v>
      </c>
      <c r="H14" s="160" t="s">
        <v>146</v>
      </c>
      <c r="I14" s="191" t="s">
        <v>108</v>
      </c>
      <c r="J14" s="191" t="s">
        <v>15</v>
      </c>
      <c r="K14" s="160" t="s">
        <v>194</v>
      </c>
      <c r="L14" s="192" t="s">
        <v>108</v>
      </c>
      <c r="M14" s="192" t="s">
        <v>195</v>
      </c>
      <c r="N14" s="192" t="s">
        <v>190</v>
      </c>
      <c r="O14" s="191" t="s">
        <v>411</v>
      </c>
      <c r="P14" s="191" t="s">
        <v>108</v>
      </c>
      <c r="Q14" s="191" t="s">
        <v>412</v>
      </c>
      <c r="R14" s="189" t="s">
        <v>147</v>
      </c>
      <c r="S14" s="189" t="s">
        <v>137</v>
      </c>
      <c r="T14" s="189" t="s">
        <v>204</v>
      </c>
      <c r="U14" s="192" t="s">
        <v>198</v>
      </c>
      <c r="V14" s="192" t="s">
        <v>205</v>
      </c>
      <c r="W14" s="192" t="s">
        <v>154</v>
      </c>
      <c r="X14" s="193"/>
      <c r="Y14" s="193"/>
    </row>
    <row r="15" spans="1:26" s="205" customFormat="1" x14ac:dyDescent="0.25">
      <c r="A15" s="194" t="s">
        <v>210</v>
      </c>
      <c r="B15" s="194" t="s">
        <v>211</v>
      </c>
      <c r="C15" s="195" t="s">
        <v>212</v>
      </c>
      <c r="D15" s="196" t="s">
        <v>213</v>
      </c>
      <c r="E15" s="197">
        <v>46.49499284692417</v>
      </c>
      <c r="F15" s="198">
        <f>+Perfils!$G$15</f>
        <v>46.6</v>
      </c>
      <c r="G15" s="199">
        <f>+ROUND(E15*F15,2)</f>
        <v>2166.67</v>
      </c>
      <c r="H15" s="197">
        <v>99.542106310969544</v>
      </c>
      <c r="I15" s="198">
        <f>+Perfils!$G$28</f>
        <v>50.23</v>
      </c>
      <c r="J15" s="199">
        <f t="shared" ref="J15:J54" si="1">+ROUND(H15*I15,2)</f>
        <v>5000</v>
      </c>
      <c r="K15" s="197">
        <v>40.056695630738886</v>
      </c>
      <c r="L15" s="198">
        <f>+Perfils!$G$41</f>
        <v>54.09</v>
      </c>
      <c r="M15" s="199">
        <f t="shared" ref="M15:M54" si="2">+ROUND(K15*L15,2)</f>
        <v>2166.67</v>
      </c>
      <c r="N15" s="198">
        <v>0</v>
      </c>
      <c r="O15" s="197">
        <f t="shared" ref="O15:O54" si="3">+Q15/P15</f>
        <v>0</v>
      </c>
      <c r="P15" s="198">
        <f>+Perfils!$G$28</f>
        <v>50.23</v>
      </c>
      <c r="Q15" s="199">
        <v>0</v>
      </c>
      <c r="R15" s="200">
        <f>+$B$2</f>
        <v>44814</v>
      </c>
      <c r="S15" s="200">
        <f>+$B$3</f>
        <v>44875</v>
      </c>
      <c r="T15" s="201">
        <v>2</v>
      </c>
      <c r="U15" s="202">
        <v>2333.333333333333</v>
      </c>
      <c r="V15" s="203">
        <f>+G15+J15+M15+N15+Q15</f>
        <v>9333.34</v>
      </c>
      <c r="W15" s="203">
        <f>SUM(U15:V15)</f>
        <v>11666.673333333332</v>
      </c>
      <c r="X15" s="204"/>
      <c r="Y15" s="204"/>
      <c r="Z15" s="204"/>
    </row>
    <row r="16" spans="1:26" s="205" customFormat="1" x14ac:dyDescent="0.25">
      <c r="A16" s="194" t="s">
        <v>210</v>
      </c>
      <c r="B16" s="194" t="s">
        <v>211</v>
      </c>
      <c r="C16" s="195" t="s">
        <v>214</v>
      </c>
      <c r="D16" s="196" t="s">
        <v>215</v>
      </c>
      <c r="E16" s="197">
        <v>28.612303290414875</v>
      </c>
      <c r="F16" s="198">
        <f>+Perfils!$G$15</f>
        <v>46.6</v>
      </c>
      <c r="G16" s="199">
        <f t="shared" ref="G16:G54" si="4">+ROUND(E16*F16,2)</f>
        <v>1333.33</v>
      </c>
      <c r="H16" s="197">
        <v>82.951755259141279</v>
      </c>
      <c r="I16" s="198">
        <f>+Perfils!$G$28</f>
        <v>50.23</v>
      </c>
      <c r="J16" s="199">
        <f t="shared" si="1"/>
        <v>4166.67</v>
      </c>
      <c r="K16" s="197">
        <v>40.056695630738886</v>
      </c>
      <c r="L16" s="198">
        <f>+Perfils!$G$41</f>
        <v>54.09</v>
      </c>
      <c r="M16" s="199">
        <f t="shared" si="2"/>
        <v>2166.67</v>
      </c>
      <c r="N16" s="198">
        <v>0</v>
      </c>
      <c r="O16" s="197">
        <f t="shared" si="3"/>
        <v>0</v>
      </c>
      <c r="P16" s="198">
        <f>+Perfils!$G$28</f>
        <v>50.23</v>
      </c>
      <c r="Q16" s="199">
        <v>0</v>
      </c>
      <c r="R16" s="200">
        <f t="shared" ref="R16:R50" si="5">+$B$2</f>
        <v>44814</v>
      </c>
      <c r="S16" s="200">
        <f t="shared" ref="S16:S50" si="6">+$B$3</f>
        <v>44875</v>
      </c>
      <c r="T16" s="201">
        <v>2</v>
      </c>
      <c r="U16" s="203">
        <v>1916.6666666666665</v>
      </c>
      <c r="V16" s="203">
        <f t="shared" ref="V16:V54" si="7">+G16+J16+M16+N16+Q16</f>
        <v>7666.67</v>
      </c>
      <c r="W16" s="203">
        <f>SUM(U16:V16)</f>
        <v>9583.3366666666661</v>
      </c>
      <c r="X16" s="204"/>
      <c r="Y16" s="204"/>
      <c r="Z16" s="204"/>
    </row>
    <row r="17" spans="1:26" s="205" customFormat="1" x14ac:dyDescent="0.25">
      <c r="A17" s="194" t="s">
        <v>210</v>
      </c>
      <c r="B17" s="194" t="s">
        <v>211</v>
      </c>
      <c r="C17" s="195" t="s">
        <v>216</v>
      </c>
      <c r="D17" s="196" t="s">
        <v>217</v>
      </c>
      <c r="E17" s="197">
        <v>35.765379113018597</v>
      </c>
      <c r="F17" s="198">
        <f>+Perfils!$G$15</f>
        <v>46.6</v>
      </c>
      <c r="G17" s="199">
        <f t="shared" si="4"/>
        <v>1666.67</v>
      </c>
      <c r="H17" s="197">
        <v>99.542106310969544</v>
      </c>
      <c r="I17" s="198">
        <f>+Perfils!$G$28</f>
        <v>50.23</v>
      </c>
      <c r="J17" s="199">
        <f t="shared" si="1"/>
        <v>5000</v>
      </c>
      <c r="K17" s="197">
        <v>67.788254144327354</v>
      </c>
      <c r="L17" s="198">
        <f>+Perfils!$G$41</f>
        <v>54.09</v>
      </c>
      <c r="M17" s="199">
        <f t="shared" si="2"/>
        <v>3666.67</v>
      </c>
      <c r="N17" s="198">
        <v>0</v>
      </c>
      <c r="O17" s="197">
        <f t="shared" si="3"/>
        <v>0</v>
      </c>
      <c r="P17" s="198">
        <f>+Perfils!$G$28</f>
        <v>50.23</v>
      </c>
      <c r="Q17" s="199">
        <v>0</v>
      </c>
      <c r="R17" s="200">
        <f t="shared" si="5"/>
        <v>44814</v>
      </c>
      <c r="S17" s="200">
        <f t="shared" si="6"/>
        <v>44875</v>
      </c>
      <c r="T17" s="201">
        <v>2</v>
      </c>
      <c r="U17" s="203">
        <v>2583.333333333333</v>
      </c>
      <c r="V17" s="203">
        <f t="shared" si="7"/>
        <v>10333.34</v>
      </c>
      <c r="W17" s="203">
        <f t="shared" ref="W17:W54" si="8">SUM(U17:V17)</f>
        <v>12916.673333333332</v>
      </c>
      <c r="X17" s="204"/>
      <c r="Y17" s="204"/>
      <c r="Z17" s="204"/>
    </row>
    <row r="18" spans="1:26" s="205" customFormat="1" x14ac:dyDescent="0.25">
      <c r="A18" s="194" t="s">
        <v>218</v>
      </c>
      <c r="B18" s="194" t="s">
        <v>219</v>
      </c>
      <c r="C18" s="195" t="s">
        <v>220</v>
      </c>
      <c r="D18" s="196" t="s">
        <v>221</v>
      </c>
      <c r="E18" s="197">
        <v>28.612303290414875</v>
      </c>
      <c r="F18" s="198">
        <f>+Perfils!$G$15</f>
        <v>46.6</v>
      </c>
      <c r="G18" s="199">
        <f t="shared" si="4"/>
        <v>1333.33</v>
      </c>
      <c r="H18" s="197">
        <v>19.908421262193908</v>
      </c>
      <c r="I18" s="198">
        <f>+Perfils!$G$28</f>
        <v>50.23</v>
      </c>
      <c r="J18" s="199">
        <f t="shared" si="1"/>
        <v>1000</v>
      </c>
      <c r="K18" s="197">
        <v>12.325137117150426</v>
      </c>
      <c r="L18" s="198">
        <f>+Perfils!$G$41</f>
        <v>54.09</v>
      </c>
      <c r="M18" s="199">
        <f t="shared" si="2"/>
        <v>666.67</v>
      </c>
      <c r="N18" s="198">
        <v>0</v>
      </c>
      <c r="O18" s="197">
        <f t="shared" si="3"/>
        <v>0</v>
      </c>
      <c r="P18" s="198">
        <f>+Perfils!$G$28</f>
        <v>50.23</v>
      </c>
      <c r="Q18" s="199">
        <v>0</v>
      </c>
      <c r="R18" s="200">
        <f t="shared" si="5"/>
        <v>44814</v>
      </c>
      <c r="S18" s="200">
        <f t="shared" si="6"/>
        <v>44875</v>
      </c>
      <c r="T18" s="201">
        <v>2</v>
      </c>
      <c r="U18" s="203">
        <v>749.99999999999989</v>
      </c>
      <c r="V18" s="203">
        <f t="shared" si="7"/>
        <v>3000</v>
      </c>
      <c r="W18" s="203">
        <f t="shared" si="8"/>
        <v>3750</v>
      </c>
      <c r="X18" s="204"/>
      <c r="Y18" s="204"/>
      <c r="Z18" s="204"/>
    </row>
    <row r="19" spans="1:26" s="205" customFormat="1" x14ac:dyDescent="0.25">
      <c r="A19" s="194" t="s">
        <v>222</v>
      </c>
      <c r="B19" s="194" t="s">
        <v>223</v>
      </c>
      <c r="C19" s="195" t="s">
        <v>224</v>
      </c>
      <c r="D19" s="196" t="s">
        <v>225</v>
      </c>
      <c r="E19" s="197">
        <v>14.306151645207438</v>
      </c>
      <c r="F19" s="198">
        <f>+Perfils!$G$15</f>
        <v>46.6</v>
      </c>
      <c r="G19" s="199">
        <f t="shared" si="4"/>
        <v>666.67</v>
      </c>
      <c r="H19" s="197">
        <v>9.954210631096954</v>
      </c>
      <c r="I19" s="198">
        <f>+Perfils!$G$28</f>
        <v>50.23</v>
      </c>
      <c r="J19" s="199">
        <f t="shared" si="1"/>
        <v>500</v>
      </c>
      <c r="K19" s="197">
        <v>6.162568558575213</v>
      </c>
      <c r="L19" s="198">
        <f>+Perfils!$G$41</f>
        <v>54.09</v>
      </c>
      <c r="M19" s="199">
        <f t="shared" si="2"/>
        <v>333.33</v>
      </c>
      <c r="N19" s="198">
        <v>0</v>
      </c>
      <c r="O19" s="197">
        <f t="shared" si="3"/>
        <v>0</v>
      </c>
      <c r="P19" s="198">
        <f>+Perfils!$G$28</f>
        <v>50.23</v>
      </c>
      <c r="Q19" s="199">
        <v>0</v>
      </c>
      <c r="R19" s="200">
        <f t="shared" si="5"/>
        <v>44814</v>
      </c>
      <c r="S19" s="200">
        <f t="shared" si="6"/>
        <v>44875</v>
      </c>
      <c r="T19" s="201">
        <v>2</v>
      </c>
      <c r="U19" s="203">
        <v>374.99999999999994</v>
      </c>
      <c r="V19" s="203">
        <f t="shared" si="7"/>
        <v>1500</v>
      </c>
      <c r="W19" s="203">
        <f>SUM(U19:V19)</f>
        <v>1875</v>
      </c>
      <c r="X19" s="204"/>
      <c r="Y19" s="204"/>
      <c r="Z19" s="204"/>
    </row>
    <row r="20" spans="1:26" s="205" customFormat="1" x14ac:dyDescent="0.25">
      <c r="A20" s="194" t="s">
        <v>222</v>
      </c>
      <c r="B20" s="194" t="s">
        <v>223</v>
      </c>
      <c r="C20" s="195" t="s">
        <v>226</v>
      </c>
      <c r="D20" s="196" t="s">
        <v>227</v>
      </c>
      <c r="E20" s="197">
        <v>3.5765379113018594</v>
      </c>
      <c r="F20" s="198">
        <f>+Perfils!$G$15</f>
        <v>46.6</v>
      </c>
      <c r="G20" s="199">
        <f t="shared" si="4"/>
        <v>166.67</v>
      </c>
      <c r="H20" s="197">
        <v>3.3180702103656512</v>
      </c>
      <c r="I20" s="198">
        <f>+Perfils!$G$28</f>
        <v>50.23</v>
      </c>
      <c r="J20" s="199">
        <f t="shared" si="1"/>
        <v>166.67</v>
      </c>
      <c r="K20" s="197">
        <v>1.5406421396438033</v>
      </c>
      <c r="L20" s="198">
        <f>+Perfils!$G$41</f>
        <v>54.09</v>
      </c>
      <c r="M20" s="199">
        <f t="shared" si="2"/>
        <v>83.33</v>
      </c>
      <c r="N20" s="198">
        <v>0</v>
      </c>
      <c r="O20" s="197">
        <f t="shared" si="3"/>
        <v>0</v>
      </c>
      <c r="P20" s="198">
        <f>+Perfils!$G$28</f>
        <v>50.23</v>
      </c>
      <c r="Q20" s="199">
        <v>0</v>
      </c>
      <c r="R20" s="200">
        <f t="shared" si="5"/>
        <v>44814</v>
      </c>
      <c r="S20" s="200">
        <f t="shared" si="6"/>
        <v>44875</v>
      </c>
      <c r="T20" s="201">
        <v>2</v>
      </c>
      <c r="U20" s="203">
        <v>104.16666666666666</v>
      </c>
      <c r="V20" s="203">
        <f t="shared" si="7"/>
        <v>416.66999999999996</v>
      </c>
      <c r="W20" s="203">
        <f t="shared" si="8"/>
        <v>520.83666666666659</v>
      </c>
      <c r="X20" s="204"/>
      <c r="Y20" s="204"/>
      <c r="Z20" s="204"/>
    </row>
    <row r="21" spans="1:26" s="205" customFormat="1" x14ac:dyDescent="0.25">
      <c r="A21" s="194" t="s">
        <v>222</v>
      </c>
      <c r="B21" s="194" t="s">
        <v>223</v>
      </c>
      <c r="C21" s="195" t="s">
        <v>228</v>
      </c>
      <c r="D21" s="196" t="s">
        <v>229</v>
      </c>
      <c r="E21" s="197">
        <v>3.5765379113018594</v>
      </c>
      <c r="F21" s="198">
        <f>+Perfils!$G$15</f>
        <v>46.6</v>
      </c>
      <c r="G21" s="199">
        <f t="shared" si="4"/>
        <v>166.67</v>
      </c>
      <c r="H21" s="197">
        <v>3.3180702103656512</v>
      </c>
      <c r="I21" s="198">
        <f>+Perfils!$G$28</f>
        <v>50.23</v>
      </c>
      <c r="J21" s="199">
        <f t="shared" si="1"/>
        <v>166.67</v>
      </c>
      <c r="K21" s="197">
        <v>1.5406421396438033</v>
      </c>
      <c r="L21" s="198">
        <f>+Perfils!$G$41</f>
        <v>54.09</v>
      </c>
      <c r="M21" s="199">
        <f t="shared" si="2"/>
        <v>83.33</v>
      </c>
      <c r="N21" s="198">
        <v>0</v>
      </c>
      <c r="O21" s="197">
        <f t="shared" si="3"/>
        <v>0</v>
      </c>
      <c r="P21" s="198">
        <f>+Perfils!$G$28</f>
        <v>50.23</v>
      </c>
      <c r="Q21" s="199">
        <v>0</v>
      </c>
      <c r="R21" s="200">
        <f t="shared" si="5"/>
        <v>44814</v>
      </c>
      <c r="S21" s="200">
        <f t="shared" si="6"/>
        <v>44875</v>
      </c>
      <c r="T21" s="201">
        <v>2</v>
      </c>
      <c r="U21" s="203">
        <v>104.16666666666666</v>
      </c>
      <c r="V21" s="203">
        <f t="shared" si="7"/>
        <v>416.66999999999996</v>
      </c>
      <c r="W21" s="203">
        <f t="shared" si="8"/>
        <v>520.83666666666659</v>
      </c>
      <c r="X21" s="204"/>
      <c r="Y21" s="204"/>
      <c r="Z21" s="204"/>
    </row>
    <row r="22" spans="1:26" s="205" customFormat="1" x14ac:dyDescent="0.25">
      <c r="A22" s="194" t="s">
        <v>230</v>
      </c>
      <c r="B22" s="194" t="s">
        <v>231</v>
      </c>
      <c r="C22" s="195" t="s">
        <v>232</v>
      </c>
      <c r="D22" s="196" t="s">
        <v>233</v>
      </c>
      <c r="E22" s="197">
        <v>14.306151645207438</v>
      </c>
      <c r="F22" s="198">
        <f>+Perfils!$G$15</f>
        <v>46.6</v>
      </c>
      <c r="G22" s="199">
        <f t="shared" si="4"/>
        <v>666.67</v>
      </c>
      <c r="H22" s="197">
        <v>99.542106310969544</v>
      </c>
      <c r="I22" s="198">
        <f>+Perfils!$G$28</f>
        <v>50.23</v>
      </c>
      <c r="J22" s="199">
        <f t="shared" si="1"/>
        <v>5000</v>
      </c>
      <c r="K22" s="197">
        <v>9.2438528378628213</v>
      </c>
      <c r="L22" s="198">
        <f>+Perfils!$G$41</f>
        <v>54.09</v>
      </c>
      <c r="M22" s="199">
        <f t="shared" si="2"/>
        <v>500</v>
      </c>
      <c r="N22" s="198">
        <v>0</v>
      </c>
      <c r="O22" s="197">
        <f t="shared" si="3"/>
        <v>0</v>
      </c>
      <c r="P22" s="198">
        <f>+Perfils!$G$28</f>
        <v>50.23</v>
      </c>
      <c r="Q22" s="199">
        <v>0</v>
      </c>
      <c r="R22" s="200">
        <f t="shared" si="5"/>
        <v>44814</v>
      </c>
      <c r="S22" s="200">
        <f t="shared" si="6"/>
        <v>44875</v>
      </c>
      <c r="T22" s="201">
        <v>2</v>
      </c>
      <c r="U22" s="203">
        <v>1541.6666666666667</v>
      </c>
      <c r="V22" s="203">
        <f t="shared" si="7"/>
        <v>6166.67</v>
      </c>
      <c r="W22" s="203">
        <f t="shared" si="8"/>
        <v>7708.336666666667</v>
      </c>
      <c r="X22" s="204"/>
      <c r="Y22" s="204"/>
      <c r="Z22" s="204"/>
    </row>
    <row r="23" spans="1:26" s="205" customFormat="1" x14ac:dyDescent="0.25">
      <c r="A23" s="194" t="s">
        <v>234</v>
      </c>
      <c r="B23" s="194" t="s">
        <v>235</v>
      </c>
      <c r="C23" s="195" t="s">
        <v>306</v>
      </c>
      <c r="D23" s="196" t="s">
        <v>307</v>
      </c>
      <c r="E23" s="197">
        <v>14.306151645207438</v>
      </c>
      <c r="F23" s="198">
        <f>+Perfils!$G$15</f>
        <v>46.6</v>
      </c>
      <c r="G23" s="199">
        <f t="shared" si="4"/>
        <v>666.67</v>
      </c>
      <c r="H23" s="197">
        <v>19.908421262193908</v>
      </c>
      <c r="I23" s="198">
        <f>+Perfils!$G$28</f>
        <v>50.23</v>
      </c>
      <c r="J23" s="199">
        <f t="shared" si="1"/>
        <v>1000</v>
      </c>
      <c r="K23" s="197">
        <v>6.162568558575213</v>
      </c>
      <c r="L23" s="198">
        <f>+Perfils!$G$41</f>
        <v>54.09</v>
      </c>
      <c r="M23" s="199">
        <f t="shared" si="2"/>
        <v>333.33</v>
      </c>
      <c r="N23" s="198">
        <v>0</v>
      </c>
      <c r="O23" s="197">
        <f t="shared" si="3"/>
        <v>0</v>
      </c>
      <c r="P23" s="198">
        <f>+Perfils!$G$28</f>
        <v>50.23</v>
      </c>
      <c r="Q23" s="199">
        <v>0</v>
      </c>
      <c r="R23" s="200">
        <f t="shared" si="5"/>
        <v>44814</v>
      </c>
      <c r="S23" s="200">
        <f t="shared" si="6"/>
        <v>44875</v>
      </c>
      <c r="T23" s="201">
        <v>2</v>
      </c>
      <c r="U23" s="203">
        <v>499.99999999999994</v>
      </c>
      <c r="V23" s="203">
        <f t="shared" si="7"/>
        <v>2000</v>
      </c>
      <c r="W23" s="203">
        <f t="shared" si="8"/>
        <v>2500</v>
      </c>
      <c r="X23" s="204"/>
      <c r="Y23" s="204"/>
      <c r="Z23" s="204"/>
    </row>
    <row r="24" spans="1:26" s="205" customFormat="1" ht="14.85" customHeight="1" x14ac:dyDescent="0.25">
      <c r="A24" s="194" t="s">
        <v>234</v>
      </c>
      <c r="B24" s="194" t="s">
        <v>235</v>
      </c>
      <c r="C24" s="195" t="s">
        <v>236</v>
      </c>
      <c r="D24" s="196" t="s">
        <v>237</v>
      </c>
      <c r="E24" s="197">
        <v>14.306151645207438</v>
      </c>
      <c r="F24" s="198">
        <f>+Perfils!$G$15</f>
        <v>46.6</v>
      </c>
      <c r="G24" s="199">
        <f t="shared" si="4"/>
        <v>666.67</v>
      </c>
      <c r="H24" s="197">
        <v>19.908421262193908</v>
      </c>
      <c r="I24" s="198">
        <f>+Perfils!$G$28</f>
        <v>50.23</v>
      </c>
      <c r="J24" s="199">
        <f t="shared" si="1"/>
        <v>1000</v>
      </c>
      <c r="K24" s="197">
        <v>9.2438528378628213</v>
      </c>
      <c r="L24" s="198">
        <f>+Perfils!$G$41</f>
        <v>54.09</v>
      </c>
      <c r="M24" s="199">
        <f t="shared" si="2"/>
        <v>500</v>
      </c>
      <c r="N24" s="198">
        <v>0</v>
      </c>
      <c r="O24" s="197">
        <f t="shared" si="3"/>
        <v>0</v>
      </c>
      <c r="P24" s="198">
        <f>+Perfils!$G$28</f>
        <v>50.23</v>
      </c>
      <c r="Q24" s="199">
        <v>0</v>
      </c>
      <c r="R24" s="200">
        <f t="shared" si="5"/>
        <v>44814</v>
      </c>
      <c r="S24" s="200">
        <f t="shared" si="6"/>
        <v>44875</v>
      </c>
      <c r="T24" s="201">
        <v>2</v>
      </c>
      <c r="U24" s="203">
        <v>541.66666666666663</v>
      </c>
      <c r="V24" s="203">
        <f t="shared" si="7"/>
        <v>2166.67</v>
      </c>
      <c r="W24" s="203">
        <f t="shared" si="8"/>
        <v>2708.3366666666666</v>
      </c>
      <c r="X24" s="204"/>
      <c r="Y24" s="204"/>
      <c r="Z24" s="204"/>
    </row>
    <row r="25" spans="1:26" s="205" customFormat="1" x14ac:dyDescent="0.25">
      <c r="A25" s="194" t="s">
        <v>238</v>
      </c>
      <c r="B25" s="194" t="s">
        <v>239</v>
      </c>
      <c r="C25" s="195" t="s">
        <v>240</v>
      </c>
      <c r="D25" s="196" t="s">
        <v>241</v>
      </c>
      <c r="E25" s="197">
        <v>17.882689556509298</v>
      </c>
      <c r="F25" s="198">
        <f>+Perfils!$G$15</f>
        <v>46.6</v>
      </c>
      <c r="G25" s="199">
        <f t="shared" si="4"/>
        <v>833.33</v>
      </c>
      <c r="H25" s="197">
        <v>116.13245736279779</v>
      </c>
      <c r="I25" s="198">
        <f>+Perfils!$G$28</f>
        <v>50.23</v>
      </c>
      <c r="J25" s="199">
        <f t="shared" si="1"/>
        <v>5833.33</v>
      </c>
      <c r="K25" s="197">
        <v>18.487705675725643</v>
      </c>
      <c r="L25" s="198">
        <f>+Perfils!$G$41</f>
        <v>54.09</v>
      </c>
      <c r="M25" s="199">
        <f t="shared" si="2"/>
        <v>1000</v>
      </c>
      <c r="N25" s="198">
        <v>0</v>
      </c>
      <c r="O25" s="197">
        <f t="shared" si="3"/>
        <v>0</v>
      </c>
      <c r="P25" s="198">
        <f>+Perfils!$G$28</f>
        <v>50.23</v>
      </c>
      <c r="Q25" s="199">
        <v>0</v>
      </c>
      <c r="R25" s="200">
        <f t="shared" si="5"/>
        <v>44814</v>
      </c>
      <c r="S25" s="200">
        <f t="shared" si="6"/>
        <v>44875</v>
      </c>
      <c r="T25" s="201">
        <v>2</v>
      </c>
      <c r="U25" s="203">
        <v>1916.6666666666665</v>
      </c>
      <c r="V25" s="203">
        <f t="shared" si="7"/>
        <v>7666.66</v>
      </c>
      <c r="W25" s="203">
        <f t="shared" si="8"/>
        <v>9583.3266666666659</v>
      </c>
      <c r="X25" s="204"/>
      <c r="Y25" s="204"/>
      <c r="Z25" s="204"/>
    </row>
    <row r="26" spans="1:26" s="205" customFormat="1" x14ac:dyDescent="0.25">
      <c r="A26" s="194" t="s">
        <v>242</v>
      </c>
      <c r="B26" s="194" t="s">
        <v>243</v>
      </c>
      <c r="C26" s="195" t="s">
        <v>244</v>
      </c>
      <c r="D26" s="196" t="s">
        <v>245</v>
      </c>
      <c r="E26" s="197">
        <v>28.612303290414875</v>
      </c>
      <c r="F26" s="198">
        <f>+Perfils!$G$15</f>
        <v>46.6</v>
      </c>
      <c r="G26" s="199">
        <f t="shared" si="4"/>
        <v>1333.33</v>
      </c>
      <c r="H26" s="197">
        <v>66.361404207313029</v>
      </c>
      <c r="I26" s="198">
        <f>+Perfils!$G$28</f>
        <v>50.23</v>
      </c>
      <c r="J26" s="199">
        <f t="shared" si="1"/>
        <v>3333.33</v>
      </c>
      <c r="K26" s="197">
        <v>18.487705675725643</v>
      </c>
      <c r="L26" s="198">
        <f>+Perfils!$G$41</f>
        <v>54.09</v>
      </c>
      <c r="M26" s="199">
        <f t="shared" si="2"/>
        <v>1000</v>
      </c>
      <c r="N26" s="198">
        <v>0</v>
      </c>
      <c r="O26" s="197">
        <f t="shared" si="3"/>
        <v>0</v>
      </c>
      <c r="P26" s="198">
        <f>+Perfils!$G$28</f>
        <v>50.23</v>
      </c>
      <c r="Q26" s="199">
        <v>0</v>
      </c>
      <c r="R26" s="200">
        <f t="shared" si="5"/>
        <v>44814</v>
      </c>
      <c r="S26" s="200">
        <f t="shared" si="6"/>
        <v>44875</v>
      </c>
      <c r="T26" s="201">
        <v>2</v>
      </c>
      <c r="U26" s="203">
        <v>1416.6666666666665</v>
      </c>
      <c r="V26" s="203">
        <f t="shared" si="7"/>
        <v>5666.66</v>
      </c>
      <c r="W26" s="203">
        <f t="shared" si="8"/>
        <v>7083.3266666666659</v>
      </c>
      <c r="X26" s="204"/>
      <c r="Y26" s="204"/>
      <c r="Z26" s="204"/>
    </row>
    <row r="27" spans="1:26" s="205" customFormat="1" x14ac:dyDescent="0.25">
      <c r="A27" s="194" t="s">
        <v>238</v>
      </c>
      <c r="B27" s="194" t="s">
        <v>239</v>
      </c>
      <c r="C27" s="195" t="s">
        <v>246</v>
      </c>
      <c r="D27" s="196" t="s">
        <v>247</v>
      </c>
      <c r="E27" s="197">
        <v>17.882689556509298</v>
      </c>
      <c r="F27" s="198">
        <f>+Perfils!$G$15</f>
        <v>46.6</v>
      </c>
      <c r="G27" s="199">
        <f t="shared" si="4"/>
        <v>833.33</v>
      </c>
      <c r="H27" s="197">
        <v>19.908421262193908</v>
      </c>
      <c r="I27" s="198">
        <f>+Perfils!$G$28</f>
        <v>50.23</v>
      </c>
      <c r="J27" s="199">
        <f t="shared" si="1"/>
        <v>1000</v>
      </c>
      <c r="K27" s="197">
        <v>12.325137117150426</v>
      </c>
      <c r="L27" s="198">
        <f>+Perfils!$G$41</f>
        <v>54.09</v>
      </c>
      <c r="M27" s="199">
        <f t="shared" si="2"/>
        <v>666.67</v>
      </c>
      <c r="N27" s="198">
        <v>0</v>
      </c>
      <c r="O27" s="197">
        <f t="shared" si="3"/>
        <v>0</v>
      </c>
      <c r="P27" s="198">
        <f>+Perfils!$G$28</f>
        <v>50.23</v>
      </c>
      <c r="Q27" s="199">
        <v>0</v>
      </c>
      <c r="R27" s="200">
        <f t="shared" si="5"/>
        <v>44814</v>
      </c>
      <c r="S27" s="200">
        <f t="shared" si="6"/>
        <v>44875</v>
      </c>
      <c r="T27" s="201">
        <v>2</v>
      </c>
      <c r="U27" s="203">
        <v>625</v>
      </c>
      <c r="V27" s="203">
        <f t="shared" si="7"/>
        <v>2500</v>
      </c>
      <c r="W27" s="203">
        <f t="shared" si="8"/>
        <v>3125</v>
      </c>
      <c r="X27" s="204"/>
      <c r="Y27" s="204"/>
      <c r="Z27" s="204"/>
    </row>
    <row r="28" spans="1:26" s="205" customFormat="1" x14ac:dyDescent="0.25">
      <c r="A28" s="194" t="s">
        <v>248</v>
      </c>
      <c r="B28" s="194" t="s">
        <v>249</v>
      </c>
      <c r="C28" s="195" t="s">
        <v>250</v>
      </c>
      <c r="D28" s="196" t="s">
        <v>251</v>
      </c>
      <c r="E28" s="197">
        <v>14.306151645207438</v>
      </c>
      <c r="F28" s="198">
        <f>+Perfils!$G$15</f>
        <v>46.6</v>
      </c>
      <c r="G28" s="199">
        <f t="shared" si="4"/>
        <v>666.67</v>
      </c>
      <c r="H28" s="197">
        <v>66.361404207313029</v>
      </c>
      <c r="I28" s="198">
        <f>+Perfils!$G$28</f>
        <v>50.23</v>
      </c>
      <c r="J28" s="199">
        <f t="shared" si="1"/>
        <v>3333.33</v>
      </c>
      <c r="K28" s="197">
        <v>30.812842792876065</v>
      </c>
      <c r="L28" s="198">
        <f>+Perfils!$G$41</f>
        <v>54.09</v>
      </c>
      <c r="M28" s="199">
        <f t="shared" si="2"/>
        <v>1666.67</v>
      </c>
      <c r="N28" s="198">
        <v>0</v>
      </c>
      <c r="O28" s="197">
        <f t="shared" si="3"/>
        <v>0</v>
      </c>
      <c r="P28" s="198">
        <f>+Perfils!$G$28</f>
        <v>50.23</v>
      </c>
      <c r="Q28" s="199">
        <v>0</v>
      </c>
      <c r="R28" s="200">
        <f t="shared" si="5"/>
        <v>44814</v>
      </c>
      <c r="S28" s="200">
        <f t="shared" si="6"/>
        <v>44875</v>
      </c>
      <c r="T28" s="201">
        <v>2</v>
      </c>
      <c r="U28" s="203">
        <v>1416.6666666666665</v>
      </c>
      <c r="V28" s="203">
        <f t="shared" si="7"/>
        <v>5666.67</v>
      </c>
      <c r="W28" s="203">
        <f t="shared" si="8"/>
        <v>7083.3366666666661</v>
      </c>
      <c r="X28" s="204"/>
      <c r="Y28" s="204"/>
      <c r="Z28" s="204"/>
    </row>
    <row r="29" spans="1:26" s="205" customFormat="1" x14ac:dyDescent="0.25">
      <c r="A29" s="194" t="s">
        <v>286</v>
      </c>
      <c r="B29" s="194" t="s">
        <v>287</v>
      </c>
      <c r="C29" s="195" t="s">
        <v>312</v>
      </c>
      <c r="D29" s="196" t="s">
        <v>313</v>
      </c>
      <c r="E29" s="197">
        <v>7.1530758226037188</v>
      </c>
      <c r="F29" s="198">
        <f>+Perfils!$G$15</f>
        <v>46.6</v>
      </c>
      <c r="G29" s="199">
        <f t="shared" si="4"/>
        <v>333.33</v>
      </c>
      <c r="H29" s="197">
        <v>13.272280841462605</v>
      </c>
      <c r="I29" s="198">
        <f>+Perfils!$G$28</f>
        <v>50.23</v>
      </c>
      <c r="J29" s="199">
        <f t="shared" si="1"/>
        <v>666.67</v>
      </c>
      <c r="K29" s="197">
        <v>21.568989955013244</v>
      </c>
      <c r="L29" s="198">
        <f>+Perfils!$G$41</f>
        <v>54.09</v>
      </c>
      <c r="M29" s="199">
        <f t="shared" si="2"/>
        <v>1166.67</v>
      </c>
      <c r="N29" s="198">
        <v>0</v>
      </c>
      <c r="O29" s="197">
        <f t="shared" si="3"/>
        <v>0</v>
      </c>
      <c r="P29" s="198">
        <f>+Perfils!$G$28</f>
        <v>50.23</v>
      </c>
      <c r="Q29" s="199">
        <v>0</v>
      </c>
      <c r="R29" s="200">
        <f t="shared" si="5"/>
        <v>44814</v>
      </c>
      <c r="S29" s="200">
        <f t="shared" si="6"/>
        <v>44875</v>
      </c>
      <c r="T29" s="201">
        <v>2</v>
      </c>
      <c r="U29" s="203">
        <v>541.66666666666663</v>
      </c>
      <c r="V29" s="203">
        <f t="shared" si="7"/>
        <v>2166.67</v>
      </c>
      <c r="W29" s="203">
        <f t="shared" si="8"/>
        <v>2708.3366666666666</v>
      </c>
      <c r="X29" s="204"/>
      <c r="Y29" s="204"/>
      <c r="Z29" s="204"/>
    </row>
    <row r="30" spans="1:26" s="205" customFormat="1" x14ac:dyDescent="0.25">
      <c r="A30" s="194" t="s">
        <v>230</v>
      </c>
      <c r="B30" s="194" t="s">
        <v>231</v>
      </c>
      <c r="C30" s="195" t="s">
        <v>252</v>
      </c>
      <c r="D30" s="196" t="s">
        <v>253</v>
      </c>
      <c r="E30" s="197">
        <v>17.882689556509298</v>
      </c>
      <c r="F30" s="198">
        <f>+Perfils!$G$15</f>
        <v>46.6</v>
      </c>
      <c r="G30" s="199">
        <f t="shared" si="4"/>
        <v>833.33</v>
      </c>
      <c r="H30" s="197">
        <v>16.590351051828257</v>
      </c>
      <c r="I30" s="198">
        <f>+Perfils!$G$28</f>
        <v>50.23</v>
      </c>
      <c r="J30" s="199">
        <f t="shared" si="1"/>
        <v>833.33</v>
      </c>
      <c r="K30" s="197">
        <v>6.162568558575213</v>
      </c>
      <c r="L30" s="198">
        <f>+Perfils!$G$41</f>
        <v>54.09</v>
      </c>
      <c r="M30" s="199">
        <f t="shared" si="2"/>
        <v>333.33</v>
      </c>
      <c r="N30" s="198">
        <v>0</v>
      </c>
      <c r="O30" s="197">
        <f t="shared" si="3"/>
        <v>0</v>
      </c>
      <c r="P30" s="198">
        <f>+Perfils!$G$28</f>
        <v>50.23</v>
      </c>
      <c r="Q30" s="199">
        <v>0</v>
      </c>
      <c r="R30" s="200">
        <f t="shared" si="5"/>
        <v>44814</v>
      </c>
      <c r="S30" s="200">
        <f t="shared" si="6"/>
        <v>44875</v>
      </c>
      <c r="T30" s="201">
        <v>2</v>
      </c>
      <c r="U30" s="203">
        <v>499.99999999999994</v>
      </c>
      <c r="V30" s="203">
        <f t="shared" si="7"/>
        <v>1999.99</v>
      </c>
      <c r="W30" s="203">
        <f t="shared" si="8"/>
        <v>2499.9899999999998</v>
      </c>
      <c r="X30" s="204"/>
      <c r="Y30" s="204"/>
      <c r="Z30" s="204"/>
    </row>
    <row r="31" spans="1:26" s="205" customFormat="1" x14ac:dyDescent="0.25">
      <c r="A31" s="194" t="s">
        <v>230</v>
      </c>
      <c r="B31" s="194" t="s">
        <v>231</v>
      </c>
      <c r="C31" s="195" t="s">
        <v>254</v>
      </c>
      <c r="D31" s="196" t="s">
        <v>255</v>
      </c>
      <c r="E31" s="197">
        <v>17.882689556509298</v>
      </c>
      <c r="F31" s="198">
        <f>+Perfils!$G$15</f>
        <v>46.6</v>
      </c>
      <c r="G31" s="199">
        <f t="shared" si="4"/>
        <v>833.33</v>
      </c>
      <c r="H31" s="197">
        <v>16.590351051828257</v>
      </c>
      <c r="I31" s="198">
        <f>+Perfils!$G$28</f>
        <v>50.23</v>
      </c>
      <c r="J31" s="199">
        <f t="shared" si="1"/>
        <v>833.33</v>
      </c>
      <c r="K31" s="197">
        <v>6.162568558575213</v>
      </c>
      <c r="L31" s="198">
        <f>+Perfils!$G$41</f>
        <v>54.09</v>
      </c>
      <c r="M31" s="199">
        <f t="shared" si="2"/>
        <v>333.33</v>
      </c>
      <c r="N31" s="198">
        <v>0</v>
      </c>
      <c r="O31" s="197">
        <f t="shared" si="3"/>
        <v>0</v>
      </c>
      <c r="P31" s="198">
        <f>+Perfils!$G$28</f>
        <v>50.23</v>
      </c>
      <c r="Q31" s="199">
        <v>0</v>
      </c>
      <c r="R31" s="200">
        <f t="shared" si="5"/>
        <v>44814</v>
      </c>
      <c r="S31" s="200">
        <f t="shared" si="6"/>
        <v>44875</v>
      </c>
      <c r="T31" s="201">
        <v>2</v>
      </c>
      <c r="U31" s="203">
        <v>499.99999999999994</v>
      </c>
      <c r="V31" s="203">
        <f t="shared" si="7"/>
        <v>1999.99</v>
      </c>
      <c r="W31" s="203">
        <f t="shared" si="8"/>
        <v>2499.9899999999998</v>
      </c>
      <c r="X31" s="204"/>
      <c r="Y31" s="204"/>
      <c r="Z31" s="204"/>
    </row>
    <row r="32" spans="1:26" s="205" customFormat="1" x14ac:dyDescent="0.25">
      <c r="A32" s="194" t="s">
        <v>230</v>
      </c>
      <c r="B32" s="194" t="s">
        <v>231</v>
      </c>
      <c r="C32" s="195" t="s">
        <v>256</v>
      </c>
      <c r="D32" s="196" t="s">
        <v>257</v>
      </c>
      <c r="E32" s="197">
        <v>7.1530758226037188</v>
      </c>
      <c r="F32" s="198">
        <f>+Perfils!$G$15</f>
        <v>46.6</v>
      </c>
      <c r="G32" s="199">
        <f t="shared" si="4"/>
        <v>333.33</v>
      </c>
      <c r="H32" s="197">
        <v>6.6361404207313024</v>
      </c>
      <c r="I32" s="198">
        <f>+Perfils!$G$28</f>
        <v>50.23</v>
      </c>
      <c r="J32" s="199">
        <f t="shared" si="1"/>
        <v>333.33</v>
      </c>
      <c r="K32" s="197">
        <v>3.3894127072163673</v>
      </c>
      <c r="L32" s="198">
        <f>+Perfils!$G$41</f>
        <v>54.09</v>
      </c>
      <c r="M32" s="199">
        <f t="shared" si="2"/>
        <v>183.33</v>
      </c>
      <c r="N32" s="198">
        <v>0</v>
      </c>
      <c r="O32" s="197">
        <f t="shared" si="3"/>
        <v>0</v>
      </c>
      <c r="P32" s="198">
        <f>+Perfils!$G$28</f>
        <v>50.23</v>
      </c>
      <c r="Q32" s="199">
        <v>0</v>
      </c>
      <c r="R32" s="200">
        <f t="shared" si="5"/>
        <v>44814</v>
      </c>
      <c r="S32" s="200">
        <f t="shared" si="6"/>
        <v>44875</v>
      </c>
      <c r="T32" s="201">
        <v>2</v>
      </c>
      <c r="U32" s="203">
        <v>212.5</v>
      </c>
      <c r="V32" s="203">
        <f t="shared" si="7"/>
        <v>849.99</v>
      </c>
      <c r="W32" s="203">
        <f t="shared" si="8"/>
        <v>1062.49</v>
      </c>
      <c r="X32" s="204"/>
      <c r="Y32" s="204"/>
      <c r="Z32" s="204"/>
    </row>
    <row r="33" spans="1:26" s="205" customFormat="1" x14ac:dyDescent="0.25">
      <c r="A33" s="194" t="s">
        <v>258</v>
      </c>
      <c r="B33" s="194" t="s">
        <v>259</v>
      </c>
      <c r="C33" s="195" t="s">
        <v>260</v>
      </c>
      <c r="D33" s="196" t="s">
        <v>309</v>
      </c>
      <c r="E33" s="197">
        <v>107.29613733905579</v>
      </c>
      <c r="F33" s="198">
        <f>+Perfils!$G$15</f>
        <v>46.6</v>
      </c>
      <c r="G33" s="199">
        <f t="shared" si="4"/>
        <v>5000</v>
      </c>
      <c r="H33" s="197">
        <v>132.72280841462606</v>
      </c>
      <c r="I33" s="198">
        <f>+Perfils!$G$28</f>
        <v>50.23</v>
      </c>
      <c r="J33" s="199">
        <f t="shared" si="1"/>
        <v>6666.67</v>
      </c>
      <c r="K33" s="197">
        <v>64.706969865039738</v>
      </c>
      <c r="L33" s="198">
        <f>+Perfils!$G$41</f>
        <v>54.09</v>
      </c>
      <c r="M33" s="199">
        <f t="shared" si="2"/>
        <v>3500</v>
      </c>
      <c r="N33" s="198">
        <v>0</v>
      </c>
      <c r="O33" s="197">
        <f t="shared" si="3"/>
        <v>0</v>
      </c>
      <c r="P33" s="198">
        <f>+Perfils!$G$28</f>
        <v>50.23</v>
      </c>
      <c r="Q33" s="199">
        <v>0</v>
      </c>
      <c r="R33" s="200">
        <f t="shared" si="5"/>
        <v>44814</v>
      </c>
      <c r="S33" s="200">
        <f t="shared" si="6"/>
        <v>44875</v>
      </c>
      <c r="T33" s="201">
        <v>2</v>
      </c>
      <c r="U33" s="203">
        <v>3791.6666666666665</v>
      </c>
      <c r="V33" s="203">
        <f t="shared" si="7"/>
        <v>15166.67</v>
      </c>
      <c r="W33" s="203">
        <f t="shared" si="8"/>
        <v>18958.336666666666</v>
      </c>
      <c r="X33" s="204"/>
      <c r="Y33" s="204"/>
      <c r="Z33" s="204"/>
    </row>
    <row r="34" spans="1:26" s="205" customFormat="1" x14ac:dyDescent="0.25">
      <c r="A34" s="194" t="s">
        <v>261</v>
      </c>
      <c r="B34" s="194" t="s">
        <v>262</v>
      </c>
      <c r="C34" s="195" t="s">
        <v>263</v>
      </c>
      <c r="D34" s="196" t="s">
        <v>264</v>
      </c>
      <c r="E34" s="197">
        <v>28.612303290414875</v>
      </c>
      <c r="F34" s="198">
        <f>+Perfils!$G$15</f>
        <v>46.6</v>
      </c>
      <c r="G34" s="199">
        <f t="shared" si="4"/>
        <v>1333.33</v>
      </c>
      <c r="H34" s="197">
        <v>29.862631893290864</v>
      </c>
      <c r="I34" s="198">
        <f>+Perfils!$G$28</f>
        <v>50.23</v>
      </c>
      <c r="J34" s="199">
        <f t="shared" si="1"/>
        <v>1500</v>
      </c>
      <c r="K34" s="197">
        <v>15.406421396438033</v>
      </c>
      <c r="L34" s="198">
        <f>+Perfils!$G$41</f>
        <v>54.09</v>
      </c>
      <c r="M34" s="199">
        <f t="shared" si="2"/>
        <v>833.33</v>
      </c>
      <c r="N34" s="198">
        <v>0</v>
      </c>
      <c r="O34" s="197">
        <f t="shared" si="3"/>
        <v>0</v>
      </c>
      <c r="P34" s="198">
        <f>+Perfils!$G$28</f>
        <v>50.23</v>
      </c>
      <c r="Q34" s="199">
        <v>0</v>
      </c>
      <c r="R34" s="200">
        <f t="shared" si="5"/>
        <v>44814</v>
      </c>
      <c r="S34" s="200">
        <f t="shared" si="6"/>
        <v>44875</v>
      </c>
      <c r="T34" s="201">
        <v>2</v>
      </c>
      <c r="U34" s="203">
        <v>916.66666666666652</v>
      </c>
      <c r="V34" s="203">
        <f t="shared" si="7"/>
        <v>3666.66</v>
      </c>
      <c r="W34" s="203">
        <f t="shared" si="8"/>
        <v>4583.3266666666659</v>
      </c>
      <c r="X34" s="204"/>
      <c r="Y34" s="204"/>
      <c r="Z34" s="204"/>
    </row>
    <row r="35" spans="1:26" s="205" customFormat="1" x14ac:dyDescent="0.25">
      <c r="A35" s="194" t="s">
        <v>261</v>
      </c>
      <c r="B35" s="194" t="s">
        <v>262</v>
      </c>
      <c r="C35" s="195" t="s">
        <v>265</v>
      </c>
      <c r="D35" s="196" t="s">
        <v>266</v>
      </c>
      <c r="E35" s="197">
        <v>14.306151645207438</v>
      </c>
      <c r="F35" s="198">
        <f>+Perfils!$G$15</f>
        <v>46.6</v>
      </c>
      <c r="G35" s="199">
        <f t="shared" si="4"/>
        <v>666.67</v>
      </c>
      <c r="H35" s="197">
        <v>13.272280841462605</v>
      </c>
      <c r="I35" s="198">
        <f>+Perfils!$G$28</f>
        <v>50.23</v>
      </c>
      <c r="J35" s="199">
        <f t="shared" si="1"/>
        <v>666.67</v>
      </c>
      <c r="K35" s="197">
        <v>15.406421396438033</v>
      </c>
      <c r="L35" s="198">
        <f>+Perfils!$G$41</f>
        <v>54.09</v>
      </c>
      <c r="M35" s="199">
        <f t="shared" si="2"/>
        <v>833.33</v>
      </c>
      <c r="N35" s="198">
        <v>0</v>
      </c>
      <c r="O35" s="197">
        <f t="shared" si="3"/>
        <v>0</v>
      </c>
      <c r="P35" s="198">
        <f>+Perfils!$G$28</f>
        <v>50.23</v>
      </c>
      <c r="Q35" s="199">
        <v>0</v>
      </c>
      <c r="R35" s="200">
        <f t="shared" si="5"/>
        <v>44814</v>
      </c>
      <c r="S35" s="200">
        <f t="shared" si="6"/>
        <v>44875</v>
      </c>
      <c r="T35" s="201">
        <v>2</v>
      </c>
      <c r="U35" s="203">
        <v>541.66666666666663</v>
      </c>
      <c r="V35" s="203">
        <f t="shared" si="7"/>
        <v>2166.67</v>
      </c>
      <c r="W35" s="203">
        <f t="shared" si="8"/>
        <v>2708.3366666666666</v>
      </c>
      <c r="X35" s="204"/>
      <c r="Y35" s="204"/>
      <c r="Z35" s="204"/>
    </row>
    <row r="36" spans="1:26" s="205" customFormat="1" x14ac:dyDescent="0.25">
      <c r="A36" s="194" t="s">
        <v>267</v>
      </c>
      <c r="B36" s="194" t="s">
        <v>268</v>
      </c>
      <c r="C36" s="195" t="s">
        <v>269</v>
      </c>
      <c r="D36" s="196" t="s">
        <v>270</v>
      </c>
      <c r="E36" s="197">
        <v>3.5765379113018594</v>
      </c>
      <c r="F36" s="198">
        <f>+Perfils!$G$15</f>
        <v>46.6</v>
      </c>
      <c r="G36" s="199">
        <f t="shared" si="4"/>
        <v>166.67</v>
      </c>
      <c r="H36" s="197">
        <v>3.3180702103656512</v>
      </c>
      <c r="I36" s="198">
        <f>+Perfils!$G$28</f>
        <v>50.23</v>
      </c>
      <c r="J36" s="199">
        <f t="shared" si="1"/>
        <v>166.67</v>
      </c>
      <c r="K36" s="197">
        <v>1.8487705675725641</v>
      </c>
      <c r="L36" s="198">
        <f>+Perfils!$G$41</f>
        <v>54.09</v>
      </c>
      <c r="M36" s="199">
        <f t="shared" si="2"/>
        <v>100</v>
      </c>
      <c r="N36" s="198">
        <v>0</v>
      </c>
      <c r="O36" s="197">
        <f t="shared" si="3"/>
        <v>0</v>
      </c>
      <c r="P36" s="198">
        <f>+Perfils!$G$28</f>
        <v>50.23</v>
      </c>
      <c r="Q36" s="199">
        <v>0</v>
      </c>
      <c r="R36" s="200">
        <f t="shared" si="5"/>
        <v>44814</v>
      </c>
      <c r="S36" s="200">
        <f t="shared" si="6"/>
        <v>44875</v>
      </c>
      <c r="T36" s="201">
        <v>2</v>
      </c>
      <c r="U36" s="203">
        <v>108.33333333333333</v>
      </c>
      <c r="V36" s="203">
        <f t="shared" si="7"/>
        <v>433.34</v>
      </c>
      <c r="W36" s="203">
        <f t="shared" si="8"/>
        <v>541.67333333333329</v>
      </c>
      <c r="X36" s="204"/>
      <c r="Y36" s="204"/>
      <c r="Z36" s="204"/>
    </row>
    <row r="37" spans="1:26" s="205" customFormat="1" x14ac:dyDescent="0.25">
      <c r="A37" s="194" t="s">
        <v>271</v>
      </c>
      <c r="B37" s="194" t="s">
        <v>272</v>
      </c>
      <c r="C37" s="195" t="s">
        <v>273</v>
      </c>
      <c r="D37" s="196" t="s">
        <v>274</v>
      </c>
      <c r="E37" s="197">
        <v>89.413447782546484</v>
      </c>
      <c r="F37" s="198">
        <f>+Perfils!$G$15</f>
        <v>46.6</v>
      </c>
      <c r="G37" s="199">
        <f t="shared" si="4"/>
        <v>4166.67</v>
      </c>
      <c r="H37" s="197">
        <v>132.72280841462606</v>
      </c>
      <c r="I37" s="198">
        <f>+Perfils!$G$28</f>
        <v>50.23</v>
      </c>
      <c r="J37" s="199">
        <f t="shared" si="1"/>
        <v>6666.67</v>
      </c>
      <c r="K37" s="197">
        <v>33.894127072163677</v>
      </c>
      <c r="L37" s="198">
        <f>+Perfils!$G$41</f>
        <v>54.09</v>
      </c>
      <c r="M37" s="199">
        <f t="shared" si="2"/>
        <v>1833.33</v>
      </c>
      <c r="N37" s="198">
        <v>0</v>
      </c>
      <c r="O37" s="197">
        <f t="shared" si="3"/>
        <v>0</v>
      </c>
      <c r="P37" s="198">
        <f>+Perfils!$G$28</f>
        <v>50.23</v>
      </c>
      <c r="Q37" s="199">
        <v>0</v>
      </c>
      <c r="R37" s="200">
        <f t="shared" si="5"/>
        <v>44814</v>
      </c>
      <c r="S37" s="200">
        <f t="shared" si="6"/>
        <v>44875</v>
      </c>
      <c r="T37" s="201">
        <v>2</v>
      </c>
      <c r="U37" s="203">
        <v>3166.6666666666665</v>
      </c>
      <c r="V37" s="203">
        <f t="shared" si="7"/>
        <v>12666.67</v>
      </c>
      <c r="W37" s="203">
        <f t="shared" si="8"/>
        <v>15833.336666666666</v>
      </c>
      <c r="X37" s="204"/>
      <c r="Y37" s="204"/>
      <c r="Z37" s="204"/>
    </row>
    <row r="38" spans="1:26" s="206" customFormat="1" x14ac:dyDescent="0.25">
      <c r="A38" s="194" t="s">
        <v>271</v>
      </c>
      <c r="B38" s="194" t="s">
        <v>272</v>
      </c>
      <c r="C38" s="195" t="s">
        <v>275</v>
      </c>
      <c r="D38" s="196" t="s">
        <v>314</v>
      </c>
      <c r="E38" s="197">
        <v>107.29613733905579</v>
      </c>
      <c r="F38" s="198">
        <f>+Perfils!$G$15</f>
        <v>46.6</v>
      </c>
      <c r="G38" s="199">
        <f t="shared" si="4"/>
        <v>5000</v>
      </c>
      <c r="H38" s="197">
        <v>116.13245736279779</v>
      </c>
      <c r="I38" s="198">
        <f>+Perfils!$G$28</f>
        <v>50.23</v>
      </c>
      <c r="J38" s="199">
        <f t="shared" si="1"/>
        <v>5833.33</v>
      </c>
      <c r="K38" s="197">
        <v>40.056695630738886</v>
      </c>
      <c r="L38" s="198">
        <f>+Perfils!$G$41</f>
        <v>54.09</v>
      </c>
      <c r="M38" s="199">
        <f t="shared" si="2"/>
        <v>2166.67</v>
      </c>
      <c r="N38" s="198">
        <v>0</v>
      </c>
      <c r="O38" s="197">
        <f t="shared" si="3"/>
        <v>0</v>
      </c>
      <c r="P38" s="198">
        <f>+Perfils!$G$28</f>
        <v>50.23</v>
      </c>
      <c r="Q38" s="199">
        <v>0</v>
      </c>
      <c r="R38" s="200">
        <f t="shared" si="5"/>
        <v>44814</v>
      </c>
      <c r="S38" s="200">
        <f t="shared" si="6"/>
        <v>44875</v>
      </c>
      <c r="T38" s="201">
        <v>2</v>
      </c>
      <c r="U38" s="203">
        <v>3249.9999999999995</v>
      </c>
      <c r="V38" s="203">
        <f t="shared" si="7"/>
        <v>13000</v>
      </c>
      <c r="W38" s="203">
        <f t="shared" si="8"/>
        <v>16250</v>
      </c>
      <c r="X38" s="204"/>
      <c r="Y38" s="204"/>
      <c r="Z38" s="204"/>
    </row>
    <row r="39" spans="1:26" s="205" customFormat="1" x14ac:dyDescent="0.25">
      <c r="A39" s="194" t="s">
        <v>276</v>
      </c>
      <c r="B39" s="194" t="s">
        <v>277</v>
      </c>
      <c r="C39" s="195" t="s">
        <v>278</v>
      </c>
      <c r="D39" s="196" t="s">
        <v>279</v>
      </c>
      <c r="E39" s="197">
        <v>107.29613733905579</v>
      </c>
      <c r="F39" s="198">
        <f>+Perfils!$G$15</f>
        <v>46.6</v>
      </c>
      <c r="G39" s="199">
        <f t="shared" si="4"/>
        <v>5000</v>
      </c>
      <c r="H39" s="197">
        <v>265.44561682925212</v>
      </c>
      <c r="I39" s="198">
        <f>+Perfils!$G$28</f>
        <v>50.23</v>
      </c>
      <c r="J39" s="199">
        <f t="shared" si="1"/>
        <v>13333.33</v>
      </c>
      <c r="K39" s="197">
        <v>77.032106982190157</v>
      </c>
      <c r="L39" s="198">
        <f>+Perfils!$G$41</f>
        <v>54.09</v>
      </c>
      <c r="M39" s="199">
        <f t="shared" si="2"/>
        <v>4166.67</v>
      </c>
      <c r="N39" s="198">
        <v>0</v>
      </c>
      <c r="O39" s="197">
        <f t="shared" si="3"/>
        <v>0</v>
      </c>
      <c r="P39" s="198">
        <f>+Perfils!$G$28</f>
        <v>50.23</v>
      </c>
      <c r="Q39" s="199">
        <v>0</v>
      </c>
      <c r="R39" s="200">
        <f t="shared" si="5"/>
        <v>44814</v>
      </c>
      <c r="S39" s="200">
        <f t="shared" si="6"/>
        <v>44875</v>
      </c>
      <c r="T39" s="201">
        <v>2</v>
      </c>
      <c r="U39" s="203">
        <v>5625</v>
      </c>
      <c r="V39" s="203">
        <f t="shared" si="7"/>
        <v>22500</v>
      </c>
      <c r="W39" s="203">
        <f t="shared" si="8"/>
        <v>28125</v>
      </c>
      <c r="X39" s="204"/>
      <c r="Y39" s="204"/>
      <c r="Z39" s="204"/>
    </row>
    <row r="40" spans="1:26" s="205" customFormat="1" x14ac:dyDescent="0.25">
      <c r="A40" s="194" t="s">
        <v>276</v>
      </c>
      <c r="B40" s="194" t="s">
        <v>277</v>
      </c>
      <c r="C40" s="195" t="s">
        <v>280</v>
      </c>
      <c r="D40" s="196" t="s">
        <v>281</v>
      </c>
      <c r="E40" s="197">
        <v>25.035765379113016</v>
      </c>
      <c r="F40" s="198">
        <f>+Perfils!$G$15</f>
        <v>46.6</v>
      </c>
      <c r="G40" s="199">
        <f t="shared" si="4"/>
        <v>1166.67</v>
      </c>
      <c r="H40" s="197">
        <v>66.361404207313029</v>
      </c>
      <c r="I40" s="198">
        <f>+Perfils!$G$28</f>
        <v>50.23</v>
      </c>
      <c r="J40" s="199">
        <f t="shared" si="1"/>
        <v>3333.33</v>
      </c>
      <c r="K40" s="197">
        <v>15.406421396438033</v>
      </c>
      <c r="L40" s="198">
        <f>+Perfils!$G$41</f>
        <v>54.09</v>
      </c>
      <c r="M40" s="199">
        <f t="shared" si="2"/>
        <v>833.33</v>
      </c>
      <c r="N40" s="198">
        <v>0</v>
      </c>
      <c r="O40" s="197">
        <f t="shared" si="3"/>
        <v>0</v>
      </c>
      <c r="P40" s="198">
        <f>+Perfils!$G$28</f>
        <v>50.23</v>
      </c>
      <c r="Q40" s="199">
        <v>0</v>
      </c>
      <c r="R40" s="200">
        <f t="shared" si="5"/>
        <v>44814</v>
      </c>
      <c r="S40" s="200">
        <f t="shared" si="6"/>
        <v>44875</v>
      </c>
      <c r="T40" s="201">
        <v>2</v>
      </c>
      <c r="U40" s="203">
        <v>1333.3333333333333</v>
      </c>
      <c r="V40" s="203">
        <f t="shared" si="7"/>
        <v>5333.33</v>
      </c>
      <c r="W40" s="203">
        <f t="shared" si="8"/>
        <v>6666.663333333333</v>
      </c>
      <c r="X40" s="204"/>
      <c r="Y40" s="204"/>
      <c r="Z40" s="204"/>
    </row>
    <row r="41" spans="1:26" s="117" customFormat="1" x14ac:dyDescent="0.25">
      <c r="A41" s="194" t="s">
        <v>276</v>
      </c>
      <c r="B41" s="194" t="s">
        <v>277</v>
      </c>
      <c r="C41" s="195" t="s">
        <v>282</v>
      </c>
      <c r="D41" s="196" t="s">
        <v>283</v>
      </c>
      <c r="E41" s="197">
        <v>89.413447782546484</v>
      </c>
      <c r="F41" s="198">
        <f>+Perfils!$G$15</f>
        <v>46.6</v>
      </c>
      <c r="G41" s="199">
        <f t="shared" si="4"/>
        <v>4166.67</v>
      </c>
      <c r="H41" s="197">
        <v>199.08421262193909</v>
      </c>
      <c r="I41" s="198">
        <f>+Perfils!$G$28</f>
        <v>50.23</v>
      </c>
      <c r="J41" s="199">
        <f t="shared" si="1"/>
        <v>10000</v>
      </c>
      <c r="K41" s="197">
        <v>9.2438528378628213</v>
      </c>
      <c r="L41" s="198">
        <f>+Perfils!$G$41</f>
        <v>54.09</v>
      </c>
      <c r="M41" s="199">
        <f t="shared" si="2"/>
        <v>500</v>
      </c>
      <c r="N41" s="198">
        <v>0</v>
      </c>
      <c r="O41" s="197">
        <f t="shared" si="3"/>
        <v>0</v>
      </c>
      <c r="P41" s="198">
        <f>+Perfils!$G$28</f>
        <v>50.23</v>
      </c>
      <c r="Q41" s="199">
        <v>0</v>
      </c>
      <c r="R41" s="200">
        <f t="shared" si="5"/>
        <v>44814</v>
      </c>
      <c r="S41" s="200">
        <f t="shared" si="6"/>
        <v>44875</v>
      </c>
      <c r="T41" s="201">
        <v>2</v>
      </c>
      <c r="U41" s="203">
        <v>3666.6666666666665</v>
      </c>
      <c r="V41" s="203">
        <f t="shared" si="7"/>
        <v>14666.67</v>
      </c>
      <c r="W41" s="203">
        <f t="shared" si="8"/>
        <v>18333.336666666666</v>
      </c>
      <c r="X41" s="204"/>
      <c r="Y41" s="204"/>
      <c r="Z41" s="204"/>
    </row>
    <row r="42" spans="1:26" s="117" customFormat="1" x14ac:dyDescent="0.25">
      <c r="A42" s="194" t="s">
        <v>276</v>
      </c>
      <c r="B42" s="194" t="s">
        <v>277</v>
      </c>
      <c r="C42" s="195" t="s">
        <v>284</v>
      </c>
      <c r="D42" s="196" t="s">
        <v>285</v>
      </c>
      <c r="E42" s="197">
        <v>0</v>
      </c>
      <c r="F42" s="198">
        <f>+Perfils!$G$15</f>
        <v>46.6</v>
      </c>
      <c r="G42" s="199">
        <f t="shared" si="4"/>
        <v>0</v>
      </c>
      <c r="H42" s="197">
        <v>265.44561682925212</v>
      </c>
      <c r="I42" s="198">
        <f>+Perfils!$G$28</f>
        <v>50.23</v>
      </c>
      <c r="J42" s="199">
        <f t="shared" si="1"/>
        <v>13333.33</v>
      </c>
      <c r="K42" s="197">
        <v>9.2438528378628213</v>
      </c>
      <c r="L42" s="198">
        <f>+Perfils!$G$41</f>
        <v>54.09</v>
      </c>
      <c r="M42" s="199">
        <f t="shared" si="2"/>
        <v>500</v>
      </c>
      <c r="N42" s="198">
        <v>0</v>
      </c>
      <c r="O42" s="197">
        <f t="shared" si="3"/>
        <v>0</v>
      </c>
      <c r="P42" s="198">
        <f>+Perfils!$G$28</f>
        <v>50.23</v>
      </c>
      <c r="Q42" s="199">
        <v>0</v>
      </c>
      <c r="R42" s="200">
        <f t="shared" si="5"/>
        <v>44814</v>
      </c>
      <c r="S42" s="200">
        <f t="shared" si="6"/>
        <v>44875</v>
      </c>
      <c r="T42" s="201">
        <v>2</v>
      </c>
      <c r="U42" s="203">
        <v>3458.333333333333</v>
      </c>
      <c r="V42" s="203">
        <f t="shared" si="7"/>
        <v>13833.33</v>
      </c>
      <c r="W42" s="203">
        <f t="shared" si="8"/>
        <v>17291.663333333334</v>
      </c>
      <c r="X42" s="204"/>
      <c r="Y42" s="204"/>
      <c r="Z42" s="204"/>
    </row>
    <row r="43" spans="1:26" s="117" customFormat="1" x14ac:dyDescent="0.25">
      <c r="A43" s="194" t="s">
        <v>286</v>
      </c>
      <c r="B43" s="194" t="s">
        <v>287</v>
      </c>
      <c r="C43" s="195" t="s">
        <v>288</v>
      </c>
      <c r="D43" s="196" t="s">
        <v>289</v>
      </c>
      <c r="E43" s="197">
        <v>35.765379113018597</v>
      </c>
      <c r="F43" s="198">
        <f>+Perfils!$G$15</f>
        <v>46.6</v>
      </c>
      <c r="G43" s="199">
        <f t="shared" si="4"/>
        <v>1666.67</v>
      </c>
      <c r="H43" s="197">
        <v>132.72280841462606</v>
      </c>
      <c r="I43" s="198">
        <f>+Perfils!$G$28</f>
        <v>50.23</v>
      </c>
      <c r="J43" s="199">
        <f t="shared" si="1"/>
        <v>6666.67</v>
      </c>
      <c r="K43" s="197">
        <v>33.894127072163677</v>
      </c>
      <c r="L43" s="198">
        <f>+Perfils!$G$41</f>
        <v>54.09</v>
      </c>
      <c r="M43" s="199">
        <f t="shared" si="2"/>
        <v>1833.33</v>
      </c>
      <c r="N43" s="198">
        <v>0</v>
      </c>
      <c r="O43" s="197">
        <f t="shared" si="3"/>
        <v>0</v>
      </c>
      <c r="P43" s="198">
        <f>+Perfils!$G$28</f>
        <v>50.23</v>
      </c>
      <c r="Q43" s="199">
        <v>0</v>
      </c>
      <c r="R43" s="200">
        <f t="shared" si="5"/>
        <v>44814</v>
      </c>
      <c r="S43" s="200">
        <f t="shared" si="6"/>
        <v>44875</v>
      </c>
      <c r="T43" s="201">
        <v>2</v>
      </c>
      <c r="U43" s="203">
        <v>2541.6666666666665</v>
      </c>
      <c r="V43" s="203">
        <f t="shared" si="7"/>
        <v>10166.67</v>
      </c>
      <c r="W43" s="203">
        <f t="shared" si="8"/>
        <v>12708.336666666666</v>
      </c>
      <c r="X43" s="204"/>
      <c r="Y43" s="204"/>
      <c r="Z43" s="204"/>
    </row>
    <row r="44" spans="1:26" s="117" customFormat="1" x14ac:dyDescent="0.25">
      <c r="A44" s="194" t="s">
        <v>290</v>
      </c>
      <c r="B44" s="194" t="s">
        <v>291</v>
      </c>
      <c r="C44" s="195" t="s">
        <v>324</v>
      </c>
      <c r="D44" s="196" t="s">
        <v>292</v>
      </c>
      <c r="E44" s="197">
        <v>35.765379113018597</v>
      </c>
      <c r="F44" s="198">
        <f>+Perfils!$G$15</f>
        <v>46.6</v>
      </c>
      <c r="G44" s="199">
        <f t="shared" si="4"/>
        <v>1666.67</v>
      </c>
      <c r="H44" s="197">
        <v>53.089123365850419</v>
      </c>
      <c r="I44" s="198">
        <f>+Perfils!$G$28</f>
        <v>50.23</v>
      </c>
      <c r="J44" s="199">
        <f t="shared" si="1"/>
        <v>2666.67</v>
      </c>
      <c r="K44" s="197">
        <v>33.894127072163677</v>
      </c>
      <c r="L44" s="198">
        <f>+Perfils!$G$41</f>
        <v>54.09</v>
      </c>
      <c r="M44" s="199">
        <f t="shared" si="2"/>
        <v>1833.33</v>
      </c>
      <c r="N44" s="198">
        <v>0</v>
      </c>
      <c r="O44" s="197">
        <f t="shared" si="3"/>
        <v>0</v>
      </c>
      <c r="P44" s="198">
        <f>+Perfils!$G$28</f>
        <v>50.23</v>
      </c>
      <c r="Q44" s="199">
        <v>0</v>
      </c>
      <c r="R44" s="200">
        <f t="shared" si="5"/>
        <v>44814</v>
      </c>
      <c r="S44" s="200">
        <f t="shared" si="6"/>
        <v>44875</v>
      </c>
      <c r="T44" s="201">
        <v>2</v>
      </c>
      <c r="U44" s="203">
        <v>1541.6666666666665</v>
      </c>
      <c r="V44" s="203">
        <f t="shared" si="7"/>
        <v>6166.67</v>
      </c>
      <c r="W44" s="203">
        <f t="shared" si="8"/>
        <v>7708.3366666666661</v>
      </c>
      <c r="X44" s="204"/>
      <c r="Y44" s="204"/>
      <c r="Z44" s="204"/>
    </row>
    <row r="45" spans="1:26" s="117" customFormat="1" x14ac:dyDescent="0.25">
      <c r="A45" s="194" t="s">
        <v>293</v>
      </c>
      <c r="B45" s="194" t="s">
        <v>294</v>
      </c>
      <c r="C45" s="195" t="s">
        <v>325</v>
      </c>
      <c r="D45" s="196" t="s">
        <v>295</v>
      </c>
      <c r="E45" s="197">
        <v>35.765379113018597</v>
      </c>
      <c r="F45" s="198">
        <f>+Perfils!$G$15</f>
        <v>46.6</v>
      </c>
      <c r="G45" s="199">
        <f t="shared" si="4"/>
        <v>1666.67</v>
      </c>
      <c r="H45" s="197">
        <v>185.81193178047647</v>
      </c>
      <c r="I45" s="198">
        <f>+Perfils!$G$28</f>
        <v>50.23</v>
      </c>
      <c r="J45" s="199">
        <f t="shared" si="1"/>
        <v>9333.33</v>
      </c>
      <c r="K45" s="197">
        <v>61.62568558575213</v>
      </c>
      <c r="L45" s="198">
        <f>+Perfils!$G$41</f>
        <v>54.09</v>
      </c>
      <c r="M45" s="199">
        <f t="shared" si="2"/>
        <v>3333.33</v>
      </c>
      <c r="N45" s="198">
        <v>0</v>
      </c>
      <c r="O45" s="197">
        <f t="shared" si="3"/>
        <v>0</v>
      </c>
      <c r="P45" s="198">
        <f>+Perfils!$G$28</f>
        <v>50.23</v>
      </c>
      <c r="Q45" s="199">
        <v>0</v>
      </c>
      <c r="R45" s="200">
        <f t="shared" si="5"/>
        <v>44814</v>
      </c>
      <c r="S45" s="200">
        <f t="shared" si="6"/>
        <v>44875</v>
      </c>
      <c r="T45" s="201">
        <v>2</v>
      </c>
      <c r="U45" s="203">
        <v>3583.333333333333</v>
      </c>
      <c r="V45" s="203">
        <f t="shared" si="7"/>
        <v>14333.33</v>
      </c>
      <c r="W45" s="203">
        <f t="shared" si="8"/>
        <v>17916.663333333334</v>
      </c>
      <c r="X45" s="204"/>
      <c r="Y45" s="204"/>
      <c r="Z45" s="204"/>
    </row>
    <row r="46" spans="1:26" s="117" customFormat="1" x14ac:dyDescent="0.25">
      <c r="A46" s="194" t="s">
        <v>276</v>
      </c>
      <c r="B46" s="194" t="s">
        <v>277</v>
      </c>
      <c r="C46" s="195" t="s">
        <v>296</v>
      </c>
      <c r="D46" s="196" t="s">
        <v>315</v>
      </c>
      <c r="E46" s="197">
        <v>32.188841201716734</v>
      </c>
      <c r="F46" s="198">
        <f>+Perfils!$G$15</f>
        <v>46.6</v>
      </c>
      <c r="G46" s="199">
        <f t="shared" si="4"/>
        <v>1500</v>
      </c>
      <c r="H46" s="197">
        <v>66.361404207313029</v>
      </c>
      <c r="I46" s="198">
        <f>+Perfils!$G$28</f>
        <v>50.23</v>
      </c>
      <c r="J46" s="199">
        <f t="shared" si="1"/>
        <v>3333.33</v>
      </c>
      <c r="K46" s="197">
        <v>30.812842792876065</v>
      </c>
      <c r="L46" s="198">
        <f>+Perfils!$G$41</f>
        <v>54.09</v>
      </c>
      <c r="M46" s="199">
        <f t="shared" si="2"/>
        <v>1666.67</v>
      </c>
      <c r="N46" s="198">
        <v>0</v>
      </c>
      <c r="O46" s="197">
        <f t="shared" si="3"/>
        <v>0</v>
      </c>
      <c r="P46" s="198">
        <f>+Perfils!$G$28</f>
        <v>50.23</v>
      </c>
      <c r="Q46" s="199">
        <v>0</v>
      </c>
      <c r="R46" s="200">
        <f t="shared" si="5"/>
        <v>44814</v>
      </c>
      <c r="S46" s="200">
        <f t="shared" si="6"/>
        <v>44875</v>
      </c>
      <c r="T46" s="201">
        <v>2</v>
      </c>
      <c r="U46" s="203">
        <v>1625</v>
      </c>
      <c r="V46" s="203">
        <f t="shared" si="7"/>
        <v>6500</v>
      </c>
      <c r="W46" s="203">
        <f t="shared" si="8"/>
        <v>8125</v>
      </c>
      <c r="X46" s="204"/>
      <c r="Y46" s="204"/>
      <c r="Z46" s="204"/>
    </row>
    <row r="47" spans="1:26" s="117" customFormat="1" x14ac:dyDescent="0.25">
      <c r="A47" s="194" t="s">
        <v>276</v>
      </c>
      <c r="B47" s="194" t="s">
        <v>277</v>
      </c>
      <c r="C47" s="195" t="s">
        <v>297</v>
      </c>
      <c r="D47" s="196" t="s">
        <v>298</v>
      </c>
      <c r="E47" s="197">
        <v>10.729613733905579</v>
      </c>
      <c r="F47" s="198">
        <f>+Perfils!$G$15</f>
        <v>46.6</v>
      </c>
      <c r="G47" s="199">
        <f t="shared" si="4"/>
        <v>500</v>
      </c>
      <c r="H47" s="197">
        <v>33.180702103656515</v>
      </c>
      <c r="I47" s="198">
        <f>+Perfils!$G$28</f>
        <v>50.23</v>
      </c>
      <c r="J47" s="199">
        <f t="shared" si="1"/>
        <v>1666.67</v>
      </c>
      <c r="K47" s="197">
        <v>9.2438528378628213</v>
      </c>
      <c r="L47" s="198">
        <f>+Perfils!$G$41</f>
        <v>54.09</v>
      </c>
      <c r="M47" s="199">
        <f t="shared" si="2"/>
        <v>500</v>
      </c>
      <c r="N47" s="198">
        <v>0</v>
      </c>
      <c r="O47" s="197">
        <f t="shared" si="3"/>
        <v>0</v>
      </c>
      <c r="P47" s="198">
        <f>+Perfils!$G$28</f>
        <v>50.23</v>
      </c>
      <c r="Q47" s="199">
        <v>0</v>
      </c>
      <c r="R47" s="200">
        <f t="shared" si="5"/>
        <v>44814</v>
      </c>
      <c r="S47" s="200">
        <f t="shared" si="6"/>
        <v>44875</v>
      </c>
      <c r="T47" s="201">
        <v>2</v>
      </c>
      <c r="U47" s="203">
        <v>666.66666666666663</v>
      </c>
      <c r="V47" s="203">
        <f t="shared" si="7"/>
        <v>2666.67</v>
      </c>
      <c r="W47" s="203">
        <f t="shared" si="8"/>
        <v>3333.3366666666666</v>
      </c>
      <c r="X47" s="204"/>
      <c r="Y47" s="204"/>
      <c r="Z47" s="204"/>
    </row>
    <row r="48" spans="1:26" s="205" customFormat="1" x14ac:dyDescent="0.25">
      <c r="A48" s="194" t="s">
        <v>276</v>
      </c>
      <c r="B48" s="194" t="s">
        <v>277</v>
      </c>
      <c r="C48" s="195" t="s">
        <v>299</v>
      </c>
      <c r="D48" s="196" t="s">
        <v>300</v>
      </c>
      <c r="E48" s="197">
        <v>17.882689556509298</v>
      </c>
      <c r="F48" s="198">
        <f>+Perfils!$G$15</f>
        <v>46.6</v>
      </c>
      <c r="G48" s="199">
        <f t="shared" si="4"/>
        <v>833.33</v>
      </c>
      <c r="H48" s="197">
        <v>49.771053155484772</v>
      </c>
      <c r="I48" s="198">
        <f>+Perfils!$G$28</f>
        <v>50.23</v>
      </c>
      <c r="J48" s="199">
        <f t="shared" si="1"/>
        <v>2500</v>
      </c>
      <c r="K48" s="197">
        <v>9.2438528378628213</v>
      </c>
      <c r="L48" s="198">
        <f>+Perfils!$G$41</f>
        <v>54.09</v>
      </c>
      <c r="M48" s="199">
        <f t="shared" si="2"/>
        <v>500</v>
      </c>
      <c r="N48" s="198">
        <v>0</v>
      </c>
      <c r="O48" s="197">
        <f t="shared" si="3"/>
        <v>0</v>
      </c>
      <c r="P48" s="198">
        <f>+Perfils!$G$28</f>
        <v>50.23</v>
      </c>
      <c r="Q48" s="199">
        <v>0</v>
      </c>
      <c r="R48" s="200">
        <f t="shared" si="5"/>
        <v>44814</v>
      </c>
      <c r="S48" s="200">
        <f t="shared" si="6"/>
        <v>44875</v>
      </c>
      <c r="T48" s="201">
        <v>2</v>
      </c>
      <c r="U48" s="203">
        <v>958.33333333333326</v>
      </c>
      <c r="V48" s="203">
        <f t="shared" si="7"/>
        <v>3833.33</v>
      </c>
      <c r="W48" s="203">
        <f t="shared" si="8"/>
        <v>4791.663333333333</v>
      </c>
      <c r="X48" s="204"/>
      <c r="Y48" s="204"/>
      <c r="Z48" s="204"/>
    </row>
    <row r="49" spans="1:26" s="205" customFormat="1" x14ac:dyDescent="0.25">
      <c r="A49" s="194" t="s">
        <v>276</v>
      </c>
      <c r="B49" s="194" t="s">
        <v>277</v>
      </c>
      <c r="C49" s="195" t="s">
        <v>316</v>
      </c>
      <c r="D49" s="196" t="s">
        <v>318</v>
      </c>
      <c r="E49" s="197">
        <v>32.188841201716734</v>
      </c>
      <c r="F49" s="198">
        <f>+Perfils!$G$15</f>
        <v>46.6</v>
      </c>
      <c r="G49" s="199">
        <f t="shared" si="4"/>
        <v>1500</v>
      </c>
      <c r="H49" s="197">
        <v>29.862631893290864</v>
      </c>
      <c r="I49" s="198">
        <f>+Perfils!$G$28</f>
        <v>50.23</v>
      </c>
      <c r="J49" s="199">
        <f t="shared" si="1"/>
        <v>1500</v>
      </c>
      <c r="K49" s="197">
        <v>18.487705675725643</v>
      </c>
      <c r="L49" s="198">
        <f>+Perfils!$G$41</f>
        <v>54.09</v>
      </c>
      <c r="M49" s="199">
        <f t="shared" si="2"/>
        <v>1000</v>
      </c>
      <c r="N49" s="198">
        <v>0</v>
      </c>
      <c r="O49" s="197">
        <f t="shared" si="3"/>
        <v>0</v>
      </c>
      <c r="P49" s="198">
        <f>+Perfils!$G$28</f>
        <v>50.23</v>
      </c>
      <c r="Q49" s="199">
        <v>0</v>
      </c>
      <c r="R49" s="200">
        <f t="shared" si="5"/>
        <v>44814</v>
      </c>
      <c r="S49" s="200">
        <f t="shared" si="6"/>
        <v>44875</v>
      </c>
      <c r="T49" s="201">
        <v>2</v>
      </c>
      <c r="U49" s="203">
        <v>1000</v>
      </c>
      <c r="V49" s="203">
        <f t="shared" si="7"/>
        <v>4000</v>
      </c>
      <c r="W49" s="203">
        <f t="shared" si="8"/>
        <v>5000</v>
      </c>
      <c r="X49" s="204"/>
      <c r="Y49" s="204"/>
      <c r="Z49" s="204"/>
    </row>
    <row r="50" spans="1:26" s="205" customFormat="1" x14ac:dyDescent="0.25">
      <c r="A50" s="194" t="s">
        <v>234</v>
      </c>
      <c r="B50" s="194" t="s">
        <v>235</v>
      </c>
      <c r="C50" s="195" t="s">
        <v>317</v>
      </c>
      <c r="D50" s="196" t="s">
        <v>319</v>
      </c>
      <c r="E50" s="197">
        <v>17.882689556509298</v>
      </c>
      <c r="F50" s="198">
        <f>+Perfils!$G$15</f>
        <v>46.6</v>
      </c>
      <c r="G50" s="199">
        <f t="shared" si="4"/>
        <v>833.33</v>
      </c>
      <c r="H50" s="197">
        <v>16.590351051828257</v>
      </c>
      <c r="I50" s="198">
        <f>+Perfils!$G$28</f>
        <v>50.23</v>
      </c>
      <c r="J50" s="199">
        <f t="shared" si="1"/>
        <v>833.33</v>
      </c>
      <c r="K50" s="197">
        <v>9.2438528378628213</v>
      </c>
      <c r="L50" s="198">
        <f>+Perfils!$G$41</f>
        <v>54.09</v>
      </c>
      <c r="M50" s="199">
        <f t="shared" si="2"/>
        <v>500</v>
      </c>
      <c r="N50" s="198">
        <v>0</v>
      </c>
      <c r="O50" s="197">
        <f t="shared" si="3"/>
        <v>0</v>
      </c>
      <c r="P50" s="198">
        <f>+Perfils!$G$28</f>
        <v>50.23</v>
      </c>
      <c r="Q50" s="199">
        <v>0</v>
      </c>
      <c r="R50" s="200">
        <f t="shared" si="5"/>
        <v>44814</v>
      </c>
      <c r="S50" s="200">
        <f t="shared" si="6"/>
        <v>44875</v>
      </c>
      <c r="T50" s="201">
        <v>2</v>
      </c>
      <c r="U50" s="203">
        <v>541.66666666666663</v>
      </c>
      <c r="V50" s="203">
        <f t="shared" si="7"/>
        <v>2166.66</v>
      </c>
      <c r="W50" s="203">
        <f t="shared" si="8"/>
        <v>2708.3266666666664</v>
      </c>
      <c r="X50" s="204"/>
      <c r="Y50" s="204"/>
      <c r="Z50" s="204"/>
    </row>
    <row r="51" spans="1:26" s="205" customFormat="1" x14ac:dyDescent="0.25">
      <c r="A51" s="194" t="s">
        <v>334</v>
      </c>
      <c r="B51" s="194" t="s">
        <v>333</v>
      </c>
      <c r="C51" s="195" t="s">
        <v>335</v>
      </c>
      <c r="D51" s="196" t="s">
        <v>336</v>
      </c>
      <c r="E51" s="197">
        <v>0</v>
      </c>
      <c r="F51" s="198">
        <f>+Perfils!$G$15</f>
        <v>46.6</v>
      </c>
      <c r="G51" s="199">
        <f t="shared" si="4"/>
        <v>0</v>
      </c>
      <c r="H51" s="197">
        <v>0</v>
      </c>
      <c r="I51" s="198">
        <f>+Perfils!$G$28</f>
        <v>50.23</v>
      </c>
      <c r="J51" s="199">
        <f t="shared" si="1"/>
        <v>0</v>
      </c>
      <c r="K51" s="197">
        <v>0</v>
      </c>
      <c r="L51" s="198">
        <f>+Perfils!$G$41</f>
        <v>54.09</v>
      </c>
      <c r="M51" s="199">
        <f t="shared" si="2"/>
        <v>0</v>
      </c>
      <c r="N51" s="198">
        <v>0</v>
      </c>
      <c r="O51" s="197">
        <f t="shared" si="3"/>
        <v>0</v>
      </c>
      <c r="P51" s="198">
        <f>+Perfils!$G$28</f>
        <v>50.23</v>
      </c>
      <c r="Q51" s="199">
        <v>0</v>
      </c>
      <c r="R51" s="200"/>
      <c r="S51" s="200"/>
      <c r="T51" s="201"/>
      <c r="U51" s="203"/>
      <c r="V51" s="203">
        <f t="shared" si="7"/>
        <v>0</v>
      </c>
      <c r="W51" s="203">
        <f t="shared" si="8"/>
        <v>0</v>
      </c>
      <c r="X51" s="204"/>
      <c r="Y51" s="204"/>
      <c r="Z51" s="204"/>
    </row>
    <row r="52" spans="1:26" s="205" customFormat="1" x14ac:dyDescent="0.25">
      <c r="A52" s="194" t="s">
        <v>210</v>
      </c>
      <c r="B52" s="194" t="s">
        <v>211</v>
      </c>
      <c r="C52" s="195" t="s">
        <v>335</v>
      </c>
      <c r="D52" s="196" t="s">
        <v>337</v>
      </c>
      <c r="E52" s="197">
        <v>0</v>
      </c>
      <c r="F52" s="198">
        <f>+Perfils!$G$15</f>
        <v>46.6</v>
      </c>
      <c r="G52" s="199">
        <f t="shared" si="4"/>
        <v>0</v>
      </c>
      <c r="H52" s="197">
        <v>0</v>
      </c>
      <c r="I52" s="198">
        <f>+Perfils!$G$28</f>
        <v>50.23</v>
      </c>
      <c r="J52" s="199">
        <f t="shared" si="1"/>
        <v>0</v>
      </c>
      <c r="K52" s="197">
        <v>0</v>
      </c>
      <c r="L52" s="198">
        <f>+Perfils!$G$41</f>
        <v>54.09</v>
      </c>
      <c r="M52" s="199">
        <f t="shared" si="2"/>
        <v>0</v>
      </c>
      <c r="N52" s="198">
        <v>0</v>
      </c>
      <c r="O52" s="197">
        <f t="shared" si="3"/>
        <v>0</v>
      </c>
      <c r="P52" s="198">
        <f>+Perfils!$G$28</f>
        <v>50.23</v>
      </c>
      <c r="Q52" s="199">
        <v>0</v>
      </c>
      <c r="R52" s="200"/>
      <c r="S52" s="200"/>
      <c r="T52" s="201"/>
      <c r="U52" s="203">
        <v>0</v>
      </c>
      <c r="V52" s="203">
        <f t="shared" si="7"/>
        <v>0</v>
      </c>
      <c r="W52" s="203">
        <f t="shared" si="8"/>
        <v>0</v>
      </c>
      <c r="X52" s="204"/>
      <c r="Y52" s="204"/>
      <c r="Z52" s="204"/>
    </row>
    <row r="53" spans="1:26" s="205" customFormat="1" x14ac:dyDescent="0.25">
      <c r="A53" s="194" t="s">
        <v>210</v>
      </c>
      <c r="B53" s="194" t="s">
        <v>235</v>
      </c>
      <c r="C53" s="195" t="s">
        <v>335</v>
      </c>
      <c r="D53" s="196" t="s">
        <v>346</v>
      </c>
      <c r="E53" s="197">
        <v>0</v>
      </c>
      <c r="F53" s="198">
        <f>+Perfils!$G$15</f>
        <v>46.6</v>
      </c>
      <c r="G53" s="199">
        <f t="shared" si="4"/>
        <v>0</v>
      </c>
      <c r="H53" s="197">
        <v>0</v>
      </c>
      <c r="I53" s="198">
        <f>+Perfils!$G$28</f>
        <v>50.23</v>
      </c>
      <c r="J53" s="199">
        <f t="shared" si="1"/>
        <v>0</v>
      </c>
      <c r="K53" s="197">
        <v>0</v>
      </c>
      <c r="L53" s="198">
        <f>+Perfils!$G$41</f>
        <v>54.09</v>
      </c>
      <c r="M53" s="199">
        <f t="shared" si="2"/>
        <v>0</v>
      </c>
      <c r="N53" s="198">
        <v>0</v>
      </c>
      <c r="O53" s="197">
        <f t="shared" si="3"/>
        <v>0</v>
      </c>
      <c r="P53" s="198">
        <f>+Perfils!$G$28</f>
        <v>50.23</v>
      </c>
      <c r="Q53" s="199">
        <v>0</v>
      </c>
      <c r="R53" s="200"/>
      <c r="S53" s="200"/>
      <c r="T53" s="201"/>
      <c r="U53" s="203"/>
      <c r="V53" s="203">
        <f t="shared" si="7"/>
        <v>0</v>
      </c>
      <c r="W53" s="203">
        <f t="shared" si="8"/>
        <v>0</v>
      </c>
      <c r="X53" s="204"/>
      <c r="Y53" s="204"/>
      <c r="Z53" s="204"/>
    </row>
    <row r="54" spans="1:26" s="205" customFormat="1" x14ac:dyDescent="0.25">
      <c r="A54" s="194" t="s">
        <v>222</v>
      </c>
      <c r="B54" s="194" t="s">
        <v>223</v>
      </c>
      <c r="C54" s="195" t="s">
        <v>335</v>
      </c>
      <c r="D54" s="196" t="s">
        <v>347</v>
      </c>
      <c r="E54" s="197">
        <v>0</v>
      </c>
      <c r="F54" s="198">
        <f>+Perfils!$G$15</f>
        <v>46.6</v>
      </c>
      <c r="G54" s="199">
        <f t="shared" si="4"/>
        <v>0</v>
      </c>
      <c r="H54" s="197">
        <v>0</v>
      </c>
      <c r="I54" s="198">
        <f>+Perfils!$G$28</f>
        <v>50.23</v>
      </c>
      <c r="J54" s="199">
        <f t="shared" si="1"/>
        <v>0</v>
      </c>
      <c r="K54" s="197">
        <v>0</v>
      </c>
      <c r="L54" s="198">
        <f>+Perfils!$G$41</f>
        <v>54.09</v>
      </c>
      <c r="M54" s="199">
        <f t="shared" si="2"/>
        <v>0</v>
      </c>
      <c r="N54" s="198">
        <v>0</v>
      </c>
      <c r="O54" s="197">
        <f t="shared" si="3"/>
        <v>0</v>
      </c>
      <c r="P54" s="198">
        <f>+Perfils!$G$28</f>
        <v>50.23</v>
      </c>
      <c r="Q54" s="199"/>
      <c r="R54" s="200"/>
      <c r="S54" s="200"/>
      <c r="T54" s="201"/>
      <c r="U54" s="203"/>
      <c r="V54" s="203">
        <f t="shared" si="7"/>
        <v>0</v>
      </c>
      <c r="W54" s="203">
        <f t="shared" si="8"/>
        <v>0</v>
      </c>
      <c r="X54" s="204"/>
      <c r="Y54" s="204"/>
      <c r="Z54" s="204"/>
    </row>
    <row r="55" spans="1:26" s="206" customFormat="1" x14ac:dyDescent="0.25">
      <c r="A55" s="196"/>
      <c r="B55" s="196"/>
      <c r="C55" s="195"/>
      <c r="D55" s="196"/>
      <c r="E55" s="207">
        <f>SUM(E15:E54)</f>
        <v>1123.0329041487844</v>
      </c>
      <c r="F55" s="198"/>
      <c r="G55" s="208">
        <f>SUM(G15:G54)</f>
        <v>52333.349999999991</v>
      </c>
      <c r="H55" s="207">
        <f>SUM(H15:H54)</f>
        <v>2571.5044130333795</v>
      </c>
      <c r="I55" s="198"/>
      <c r="J55" s="208">
        <f>SUM(J15:J54)</f>
        <v>129166.66</v>
      </c>
      <c r="K55" s="207">
        <f>SUM(K15:K54)</f>
        <v>800.20952733099159</v>
      </c>
      <c r="L55" s="198"/>
      <c r="M55" s="208">
        <f>SUM(M15:M54)</f>
        <v>43283.320000000007</v>
      </c>
      <c r="N55" s="198"/>
      <c r="O55" s="207">
        <f>SUM(O15:O54)</f>
        <v>0</v>
      </c>
      <c r="P55" s="198"/>
      <c r="Q55" s="208">
        <f>SUM(Q15:Q54)</f>
        <v>0</v>
      </c>
      <c r="R55" s="200"/>
      <c r="S55" s="200"/>
      <c r="T55" s="209"/>
      <c r="U55" s="208">
        <f>SUM(U15:U54)</f>
        <v>56195.833333333336</v>
      </c>
      <c r="V55" s="210">
        <f>SUM(V15:V54)</f>
        <v>224783.33000000002</v>
      </c>
      <c r="W55" s="210">
        <f>SUM(W15:W54)</f>
        <v>280979.16333333333</v>
      </c>
      <c r="X55" s="204"/>
      <c r="Y55" s="204"/>
      <c r="Z55" s="204"/>
    </row>
    <row r="56" spans="1:26" s="206" customFormat="1" x14ac:dyDescent="0.25">
      <c r="A56" s="196"/>
      <c r="B56" s="196"/>
      <c r="C56" s="195"/>
      <c r="D56" s="196" t="s">
        <v>199</v>
      </c>
      <c r="E56" s="207">
        <f>(E55/$E$13/8)/20</f>
        <v>3.509477825464951</v>
      </c>
      <c r="F56" s="198"/>
      <c r="G56" s="198"/>
      <c r="H56" s="207">
        <f>(H55/$E$13/8)/20</f>
        <v>8.0359512907293116</v>
      </c>
      <c r="I56" s="198"/>
      <c r="J56" s="198"/>
      <c r="K56" s="207">
        <f>(K55/$E$13/8)/20</f>
        <v>2.5006547729093489</v>
      </c>
      <c r="L56" s="198"/>
      <c r="M56" s="198"/>
      <c r="N56" s="198"/>
      <c r="O56" s="198"/>
      <c r="P56" s="198"/>
      <c r="Q56" s="198"/>
      <c r="R56" s="200"/>
      <c r="S56" s="200"/>
      <c r="T56" s="209"/>
      <c r="U56" s="203"/>
      <c r="V56" s="203"/>
      <c r="W56" s="203"/>
      <c r="X56" s="204"/>
      <c r="Y56" s="204"/>
      <c r="Z56" s="204"/>
    </row>
    <row r="57" spans="1:26" s="205" customFormat="1" ht="15.75" thickBot="1" x14ac:dyDescent="0.3">
      <c r="A57" s="211"/>
      <c r="B57" s="211"/>
      <c r="C57" s="212"/>
      <c r="D57" s="211"/>
      <c r="E57" s="213"/>
      <c r="F57" s="214"/>
      <c r="G57" s="215"/>
      <c r="H57" s="213"/>
      <c r="I57" s="214"/>
      <c r="J57" s="215"/>
      <c r="K57" s="213"/>
      <c r="L57" s="214"/>
      <c r="M57" s="215"/>
      <c r="N57" s="214"/>
      <c r="O57" s="214"/>
      <c r="P57" s="214"/>
      <c r="Q57" s="214"/>
      <c r="R57" s="216"/>
      <c r="S57" s="216"/>
      <c r="T57" s="217"/>
      <c r="U57" s="218"/>
      <c r="V57" s="218"/>
      <c r="W57" s="218"/>
      <c r="X57" s="204"/>
      <c r="Y57" s="204"/>
      <c r="Z57" s="204"/>
    </row>
    <row r="58" spans="1:26" s="205" customFormat="1" x14ac:dyDescent="0.25">
      <c r="A58" s="219" t="s">
        <v>383</v>
      </c>
      <c r="B58" s="220" t="s">
        <v>384</v>
      </c>
      <c r="C58" s="221" t="s">
        <v>417</v>
      </c>
      <c r="D58" s="222" t="s">
        <v>385</v>
      </c>
      <c r="E58" s="197">
        <v>107.29613733905579</v>
      </c>
      <c r="F58" s="198">
        <f>+Perfils!$G$15</f>
        <v>46.6</v>
      </c>
      <c r="G58" s="199">
        <f t="shared" ref="G58:G76" si="9">+ROUND(E58*F58,2)</f>
        <v>5000</v>
      </c>
      <c r="H58" s="197">
        <v>49.771053155484772</v>
      </c>
      <c r="I58" s="198">
        <f>+Perfils!$G$28</f>
        <v>50.23</v>
      </c>
      <c r="J58" s="199">
        <f t="shared" ref="J58:J76" si="10">+ROUND(H58*I58,2)</f>
        <v>2500</v>
      </c>
      <c r="K58" s="197">
        <v>15.406421396438033</v>
      </c>
      <c r="L58" s="198">
        <f>+Perfils!$G$41</f>
        <v>54.09</v>
      </c>
      <c r="M58" s="199">
        <f t="shared" ref="M58:M76" si="11">+ROUND(K58*L58,2)</f>
        <v>833.33</v>
      </c>
      <c r="N58" s="198">
        <v>0</v>
      </c>
      <c r="O58" s="197">
        <f t="shared" ref="O58:O76" si="12">+Q58/P58</f>
        <v>0</v>
      </c>
      <c r="P58" s="198">
        <f>+Perfils!$G$28</f>
        <v>50.23</v>
      </c>
      <c r="Q58" s="199">
        <v>0</v>
      </c>
      <c r="R58" s="200">
        <f t="shared" ref="R58:R76" si="13">+$B$2</f>
        <v>44814</v>
      </c>
      <c r="S58" s="200">
        <f t="shared" ref="S58:S76" si="14">+$B$3</f>
        <v>44875</v>
      </c>
      <c r="T58" s="201">
        <v>2</v>
      </c>
      <c r="U58" s="203">
        <v>2083.3333333333335</v>
      </c>
      <c r="V58" s="203">
        <f t="shared" ref="V58:V76" si="15">+G58+J58+M58+N58+Q58</f>
        <v>8333.33</v>
      </c>
      <c r="W58" s="203">
        <f t="shared" ref="W58:W59" si="16">SUM(U58:V58)</f>
        <v>10416.663333333334</v>
      </c>
      <c r="X58" s="204"/>
      <c r="Y58" s="204"/>
      <c r="Z58" s="204"/>
    </row>
    <row r="59" spans="1:26" s="205" customFormat="1" x14ac:dyDescent="0.25">
      <c r="A59" s="223" t="s">
        <v>386</v>
      </c>
      <c r="B59" s="224" t="s">
        <v>387</v>
      </c>
      <c r="C59" s="221" t="s">
        <v>388</v>
      </c>
      <c r="D59" s="222" t="s">
        <v>389</v>
      </c>
      <c r="E59" s="197">
        <v>54.72103004291845</v>
      </c>
      <c r="F59" s="198">
        <f>+Perfils!$G$15</f>
        <v>46.6</v>
      </c>
      <c r="G59" s="199">
        <f t="shared" si="9"/>
        <v>2550</v>
      </c>
      <c r="H59" s="197">
        <v>40.613179374875578</v>
      </c>
      <c r="I59" s="198">
        <f>+Perfils!$G$28</f>
        <v>50.23</v>
      </c>
      <c r="J59" s="199">
        <f t="shared" si="10"/>
        <v>2040</v>
      </c>
      <c r="K59" s="197">
        <v>9.4287298946200764</v>
      </c>
      <c r="L59" s="198">
        <f>+Perfils!$G$41</f>
        <v>54.09</v>
      </c>
      <c r="M59" s="199">
        <f t="shared" si="11"/>
        <v>510</v>
      </c>
      <c r="N59" s="198">
        <v>0</v>
      </c>
      <c r="O59" s="197">
        <f t="shared" si="12"/>
        <v>0</v>
      </c>
      <c r="P59" s="198">
        <f>+Perfils!$G$28</f>
        <v>50.23</v>
      </c>
      <c r="Q59" s="199">
        <v>0</v>
      </c>
      <c r="R59" s="200">
        <f t="shared" si="13"/>
        <v>44814</v>
      </c>
      <c r="S59" s="200">
        <f t="shared" si="14"/>
        <v>44875</v>
      </c>
      <c r="T59" s="201">
        <v>2</v>
      </c>
      <c r="U59" s="203">
        <v>1275</v>
      </c>
      <c r="V59" s="203">
        <f t="shared" si="15"/>
        <v>5100</v>
      </c>
      <c r="W59" s="203">
        <f t="shared" si="16"/>
        <v>6375</v>
      </c>
      <c r="X59" s="204"/>
      <c r="Y59" s="204"/>
      <c r="Z59" s="204"/>
    </row>
    <row r="60" spans="1:26" s="205" customFormat="1" ht="30" x14ac:dyDescent="0.25">
      <c r="A60" s="223" t="s">
        <v>390</v>
      </c>
      <c r="B60" s="224" t="s">
        <v>391</v>
      </c>
      <c r="C60" s="221" t="s">
        <v>415</v>
      </c>
      <c r="D60" s="222" t="s">
        <v>392</v>
      </c>
      <c r="E60" s="197">
        <v>80.472103004291839</v>
      </c>
      <c r="F60" s="198">
        <f>+Perfils!$G$15</f>
        <v>46.6</v>
      </c>
      <c r="G60" s="199">
        <f t="shared" si="9"/>
        <v>3750</v>
      </c>
      <c r="H60" s="197">
        <v>207.37938814785321</v>
      </c>
      <c r="I60" s="198">
        <f>+Perfils!$G$28</f>
        <v>50.23</v>
      </c>
      <c r="J60" s="199">
        <f t="shared" si="10"/>
        <v>10416.67</v>
      </c>
      <c r="K60" s="197">
        <v>123.25137117150426</v>
      </c>
      <c r="L60" s="198">
        <f>+Perfils!$G$41</f>
        <v>54.09</v>
      </c>
      <c r="M60" s="199">
        <f t="shared" si="11"/>
        <v>6666.67</v>
      </c>
      <c r="N60" s="198">
        <v>0</v>
      </c>
      <c r="O60" s="197">
        <f t="shared" si="12"/>
        <v>0</v>
      </c>
      <c r="P60" s="198">
        <f>+Perfils!$G$28</f>
        <v>50.23</v>
      </c>
      <c r="Q60" s="199">
        <v>0</v>
      </c>
      <c r="R60" s="200">
        <f t="shared" si="13"/>
        <v>44814</v>
      </c>
      <c r="S60" s="200">
        <f t="shared" si="14"/>
        <v>44875</v>
      </c>
      <c r="T60" s="201">
        <v>2</v>
      </c>
      <c r="U60" s="203">
        <v>5208.333333333333</v>
      </c>
      <c r="V60" s="203">
        <f t="shared" si="15"/>
        <v>20833.34</v>
      </c>
      <c r="W60" s="203">
        <f>SUM(U60:V60)</f>
        <v>26041.673333333332</v>
      </c>
      <c r="X60" s="204"/>
      <c r="Y60" s="204"/>
      <c r="Z60" s="204"/>
    </row>
    <row r="61" spans="1:26" s="205" customFormat="1" x14ac:dyDescent="0.25">
      <c r="A61" s="223" t="s">
        <v>357</v>
      </c>
      <c r="B61" s="224" t="s">
        <v>363</v>
      </c>
      <c r="C61" s="221"/>
      <c r="D61" s="222"/>
      <c r="E61" s="197">
        <v>13.350393419170242</v>
      </c>
      <c r="F61" s="198">
        <f>+Perfils!$G$15</f>
        <v>46.6</v>
      </c>
      <c r="G61" s="199">
        <f t="shared" si="9"/>
        <v>622.13</v>
      </c>
      <c r="H61" s="197">
        <v>38.268597783529103</v>
      </c>
      <c r="I61" s="198">
        <f>+Perfils!$G$28</f>
        <v>50.23</v>
      </c>
      <c r="J61" s="199">
        <f t="shared" si="10"/>
        <v>1922.23</v>
      </c>
      <c r="K61" s="197">
        <v>25.683089911875268</v>
      </c>
      <c r="L61" s="198">
        <f>+Perfils!$G$41</f>
        <v>54.09</v>
      </c>
      <c r="M61" s="199">
        <f t="shared" si="11"/>
        <v>1389.2</v>
      </c>
      <c r="N61" s="198">
        <v>0</v>
      </c>
      <c r="O61" s="197">
        <f t="shared" si="12"/>
        <v>0</v>
      </c>
      <c r="P61" s="198">
        <f>+Perfils!$G$28</f>
        <v>50.23</v>
      </c>
      <c r="Q61" s="199">
        <v>0</v>
      </c>
      <c r="R61" s="200">
        <f t="shared" si="13"/>
        <v>44814</v>
      </c>
      <c r="S61" s="200">
        <f t="shared" si="14"/>
        <v>44875</v>
      </c>
      <c r="T61" s="201">
        <v>2</v>
      </c>
      <c r="U61" s="203">
        <v>983.38958333333323</v>
      </c>
      <c r="V61" s="203">
        <f t="shared" si="15"/>
        <v>3933.5600000000004</v>
      </c>
      <c r="W61" s="203">
        <f t="shared" ref="W61:W76" si="17">SUM(U61:V61)</f>
        <v>4916.949583333334</v>
      </c>
      <c r="X61" s="204"/>
      <c r="Y61" s="204"/>
      <c r="Z61" s="204"/>
    </row>
    <row r="62" spans="1:26" s="205" customFormat="1" x14ac:dyDescent="0.25">
      <c r="A62" s="223" t="s">
        <v>393</v>
      </c>
      <c r="B62" s="224" t="s">
        <v>394</v>
      </c>
      <c r="C62" s="221"/>
      <c r="D62" s="222"/>
      <c r="E62" s="197">
        <v>35.765379113018597</v>
      </c>
      <c r="F62" s="198">
        <f>+Perfils!$G$15</f>
        <v>46.6</v>
      </c>
      <c r="G62" s="199">
        <f t="shared" si="9"/>
        <v>1666.67</v>
      </c>
      <c r="H62" s="197">
        <v>59.725263786581728</v>
      </c>
      <c r="I62" s="198">
        <f>+Perfils!$G$28</f>
        <v>50.23</v>
      </c>
      <c r="J62" s="199">
        <f t="shared" si="10"/>
        <v>3000</v>
      </c>
      <c r="K62" s="197">
        <v>36.975411351451285</v>
      </c>
      <c r="L62" s="198">
        <f>+Perfils!$G$41</f>
        <v>54.09</v>
      </c>
      <c r="M62" s="199">
        <f t="shared" si="11"/>
        <v>2000</v>
      </c>
      <c r="N62" s="198">
        <v>0</v>
      </c>
      <c r="O62" s="197">
        <f t="shared" si="12"/>
        <v>0</v>
      </c>
      <c r="P62" s="198">
        <f>+Perfils!$G$28</f>
        <v>50.23</v>
      </c>
      <c r="Q62" s="199">
        <v>0</v>
      </c>
      <c r="R62" s="200">
        <f t="shared" si="13"/>
        <v>44814</v>
      </c>
      <c r="S62" s="200">
        <f t="shared" si="14"/>
        <v>44875</v>
      </c>
      <c r="T62" s="201">
        <v>2</v>
      </c>
      <c r="U62" s="203">
        <v>1666.6666666666665</v>
      </c>
      <c r="V62" s="203">
        <f t="shared" si="15"/>
        <v>6666.67</v>
      </c>
      <c r="W62" s="203">
        <f t="shared" si="17"/>
        <v>8333.3366666666661</v>
      </c>
      <c r="X62" s="204"/>
      <c r="Y62" s="204"/>
      <c r="Z62" s="204"/>
    </row>
    <row r="63" spans="1:26" s="205" customFormat="1" x14ac:dyDescent="0.25">
      <c r="A63" s="223" t="s">
        <v>395</v>
      </c>
      <c r="B63" s="224" t="s">
        <v>413</v>
      </c>
      <c r="C63" s="221" t="s">
        <v>427</v>
      </c>
      <c r="D63" s="222"/>
      <c r="E63" s="197">
        <v>52.41630901287553</v>
      </c>
      <c r="F63" s="198">
        <f>+Perfils!$G$15</f>
        <v>46.6</v>
      </c>
      <c r="G63" s="199">
        <f t="shared" si="9"/>
        <v>2442.6</v>
      </c>
      <c r="H63" s="197">
        <v>154.75150972194572</v>
      </c>
      <c r="I63" s="198">
        <f>+Perfils!$G$28</f>
        <v>50.23</v>
      </c>
      <c r="J63" s="199">
        <f t="shared" si="10"/>
        <v>7773.17</v>
      </c>
      <c r="K63" s="197">
        <v>67.737104825291183</v>
      </c>
      <c r="L63" s="198">
        <f>+Perfils!$G$41</f>
        <v>54.09</v>
      </c>
      <c r="M63" s="199">
        <f t="shared" si="11"/>
        <v>3663.9</v>
      </c>
      <c r="N63" s="198">
        <v>0</v>
      </c>
      <c r="O63" s="197">
        <f t="shared" si="12"/>
        <v>0</v>
      </c>
      <c r="P63" s="198">
        <f>+Perfils!$G$28</f>
        <v>50.23</v>
      </c>
      <c r="Q63" s="199">
        <v>0</v>
      </c>
      <c r="R63" s="200">
        <f t="shared" si="13"/>
        <v>44814</v>
      </c>
      <c r="S63" s="200">
        <f t="shared" si="14"/>
        <v>44875</v>
      </c>
      <c r="T63" s="201">
        <v>2</v>
      </c>
      <c r="U63" s="203">
        <v>3469.9170833333333</v>
      </c>
      <c r="V63" s="203">
        <f t="shared" si="15"/>
        <v>13879.67</v>
      </c>
      <c r="W63" s="203">
        <f t="shared" si="17"/>
        <v>17349.587083333332</v>
      </c>
      <c r="X63" s="204"/>
      <c r="Y63" s="204"/>
      <c r="Z63" s="204"/>
    </row>
    <row r="64" spans="1:26" s="205" customFormat="1" x14ac:dyDescent="0.25">
      <c r="A64" s="223" t="s">
        <v>390</v>
      </c>
      <c r="B64" s="224" t="s">
        <v>391</v>
      </c>
      <c r="C64" s="221" t="s">
        <v>361</v>
      </c>
      <c r="D64" s="225" t="s">
        <v>396</v>
      </c>
      <c r="E64" s="197">
        <v>0</v>
      </c>
      <c r="F64" s="198">
        <f>+Perfils!$G$15</f>
        <v>46.6</v>
      </c>
      <c r="G64" s="199">
        <f t="shared" si="9"/>
        <v>0</v>
      </c>
      <c r="H64" s="197">
        <v>0</v>
      </c>
      <c r="I64" s="198">
        <f>+Perfils!$G$28</f>
        <v>50.23</v>
      </c>
      <c r="J64" s="199">
        <f t="shared" si="10"/>
        <v>0</v>
      </c>
      <c r="K64" s="197">
        <v>0</v>
      </c>
      <c r="L64" s="198">
        <f>+Perfils!$G$41</f>
        <v>54.09</v>
      </c>
      <c r="M64" s="199">
        <f t="shared" si="11"/>
        <v>0</v>
      </c>
      <c r="N64" s="198">
        <v>0</v>
      </c>
      <c r="O64" s="197">
        <f t="shared" ref="O64" si="18">+Q64/P64</f>
        <v>0</v>
      </c>
      <c r="P64" s="198">
        <f>+Perfils!$G$28</f>
        <v>50.23</v>
      </c>
      <c r="Q64" s="199">
        <v>0</v>
      </c>
      <c r="R64" s="200">
        <f t="shared" si="13"/>
        <v>44814</v>
      </c>
      <c r="S64" s="200">
        <f t="shared" si="14"/>
        <v>44875</v>
      </c>
      <c r="T64" s="201">
        <v>2</v>
      </c>
      <c r="U64" s="203">
        <v>0</v>
      </c>
      <c r="V64" s="203">
        <f t="shared" ref="V64" si="19">+G64+J64+M64+N64+Q64</f>
        <v>0</v>
      </c>
      <c r="W64" s="203">
        <f t="shared" ref="W64" si="20">SUM(U64:V64)</f>
        <v>0</v>
      </c>
      <c r="X64" s="204"/>
      <c r="Y64" s="204"/>
      <c r="Z64" s="204"/>
    </row>
    <row r="65" spans="1:26" s="205" customFormat="1" x14ac:dyDescent="0.25">
      <c r="A65" s="223" t="s">
        <v>358</v>
      </c>
      <c r="B65" s="224" t="s">
        <v>364</v>
      </c>
      <c r="C65" s="221" t="s">
        <v>369</v>
      </c>
      <c r="D65" s="222" t="s">
        <v>364</v>
      </c>
      <c r="E65" s="197">
        <v>56.33047210300429</v>
      </c>
      <c r="F65" s="198">
        <f>+Perfils!$G$15</f>
        <v>46.6</v>
      </c>
      <c r="G65" s="199">
        <f t="shared" si="9"/>
        <v>2625</v>
      </c>
      <c r="H65" s="197">
        <v>94.067290463866215</v>
      </c>
      <c r="I65" s="198">
        <f>+Perfils!$G$28</f>
        <v>50.23</v>
      </c>
      <c r="J65" s="199">
        <f t="shared" si="10"/>
        <v>4725</v>
      </c>
      <c r="K65" s="197">
        <v>58.236272878535772</v>
      </c>
      <c r="L65" s="198">
        <f>+Perfils!$G$41</f>
        <v>54.09</v>
      </c>
      <c r="M65" s="199">
        <f t="shared" si="11"/>
        <v>3150</v>
      </c>
      <c r="N65" s="198">
        <v>0</v>
      </c>
      <c r="O65" s="197">
        <f t="shared" si="12"/>
        <v>0</v>
      </c>
      <c r="P65" s="198">
        <f>+Perfils!$G$28</f>
        <v>50.23</v>
      </c>
      <c r="Q65" s="199">
        <v>0</v>
      </c>
      <c r="R65" s="200">
        <f t="shared" si="13"/>
        <v>44814</v>
      </c>
      <c r="S65" s="200">
        <f t="shared" si="14"/>
        <v>44875</v>
      </c>
      <c r="T65" s="201">
        <v>2</v>
      </c>
      <c r="U65" s="203">
        <v>2625</v>
      </c>
      <c r="V65" s="203">
        <f t="shared" si="15"/>
        <v>10500</v>
      </c>
      <c r="W65" s="203">
        <f t="shared" si="17"/>
        <v>13125</v>
      </c>
      <c r="X65" s="204"/>
      <c r="Y65" s="204"/>
      <c r="Z65" s="204"/>
    </row>
    <row r="66" spans="1:26" s="205" customFormat="1" x14ac:dyDescent="0.25">
      <c r="A66" s="223" t="s">
        <v>359</v>
      </c>
      <c r="B66" s="224" t="s">
        <v>365</v>
      </c>
      <c r="C66" s="221"/>
      <c r="D66" s="222" t="s">
        <v>370</v>
      </c>
      <c r="E66" s="197">
        <v>5.3648068669527893</v>
      </c>
      <c r="F66" s="198">
        <f>+Perfils!$G$15</f>
        <v>46.6</v>
      </c>
      <c r="G66" s="199">
        <f t="shared" si="9"/>
        <v>250</v>
      </c>
      <c r="H66" s="197">
        <v>8.9587895679872585</v>
      </c>
      <c r="I66" s="198">
        <f>+Perfils!$G$28</f>
        <v>50.23</v>
      </c>
      <c r="J66" s="199">
        <f t="shared" si="10"/>
        <v>450</v>
      </c>
      <c r="K66" s="197">
        <v>5.5463117027176922</v>
      </c>
      <c r="L66" s="198">
        <f>+Perfils!$G$41</f>
        <v>54.09</v>
      </c>
      <c r="M66" s="199">
        <f t="shared" si="11"/>
        <v>300</v>
      </c>
      <c r="N66" s="198">
        <v>0</v>
      </c>
      <c r="O66" s="197">
        <f t="shared" si="12"/>
        <v>0</v>
      </c>
      <c r="P66" s="198">
        <f>+Perfils!$G$28</f>
        <v>50.23</v>
      </c>
      <c r="Q66" s="199">
        <v>0</v>
      </c>
      <c r="R66" s="200">
        <f t="shared" si="13"/>
        <v>44814</v>
      </c>
      <c r="S66" s="200">
        <f t="shared" si="14"/>
        <v>44875</v>
      </c>
      <c r="T66" s="201">
        <v>2</v>
      </c>
      <c r="U66" s="203">
        <v>250</v>
      </c>
      <c r="V66" s="203">
        <f t="shared" si="15"/>
        <v>1000</v>
      </c>
      <c r="W66" s="203">
        <f t="shared" si="17"/>
        <v>1250</v>
      </c>
      <c r="X66" s="204"/>
      <c r="Y66" s="204"/>
      <c r="Z66" s="204"/>
    </row>
    <row r="67" spans="1:26" s="205" customFormat="1" x14ac:dyDescent="0.25">
      <c r="A67" s="223" t="s">
        <v>359</v>
      </c>
      <c r="B67" s="224" t="s">
        <v>365</v>
      </c>
      <c r="C67" s="221"/>
      <c r="D67" s="222" t="s">
        <v>371</v>
      </c>
      <c r="E67" s="197">
        <v>0</v>
      </c>
      <c r="F67" s="198">
        <f>+Perfils!$G$15</f>
        <v>46.6</v>
      </c>
      <c r="G67" s="199">
        <f t="shared" si="9"/>
        <v>0</v>
      </c>
      <c r="H67" s="197">
        <v>0</v>
      </c>
      <c r="I67" s="198">
        <f>+Perfils!$G$28</f>
        <v>50.23</v>
      </c>
      <c r="J67" s="199">
        <f t="shared" si="10"/>
        <v>0</v>
      </c>
      <c r="K67" s="197">
        <v>0</v>
      </c>
      <c r="L67" s="198">
        <f>+Perfils!$G$41</f>
        <v>54.09</v>
      </c>
      <c r="M67" s="199">
        <f t="shared" si="11"/>
        <v>0</v>
      </c>
      <c r="N67" s="198">
        <v>0</v>
      </c>
      <c r="O67" s="197">
        <f t="shared" si="12"/>
        <v>0</v>
      </c>
      <c r="P67" s="198">
        <f>+Perfils!$G$28</f>
        <v>50.23</v>
      </c>
      <c r="Q67" s="199">
        <v>0</v>
      </c>
      <c r="R67" s="200">
        <f t="shared" si="13"/>
        <v>44814</v>
      </c>
      <c r="S67" s="200">
        <f t="shared" si="14"/>
        <v>44875</v>
      </c>
      <c r="T67" s="201">
        <v>2</v>
      </c>
      <c r="U67" s="203">
        <v>0</v>
      </c>
      <c r="V67" s="203">
        <f t="shared" si="15"/>
        <v>0</v>
      </c>
      <c r="W67" s="203">
        <f t="shared" si="17"/>
        <v>0</v>
      </c>
      <c r="X67" s="204"/>
      <c r="Y67" s="204"/>
      <c r="Z67" s="204"/>
    </row>
    <row r="68" spans="1:26" s="205" customFormat="1" x14ac:dyDescent="0.25">
      <c r="A68" s="223" t="s">
        <v>360</v>
      </c>
      <c r="B68" s="224" t="s">
        <v>366</v>
      </c>
      <c r="C68" s="221" t="s">
        <v>372</v>
      </c>
      <c r="D68" s="222" t="s">
        <v>373</v>
      </c>
      <c r="E68" s="197">
        <v>16.094420600858367</v>
      </c>
      <c r="F68" s="198">
        <f>+Perfils!$G$15</f>
        <v>46.6</v>
      </c>
      <c r="G68" s="199">
        <f t="shared" si="9"/>
        <v>750</v>
      </c>
      <c r="H68" s="197">
        <v>26.876368703961777</v>
      </c>
      <c r="I68" s="198">
        <f>+Perfils!$G$28</f>
        <v>50.23</v>
      </c>
      <c r="J68" s="199">
        <f t="shared" si="10"/>
        <v>1350</v>
      </c>
      <c r="K68" s="197">
        <v>16.638935108153078</v>
      </c>
      <c r="L68" s="198">
        <f>+Perfils!$G$41</f>
        <v>54.09</v>
      </c>
      <c r="M68" s="199">
        <f t="shared" si="11"/>
        <v>900</v>
      </c>
      <c r="N68" s="198">
        <v>0</v>
      </c>
      <c r="O68" s="197">
        <f t="shared" si="12"/>
        <v>0</v>
      </c>
      <c r="P68" s="198">
        <f>+Perfils!$G$28</f>
        <v>50.23</v>
      </c>
      <c r="Q68" s="199">
        <v>0</v>
      </c>
      <c r="R68" s="200">
        <f t="shared" si="13"/>
        <v>44814</v>
      </c>
      <c r="S68" s="200">
        <f t="shared" si="14"/>
        <v>44875</v>
      </c>
      <c r="T68" s="201">
        <v>2</v>
      </c>
      <c r="U68" s="203">
        <v>750</v>
      </c>
      <c r="V68" s="203">
        <f t="shared" si="15"/>
        <v>3000</v>
      </c>
      <c r="W68" s="203">
        <f t="shared" si="17"/>
        <v>3750</v>
      </c>
      <c r="X68" s="204"/>
      <c r="Y68" s="204"/>
      <c r="Z68" s="204"/>
    </row>
    <row r="69" spans="1:26" s="205" customFormat="1" x14ac:dyDescent="0.25">
      <c r="A69" s="223" t="s">
        <v>361</v>
      </c>
      <c r="B69" s="224" t="s">
        <v>367</v>
      </c>
      <c r="C69" s="221" t="s">
        <v>374</v>
      </c>
      <c r="D69" s="222" t="s">
        <v>367</v>
      </c>
      <c r="E69" s="197">
        <v>0</v>
      </c>
      <c r="F69" s="198">
        <f>+Perfils!$G$15</f>
        <v>46.6</v>
      </c>
      <c r="G69" s="199">
        <f t="shared" si="9"/>
        <v>0</v>
      </c>
      <c r="H69" s="197">
        <v>0</v>
      </c>
      <c r="I69" s="198">
        <f>+Perfils!$G$28</f>
        <v>50.23</v>
      </c>
      <c r="J69" s="199">
        <f t="shared" si="10"/>
        <v>0</v>
      </c>
      <c r="K69" s="197">
        <v>0</v>
      </c>
      <c r="L69" s="198">
        <f>+Perfils!$G$41</f>
        <v>54.09</v>
      </c>
      <c r="M69" s="199">
        <f t="shared" si="11"/>
        <v>0</v>
      </c>
      <c r="N69" s="198">
        <v>0</v>
      </c>
      <c r="O69" s="197">
        <f t="shared" si="12"/>
        <v>0</v>
      </c>
      <c r="P69" s="198">
        <f>+Perfils!$G$28</f>
        <v>50.23</v>
      </c>
      <c r="Q69" s="199">
        <v>0</v>
      </c>
      <c r="R69" s="200">
        <f t="shared" si="13"/>
        <v>44814</v>
      </c>
      <c r="S69" s="200">
        <f t="shared" si="14"/>
        <v>44875</v>
      </c>
      <c r="T69" s="201">
        <v>2</v>
      </c>
      <c r="U69" s="203">
        <v>0</v>
      </c>
      <c r="V69" s="203">
        <f t="shared" si="15"/>
        <v>0</v>
      </c>
      <c r="W69" s="203">
        <f t="shared" si="17"/>
        <v>0</v>
      </c>
      <c r="X69" s="204"/>
      <c r="Y69" s="204"/>
      <c r="Z69" s="204"/>
    </row>
    <row r="70" spans="1:26" s="205" customFormat="1" x14ac:dyDescent="0.25">
      <c r="A70" s="223" t="s">
        <v>376</v>
      </c>
      <c r="B70" s="224" t="s">
        <v>377</v>
      </c>
      <c r="C70" s="123" t="s">
        <v>407</v>
      </c>
      <c r="D70" s="222" t="s">
        <v>377</v>
      </c>
      <c r="E70" s="197">
        <v>0</v>
      </c>
      <c r="F70" s="198">
        <f>+Perfils!$G$15</f>
        <v>46.6</v>
      </c>
      <c r="G70" s="199">
        <f t="shared" si="9"/>
        <v>0</v>
      </c>
      <c r="H70" s="197">
        <v>0</v>
      </c>
      <c r="I70" s="198">
        <f>+Perfils!$G$28</f>
        <v>50.23</v>
      </c>
      <c r="J70" s="199">
        <f t="shared" si="10"/>
        <v>0</v>
      </c>
      <c r="K70" s="197">
        <v>27.73155851358846</v>
      </c>
      <c r="L70" s="198">
        <f>+Perfils!$G$41</f>
        <v>54.09</v>
      </c>
      <c r="M70" s="199">
        <f t="shared" si="11"/>
        <v>1500</v>
      </c>
      <c r="N70" s="198">
        <v>0</v>
      </c>
      <c r="O70" s="197">
        <f t="shared" si="12"/>
        <v>0</v>
      </c>
      <c r="P70" s="198">
        <f>+Perfils!$G$28</f>
        <v>50.23</v>
      </c>
      <c r="Q70" s="199">
        <v>0</v>
      </c>
      <c r="R70" s="200">
        <f t="shared" si="13"/>
        <v>44814</v>
      </c>
      <c r="S70" s="200">
        <f t="shared" si="14"/>
        <v>44875</v>
      </c>
      <c r="T70" s="201">
        <v>2</v>
      </c>
      <c r="U70" s="203">
        <v>375</v>
      </c>
      <c r="V70" s="203">
        <f t="shared" si="15"/>
        <v>1500</v>
      </c>
      <c r="W70" s="203">
        <f t="shared" si="17"/>
        <v>1875</v>
      </c>
      <c r="X70" s="204"/>
      <c r="Y70" s="204"/>
      <c r="Z70" s="204"/>
    </row>
    <row r="71" spans="1:26" s="205" customFormat="1" x14ac:dyDescent="0.25">
      <c r="A71" s="223" t="s">
        <v>362</v>
      </c>
      <c r="B71" s="224" t="s">
        <v>368</v>
      </c>
      <c r="C71" s="226" t="s">
        <v>416</v>
      </c>
      <c r="D71" s="225" t="s">
        <v>375</v>
      </c>
      <c r="E71" s="197">
        <v>48.283261802575105</v>
      </c>
      <c r="F71" s="198">
        <f>+Perfils!$G$15</f>
        <v>46.6</v>
      </c>
      <c r="G71" s="199">
        <f t="shared" si="9"/>
        <v>2250</v>
      </c>
      <c r="H71" s="197">
        <v>59.725263786581728</v>
      </c>
      <c r="I71" s="198">
        <f>+Perfils!$G$28</f>
        <v>50.23</v>
      </c>
      <c r="J71" s="199">
        <f t="shared" si="10"/>
        <v>3000</v>
      </c>
      <c r="K71" s="197">
        <v>41.597337770382694</v>
      </c>
      <c r="L71" s="198">
        <f>+Perfils!$G$41</f>
        <v>54.09</v>
      </c>
      <c r="M71" s="199">
        <f t="shared" si="11"/>
        <v>2250</v>
      </c>
      <c r="N71" s="198">
        <v>0</v>
      </c>
      <c r="O71" s="197">
        <f t="shared" si="12"/>
        <v>0</v>
      </c>
      <c r="P71" s="198">
        <f>+Perfils!$G$28</f>
        <v>50.23</v>
      </c>
      <c r="Q71" s="199">
        <v>0</v>
      </c>
      <c r="R71" s="200">
        <f t="shared" si="13"/>
        <v>44814</v>
      </c>
      <c r="S71" s="200">
        <f t="shared" si="14"/>
        <v>44875</v>
      </c>
      <c r="T71" s="201">
        <v>2</v>
      </c>
      <c r="U71" s="203">
        <v>1875</v>
      </c>
      <c r="V71" s="203">
        <f t="shared" si="15"/>
        <v>7500</v>
      </c>
      <c r="W71" s="203">
        <f t="shared" si="17"/>
        <v>9375</v>
      </c>
      <c r="X71" s="204"/>
      <c r="Y71" s="204"/>
      <c r="Z71" s="204"/>
    </row>
    <row r="72" spans="1:26" s="205" customFormat="1" x14ac:dyDescent="0.25">
      <c r="A72" s="223" t="s">
        <v>397</v>
      </c>
      <c r="B72" s="224" t="s">
        <v>398</v>
      </c>
      <c r="C72" s="226" t="s">
        <v>399</v>
      </c>
      <c r="D72" s="225" t="s">
        <v>400</v>
      </c>
      <c r="E72" s="197">
        <v>35.407725321888414</v>
      </c>
      <c r="F72" s="198">
        <f>+Perfils!$G$15</f>
        <v>46.6</v>
      </c>
      <c r="G72" s="199">
        <f t="shared" si="9"/>
        <v>1650</v>
      </c>
      <c r="H72" s="197">
        <v>21.899263388413299</v>
      </c>
      <c r="I72" s="198">
        <f>+Perfils!$G$28</f>
        <v>50.23</v>
      </c>
      <c r="J72" s="199">
        <f t="shared" si="10"/>
        <v>1100</v>
      </c>
      <c r="K72" s="197">
        <v>16.947063536081838</v>
      </c>
      <c r="L72" s="198">
        <f>+Perfils!$G$41</f>
        <v>54.09</v>
      </c>
      <c r="M72" s="199">
        <f t="shared" si="11"/>
        <v>916.67</v>
      </c>
      <c r="N72" s="198">
        <v>0</v>
      </c>
      <c r="O72" s="197">
        <f t="shared" si="12"/>
        <v>0</v>
      </c>
      <c r="P72" s="198">
        <f>+Perfils!$G$28</f>
        <v>50.23</v>
      </c>
      <c r="Q72" s="199">
        <v>0</v>
      </c>
      <c r="R72" s="200">
        <f t="shared" si="13"/>
        <v>44814</v>
      </c>
      <c r="S72" s="200">
        <f t="shared" si="14"/>
        <v>44875</v>
      </c>
      <c r="T72" s="201">
        <v>2</v>
      </c>
      <c r="U72" s="203">
        <v>916.66666666666663</v>
      </c>
      <c r="V72" s="203">
        <f t="shared" si="15"/>
        <v>3666.67</v>
      </c>
      <c r="W72" s="203">
        <f t="shared" si="17"/>
        <v>4583.336666666667</v>
      </c>
      <c r="X72" s="204"/>
      <c r="Y72" s="204"/>
      <c r="Z72" s="204"/>
    </row>
    <row r="73" spans="1:26" s="205" customFormat="1" ht="30" x14ac:dyDescent="0.25">
      <c r="A73" s="223" t="s">
        <v>397</v>
      </c>
      <c r="B73" s="224" t="s">
        <v>398</v>
      </c>
      <c r="C73" s="226" t="s">
        <v>401</v>
      </c>
      <c r="D73" s="225" t="s">
        <v>402</v>
      </c>
      <c r="E73" s="197">
        <v>24.320457796852644</v>
      </c>
      <c r="F73" s="198">
        <f>+Perfils!$G$15</f>
        <v>46.6</v>
      </c>
      <c r="G73" s="199">
        <f t="shared" si="9"/>
        <v>1133.33</v>
      </c>
      <c r="H73" s="197">
        <v>22.562877430486427</v>
      </c>
      <c r="I73" s="198">
        <f>+Perfils!$G$28</f>
        <v>50.23</v>
      </c>
      <c r="J73" s="199">
        <f t="shared" si="10"/>
        <v>1133.33</v>
      </c>
      <c r="K73" s="197">
        <v>7.3950822702902563</v>
      </c>
      <c r="L73" s="198">
        <f>+Perfils!$G$41</f>
        <v>54.09</v>
      </c>
      <c r="M73" s="199">
        <f t="shared" si="11"/>
        <v>400</v>
      </c>
      <c r="N73" s="198">
        <v>0</v>
      </c>
      <c r="O73" s="197">
        <f t="shared" si="12"/>
        <v>0</v>
      </c>
      <c r="P73" s="198">
        <f>+Perfils!$G$28</f>
        <v>50.23</v>
      </c>
      <c r="Q73" s="199">
        <v>0</v>
      </c>
      <c r="R73" s="200">
        <f t="shared" si="13"/>
        <v>44814</v>
      </c>
      <c r="S73" s="200">
        <f t="shared" si="14"/>
        <v>44875</v>
      </c>
      <c r="T73" s="201">
        <v>2</v>
      </c>
      <c r="U73" s="203">
        <v>666.66666666666663</v>
      </c>
      <c r="V73" s="203">
        <f t="shared" si="15"/>
        <v>2666.66</v>
      </c>
      <c r="W73" s="203">
        <f t="shared" si="17"/>
        <v>3333.3266666666664</v>
      </c>
      <c r="X73" s="204"/>
      <c r="Y73" s="204"/>
      <c r="Z73" s="204"/>
    </row>
    <row r="74" spans="1:26" s="205" customFormat="1" ht="30" x14ac:dyDescent="0.25">
      <c r="A74" s="223" t="s">
        <v>397</v>
      </c>
      <c r="B74" s="224" t="s">
        <v>398</v>
      </c>
      <c r="C74" s="226" t="s">
        <v>401</v>
      </c>
      <c r="D74" s="225" t="s">
        <v>403</v>
      </c>
      <c r="E74" s="197">
        <v>12.160228898426322</v>
      </c>
      <c r="F74" s="198">
        <f>+Perfils!$G$15</f>
        <v>46.6</v>
      </c>
      <c r="G74" s="199">
        <f t="shared" si="9"/>
        <v>566.66999999999996</v>
      </c>
      <c r="H74" s="197">
        <v>11.281438715243214</v>
      </c>
      <c r="I74" s="198">
        <f>+Perfils!$G$28</f>
        <v>50.23</v>
      </c>
      <c r="J74" s="199">
        <f t="shared" si="10"/>
        <v>566.66999999999996</v>
      </c>
      <c r="K74" s="197">
        <v>3.6975411351451282</v>
      </c>
      <c r="L74" s="198">
        <f>+Perfils!$G$41</f>
        <v>54.09</v>
      </c>
      <c r="M74" s="199">
        <f t="shared" si="11"/>
        <v>200</v>
      </c>
      <c r="N74" s="198">
        <v>0</v>
      </c>
      <c r="O74" s="197">
        <f t="shared" si="12"/>
        <v>0</v>
      </c>
      <c r="P74" s="198">
        <f>+Perfils!$G$28</f>
        <v>50.23</v>
      </c>
      <c r="Q74" s="199">
        <v>0</v>
      </c>
      <c r="R74" s="200">
        <f t="shared" si="13"/>
        <v>44814</v>
      </c>
      <c r="S74" s="200">
        <f t="shared" si="14"/>
        <v>44875</v>
      </c>
      <c r="T74" s="201">
        <v>2</v>
      </c>
      <c r="U74" s="203">
        <v>333.33333333333331</v>
      </c>
      <c r="V74" s="203">
        <f t="shared" si="15"/>
        <v>1333.34</v>
      </c>
      <c r="W74" s="203">
        <f t="shared" si="17"/>
        <v>1666.6733333333332</v>
      </c>
      <c r="X74" s="204"/>
      <c r="Y74" s="204"/>
      <c r="Z74" s="204"/>
    </row>
    <row r="75" spans="1:26" s="205" customFormat="1" ht="30" x14ac:dyDescent="0.25">
      <c r="A75" s="223" t="s">
        <v>361</v>
      </c>
      <c r="B75" s="224" t="s">
        <v>418</v>
      </c>
      <c r="C75" s="226" t="s">
        <v>401</v>
      </c>
      <c r="D75" s="225" t="s">
        <v>418</v>
      </c>
      <c r="E75" s="197">
        <v>71.530758226037193</v>
      </c>
      <c r="F75" s="198">
        <f>+Perfils!$G$15</f>
        <v>46.6</v>
      </c>
      <c r="G75" s="199">
        <f t="shared" si="9"/>
        <v>3333.33</v>
      </c>
      <c r="H75" s="197">
        <v>33.180702103656515</v>
      </c>
      <c r="I75" s="198">
        <f>+Perfils!$G$28</f>
        <v>50.23</v>
      </c>
      <c r="J75" s="199">
        <f t="shared" si="10"/>
        <v>1666.67</v>
      </c>
      <c r="K75" s="197">
        <v>15.406421396438033</v>
      </c>
      <c r="L75" s="198">
        <f>+Perfils!$G$41</f>
        <v>54.09</v>
      </c>
      <c r="M75" s="199">
        <f t="shared" si="11"/>
        <v>833.33</v>
      </c>
      <c r="N75" s="198">
        <v>0</v>
      </c>
      <c r="O75" s="197">
        <f t="shared" ref="O75" si="21">+Q75/P75</f>
        <v>0</v>
      </c>
      <c r="P75" s="198">
        <f>+Perfils!$G$28</f>
        <v>50.23</v>
      </c>
      <c r="Q75" s="199">
        <v>0</v>
      </c>
      <c r="R75" s="200">
        <f t="shared" si="13"/>
        <v>44814</v>
      </c>
      <c r="S75" s="200">
        <f t="shared" si="14"/>
        <v>44875</v>
      </c>
      <c r="T75" s="201">
        <v>2</v>
      </c>
      <c r="U75" s="203">
        <v>1458.3333333333333</v>
      </c>
      <c r="V75" s="203">
        <f t="shared" ref="V75" si="22">+G75+J75+M75+N75+Q75</f>
        <v>5833.33</v>
      </c>
      <c r="W75" s="203">
        <f t="shared" ref="W75" si="23">SUM(U75:V75)</f>
        <v>7291.663333333333</v>
      </c>
      <c r="X75" s="204"/>
      <c r="Y75" s="204"/>
      <c r="Z75" s="204"/>
    </row>
    <row r="76" spans="1:26" s="205" customFormat="1" x14ac:dyDescent="0.25">
      <c r="A76" s="227" t="s">
        <v>404</v>
      </c>
      <c r="B76" s="224" t="s">
        <v>405</v>
      </c>
      <c r="C76" s="225"/>
      <c r="D76" s="225" t="s">
        <v>406</v>
      </c>
      <c r="E76" s="197">
        <v>8.9413447782546491</v>
      </c>
      <c r="F76" s="198">
        <f>+Perfils!$G$15</f>
        <v>46.6</v>
      </c>
      <c r="G76" s="199">
        <f t="shared" si="9"/>
        <v>416.67</v>
      </c>
      <c r="H76" s="197">
        <v>147.65412436127147</v>
      </c>
      <c r="I76" s="198">
        <f>+Perfils!$G$28</f>
        <v>50.23</v>
      </c>
      <c r="J76" s="199">
        <f t="shared" si="10"/>
        <v>7416.67</v>
      </c>
      <c r="K76" s="197">
        <v>9.2438528378628213</v>
      </c>
      <c r="L76" s="198">
        <f>+Perfils!$G$41</f>
        <v>54.09</v>
      </c>
      <c r="M76" s="199">
        <f t="shared" si="11"/>
        <v>500</v>
      </c>
      <c r="N76" s="198">
        <v>0</v>
      </c>
      <c r="O76" s="197">
        <f t="shared" si="12"/>
        <v>0</v>
      </c>
      <c r="P76" s="198">
        <f>+Perfils!$G$28</f>
        <v>50.23</v>
      </c>
      <c r="Q76" s="199">
        <v>0</v>
      </c>
      <c r="R76" s="200">
        <f t="shared" si="13"/>
        <v>44814</v>
      </c>
      <c r="S76" s="200">
        <f t="shared" si="14"/>
        <v>44875</v>
      </c>
      <c r="T76" s="201"/>
      <c r="U76" s="225"/>
      <c r="V76" s="203">
        <f t="shared" si="15"/>
        <v>8333.34</v>
      </c>
      <c r="W76" s="203">
        <f t="shared" si="17"/>
        <v>8333.34</v>
      </c>
      <c r="X76" s="204"/>
      <c r="Y76" s="204"/>
      <c r="Z76" s="204"/>
    </row>
    <row r="77" spans="1:26" s="206" customFormat="1" ht="15.75" thickBot="1" x14ac:dyDescent="0.3">
      <c r="A77" s="228"/>
      <c r="B77" s="229"/>
      <c r="C77" s="229"/>
      <c r="D77" s="229"/>
      <c r="E77" s="230">
        <f>SUM(E58:E76)</f>
        <v>622.45482832618018</v>
      </c>
      <c r="F77" s="231"/>
      <c r="G77" s="232">
        <f>SUM(G58:G76)</f>
        <v>29006.400000000001</v>
      </c>
      <c r="H77" s="230">
        <f>SUM(H58:H76)</f>
        <v>976.71511049173807</v>
      </c>
      <c r="I77" s="233"/>
      <c r="J77" s="232">
        <f>SUM(J58:J76)</f>
        <v>49060.409999999996</v>
      </c>
      <c r="K77" s="230">
        <f>SUM(K58:K76)</f>
        <v>480.92250570037584</v>
      </c>
      <c r="L77" s="233"/>
      <c r="M77" s="232">
        <f>SUM(M58:M76)</f>
        <v>26013.1</v>
      </c>
      <c r="O77" s="207">
        <f>SUM(O35:O76)</f>
        <v>0</v>
      </c>
      <c r="P77" s="198"/>
      <c r="Q77" s="208">
        <f>SUM(Q35:Q76)</f>
        <v>0</v>
      </c>
      <c r="R77" s="234"/>
      <c r="S77" s="234"/>
      <c r="T77" s="235"/>
      <c r="U77" s="232">
        <f>SUM(U58:U76)</f>
        <v>23936.639999999999</v>
      </c>
      <c r="V77" s="236">
        <f>SUM(V58:V76)</f>
        <v>104079.90999999999</v>
      </c>
      <c r="W77" s="237">
        <f>SUM(W58:W76)</f>
        <v>128016.55</v>
      </c>
      <c r="X77" s="204"/>
      <c r="Y77" s="204"/>
      <c r="Z77" s="204"/>
    </row>
    <row r="78" spans="1:26" s="206" customFormat="1" x14ac:dyDescent="0.25">
      <c r="A78" s="238"/>
      <c r="B78" s="239"/>
      <c r="C78" s="239"/>
      <c r="D78" s="240" t="s">
        <v>199</v>
      </c>
      <c r="E78" s="241">
        <f>(E77/$E$13/8)/20</f>
        <v>1.945171338519313</v>
      </c>
      <c r="F78" s="242"/>
      <c r="G78" s="243"/>
      <c r="H78" s="241">
        <f>(H77/$E$13/8)/20</f>
        <v>3.0522347202866813</v>
      </c>
      <c r="I78" s="243"/>
      <c r="J78" s="243"/>
      <c r="K78" s="241">
        <f>(K77/$E$13/8)/20</f>
        <v>1.5028828303136745</v>
      </c>
      <c r="L78" s="243"/>
      <c r="M78" s="243"/>
      <c r="N78" s="243"/>
      <c r="O78" s="243"/>
      <c r="P78" s="243"/>
      <c r="Q78" s="243"/>
      <c r="R78" s="244"/>
      <c r="S78" s="244"/>
      <c r="T78" s="245"/>
      <c r="U78" s="246"/>
      <c r="V78" s="246"/>
      <c r="W78" s="246"/>
      <c r="X78" s="204"/>
      <c r="Y78" s="204"/>
      <c r="Z78" s="204"/>
    </row>
    <row r="79" spans="1:26" s="205" customFormat="1" x14ac:dyDescent="0.25">
      <c r="A79" s="196"/>
      <c r="B79" s="196"/>
      <c r="C79" s="195"/>
      <c r="D79" s="196"/>
      <c r="E79" s="197"/>
      <c r="F79" s="198"/>
      <c r="G79" s="199"/>
      <c r="H79" s="197"/>
      <c r="I79" s="198"/>
      <c r="J79" s="199"/>
      <c r="K79" s="197"/>
      <c r="L79" s="198"/>
      <c r="M79" s="199"/>
      <c r="N79" s="198"/>
      <c r="O79" s="198"/>
      <c r="P79" s="198"/>
      <c r="Q79" s="198"/>
      <c r="R79" s="200"/>
      <c r="S79" s="200"/>
      <c r="T79" s="201"/>
      <c r="U79" s="203"/>
      <c r="V79" s="203"/>
      <c r="W79" s="203"/>
      <c r="X79" s="204"/>
      <c r="Y79" s="204"/>
      <c r="Z79" s="204"/>
    </row>
    <row r="80" spans="1:26" s="251" customFormat="1" ht="15.75" x14ac:dyDescent="0.25">
      <c r="A80" s="189" t="s">
        <v>116</v>
      </c>
      <c r="B80" s="247"/>
      <c r="C80" s="248"/>
      <c r="D80" s="247"/>
      <c r="E80" s="207">
        <f>E55+E77</f>
        <v>1745.4877324749646</v>
      </c>
      <c r="F80" s="207"/>
      <c r="G80" s="249">
        <f>G55+G77</f>
        <v>81339.75</v>
      </c>
      <c r="H80" s="207">
        <f>H55+H77</f>
        <v>3548.2195235251174</v>
      </c>
      <c r="I80" s="207"/>
      <c r="J80" s="249">
        <f>J55+J77</f>
        <v>178227.07</v>
      </c>
      <c r="K80" s="207">
        <f>K55+K77</f>
        <v>1281.1320330313674</v>
      </c>
      <c r="L80" s="207"/>
      <c r="M80" s="249">
        <f>M55+M77</f>
        <v>69296.420000000013</v>
      </c>
      <c r="N80" s="249">
        <f>SUM(N15:N54)</f>
        <v>0</v>
      </c>
      <c r="O80" s="249"/>
      <c r="P80" s="249"/>
      <c r="Q80" s="249">
        <f>Q54+Q77</f>
        <v>0</v>
      </c>
      <c r="R80" s="207"/>
      <c r="S80" s="207"/>
      <c r="T80" s="207"/>
      <c r="U80" s="249">
        <f>U55+U77</f>
        <v>80132.473333333328</v>
      </c>
      <c r="V80" s="249">
        <f>V55+V77</f>
        <v>328863.24</v>
      </c>
      <c r="W80" s="249">
        <f>W55+W77</f>
        <v>408995.71333333332</v>
      </c>
      <c r="X80" s="250"/>
      <c r="Y80" s="250"/>
      <c r="Z80" s="250"/>
    </row>
    <row r="81" spans="1:26" s="251" customFormat="1" ht="15.75" x14ac:dyDescent="0.25">
      <c r="A81" s="252"/>
      <c r="B81" s="253"/>
      <c r="C81" s="254"/>
      <c r="D81" s="253"/>
      <c r="E81" s="255"/>
      <c r="F81" s="255"/>
      <c r="G81" s="256">
        <f>G80/V80</f>
        <v>0.24733609630556461</v>
      </c>
      <c r="H81" s="257"/>
      <c r="I81" s="258"/>
      <c r="J81" s="256">
        <f>J80/V80</f>
        <v>0.54194889644704591</v>
      </c>
      <c r="K81" s="257"/>
      <c r="L81" s="258"/>
      <c r="M81" s="256">
        <f>M80/V80</f>
        <v>0.21071500724738956</v>
      </c>
      <c r="N81" s="250"/>
      <c r="O81" s="250"/>
      <c r="P81" s="250"/>
      <c r="Q81" s="250"/>
      <c r="R81" s="255"/>
      <c r="S81" s="255"/>
      <c r="T81" s="255"/>
      <c r="U81" s="250"/>
      <c r="V81" s="250"/>
      <c r="W81" s="250"/>
      <c r="X81" s="250"/>
      <c r="Y81" s="250"/>
      <c r="Z81" s="250"/>
    </row>
    <row r="82" spans="1:26" s="184" customFormat="1" x14ac:dyDescent="0.25">
      <c r="A82" s="259"/>
      <c r="B82" s="260"/>
      <c r="C82" s="261"/>
      <c r="D82" s="262" t="s">
        <v>408</v>
      </c>
      <c r="E82" s="263">
        <f>(E80/$E$13/8)/20</f>
        <v>5.4546491639842642</v>
      </c>
      <c r="F82" s="263"/>
      <c r="G82" s="263"/>
      <c r="H82" s="263">
        <f>(H80/$E$13/8)/20</f>
        <v>11.088186011015992</v>
      </c>
      <c r="I82" s="255"/>
      <c r="J82" s="264"/>
      <c r="K82" s="263">
        <f>(K80/$E$13/8)/20</f>
        <v>4.0035376032230232</v>
      </c>
      <c r="L82" s="258"/>
      <c r="M82" s="263"/>
      <c r="N82" s="257"/>
      <c r="O82" s="257"/>
      <c r="P82" s="257"/>
      <c r="Q82" s="257"/>
      <c r="R82" s="265"/>
      <c r="S82" s="265"/>
      <c r="T82" s="266"/>
      <c r="U82" s="267"/>
    </row>
    <row r="83" spans="1:26" s="184" customFormat="1" x14ac:dyDescent="0.25">
      <c r="B83" s="259"/>
      <c r="C83" s="260"/>
      <c r="D83" s="268"/>
      <c r="E83" s="269"/>
      <c r="F83" s="270"/>
      <c r="G83" s="257"/>
      <c r="H83" s="257"/>
      <c r="I83" s="271"/>
      <c r="J83" s="257"/>
      <c r="K83" s="258"/>
      <c r="L83" s="271"/>
      <c r="M83" s="257"/>
      <c r="N83" s="258"/>
      <c r="O83" s="258"/>
      <c r="P83" s="258"/>
      <c r="Q83" s="258"/>
      <c r="R83" s="271"/>
      <c r="S83" s="271"/>
      <c r="T83" s="265"/>
      <c r="U83" s="265"/>
      <c r="V83" s="266"/>
      <c r="W83" s="272"/>
    </row>
    <row r="84" spans="1:26" x14ac:dyDescent="0.25">
      <c r="A84" s="136"/>
      <c r="B84" s="139"/>
      <c r="C84" s="150"/>
      <c r="D84" s="136"/>
      <c r="E84" s="150"/>
      <c r="F84" s="151"/>
      <c r="U84" s="136"/>
      <c r="V84" s="139"/>
      <c r="W84" s="177"/>
      <c r="X84" s="136"/>
      <c r="Y84" s="273"/>
      <c r="Z84" s="273"/>
    </row>
    <row r="85" spans="1:26" ht="15.75" x14ac:dyDescent="0.25">
      <c r="A85" s="181" t="s">
        <v>330</v>
      </c>
      <c r="B85" s="182"/>
      <c r="D85" s="184" t="s">
        <v>206</v>
      </c>
      <c r="E85" s="274">
        <v>12</v>
      </c>
      <c r="T85" s="187"/>
      <c r="U85" s="188"/>
      <c r="V85" s="187"/>
      <c r="W85" s="146"/>
      <c r="X85" s="184"/>
      <c r="Y85" s="184"/>
      <c r="Z85" s="135"/>
    </row>
    <row r="86" spans="1:26" s="184" customFormat="1" ht="54" customHeight="1" x14ac:dyDescent="0.25">
      <c r="A86" s="275" t="s">
        <v>0</v>
      </c>
      <c r="B86" s="275" t="s">
        <v>144</v>
      </c>
      <c r="C86" s="190" t="s">
        <v>136</v>
      </c>
      <c r="D86" s="275" t="s">
        <v>138</v>
      </c>
      <c r="E86" s="160" t="s">
        <v>133</v>
      </c>
      <c r="F86" s="191" t="s">
        <v>108</v>
      </c>
      <c r="G86" s="191" t="s">
        <v>2</v>
      </c>
      <c r="H86" s="160" t="s">
        <v>146</v>
      </c>
      <c r="I86" s="191" t="s">
        <v>108</v>
      </c>
      <c r="J86" s="191" t="s">
        <v>15</v>
      </c>
      <c r="K86" s="160" t="s">
        <v>194</v>
      </c>
      <c r="L86" s="191" t="s">
        <v>108</v>
      </c>
      <c r="M86" s="191" t="s">
        <v>195</v>
      </c>
      <c r="N86" s="191" t="s">
        <v>190</v>
      </c>
      <c r="O86" s="191" t="s">
        <v>411</v>
      </c>
      <c r="P86" s="191" t="s">
        <v>108</v>
      </c>
      <c r="Q86" s="191" t="s">
        <v>412</v>
      </c>
      <c r="R86" s="275" t="s">
        <v>147</v>
      </c>
      <c r="S86" s="275" t="s">
        <v>137</v>
      </c>
      <c r="T86" s="189" t="s">
        <v>204</v>
      </c>
      <c r="U86" s="191" t="s">
        <v>198</v>
      </c>
      <c r="V86" s="191" t="s">
        <v>154</v>
      </c>
      <c r="X86" s="276"/>
      <c r="Z86" s="274" t="s">
        <v>351</v>
      </c>
    </row>
    <row r="87" spans="1:26" s="205" customFormat="1" x14ac:dyDescent="0.25">
      <c r="A87" s="194" t="s">
        <v>210</v>
      </c>
      <c r="B87" s="194" t="s">
        <v>211</v>
      </c>
      <c r="C87" s="195" t="s">
        <v>212</v>
      </c>
      <c r="D87" s="196" t="s">
        <v>213</v>
      </c>
      <c r="E87" s="197">
        <v>278.96995708154503</v>
      </c>
      <c r="F87" s="198">
        <f>+Perfils!$G$15</f>
        <v>46.6</v>
      </c>
      <c r="G87" s="199">
        <f t="shared" ref="G87:G126" si="24">+ROUND(E87*F87,2)</f>
        <v>13000</v>
      </c>
      <c r="H87" s="197">
        <v>597.25263786581729</v>
      </c>
      <c r="I87" s="198">
        <f>+Perfils!$G$28</f>
        <v>50.23</v>
      </c>
      <c r="J87" s="199">
        <f t="shared" ref="J87:J126" si="25">+ROUND(H87*I87,2)</f>
        <v>30000</v>
      </c>
      <c r="K87" s="197">
        <v>240.34017378443335</v>
      </c>
      <c r="L87" s="198">
        <f>+Perfils!$G$41</f>
        <v>54.09</v>
      </c>
      <c r="M87" s="199">
        <f t="shared" ref="M87:M126" si="26">+ROUND(K87*L87,2)</f>
        <v>13000</v>
      </c>
      <c r="N87" s="198">
        <v>0</v>
      </c>
      <c r="O87" s="197">
        <f t="shared" ref="O87:O126" si="27">+Q87/P87</f>
        <v>0</v>
      </c>
      <c r="P87" s="198">
        <f>+Perfils!$G$28</f>
        <v>50.23</v>
      </c>
      <c r="Q87" s="199">
        <v>0</v>
      </c>
      <c r="R87" s="200"/>
      <c r="S87" s="200"/>
      <c r="T87" s="201"/>
      <c r="U87" s="203"/>
      <c r="V87" s="203">
        <f>+G87+J87+M87+N87+Q87</f>
        <v>56000</v>
      </c>
      <c r="X87" s="186" t="s">
        <v>343</v>
      </c>
      <c r="Y87" s="277">
        <f>30000-16000</f>
        <v>14000</v>
      </c>
      <c r="Z87" s="184"/>
    </row>
    <row r="88" spans="1:26" s="205" customFormat="1" x14ac:dyDescent="0.25">
      <c r="A88" s="194" t="s">
        <v>210</v>
      </c>
      <c r="B88" s="194" t="s">
        <v>211</v>
      </c>
      <c r="C88" s="195" t="s">
        <v>214</v>
      </c>
      <c r="D88" s="196" t="s">
        <v>215</v>
      </c>
      <c r="E88" s="197">
        <v>171.67381974248926</v>
      </c>
      <c r="F88" s="198">
        <f>+Perfils!$G$15</f>
        <v>46.6</v>
      </c>
      <c r="G88" s="199">
        <f t="shared" si="24"/>
        <v>8000</v>
      </c>
      <c r="H88" s="197">
        <v>497.71053155484771</v>
      </c>
      <c r="I88" s="198">
        <f>+Perfils!$G$28</f>
        <v>50.23</v>
      </c>
      <c r="J88" s="199">
        <f t="shared" si="25"/>
        <v>25000</v>
      </c>
      <c r="K88" s="197">
        <v>240.34017378443335</v>
      </c>
      <c r="L88" s="198">
        <f>+Perfils!$G$41</f>
        <v>54.09</v>
      </c>
      <c r="M88" s="199">
        <f t="shared" si="26"/>
        <v>13000</v>
      </c>
      <c r="N88" s="198">
        <v>0</v>
      </c>
      <c r="O88" s="197">
        <f t="shared" si="27"/>
        <v>0</v>
      </c>
      <c r="P88" s="198">
        <f>+Perfils!$G$28</f>
        <v>50.23</v>
      </c>
      <c r="Q88" s="199">
        <v>0</v>
      </c>
      <c r="R88" s="200"/>
      <c r="S88" s="200"/>
      <c r="T88" s="201"/>
      <c r="U88" s="203"/>
      <c r="V88" s="203">
        <f t="shared" ref="V88:V116" si="28">+G88+J88+M88+N88+Q88</f>
        <v>46000</v>
      </c>
      <c r="X88" s="186" t="s">
        <v>321</v>
      </c>
      <c r="Y88" s="277">
        <f>25000-16000</f>
        <v>9000</v>
      </c>
      <c r="Z88" s="184"/>
    </row>
    <row r="89" spans="1:26" s="205" customFormat="1" x14ac:dyDescent="0.25">
      <c r="A89" s="194" t="s">
        <v>210</v>
      </c>
      <c r="B89" s="194" t="s">
        <v>211</v>
      </c>
      <c r="C89" s="195" t="s">
        <v>216</v>
      </c>
      <c r="D89" s="196" t="s">
        <v>217</v>
      </c>
      <c r="E89" s="197">
        <v>214.59227467811158</v>
      </c>
      <c r="F89" s="198">
        <f>+Perfils!$G$15</f>
        <v>46.6</v>
      </c>
      <c r="G89" s="199">
        <f t="shared" si="24"/>
        <v>10000</v>
      </c>
      <c r="H89" s="197">
        <v>597.25263786581729</v>
      </c>
      <c r="I89" s="198">
        <f>+Perfils!$G$28</f>
        <v>50.23</v>
      </c>
      <c r="J89" s="199">
        <f t="shared" si="25"/>
        <v>30000</v>
      </c>
      <c r="K89" s="197">
        <v>406.72952486596409</v>
      </c>
      <c r="L89" s="198">
        <f>+Perfils!$G$41</f>
        <v>54.09</v>
      </c>
      <c r="M89" s="199">
        <f t="shared" si="26"/>
        <v>22000</v>
      </c>
      <c r="N89" s="198">
        <v>0</v>
      </c>
      <c r="O89" s="197">
        <f t="shared" si="27"/>
        <v>0</v>
      </c>
      <c r="P89" s="198">
        <f>+Perfils!$G$28</f>
        <v>50.23</v>
      </c>
      <c r="Q89" s="199">
        <v>0</v>
      </c>
      <c r="R89" s="200"/>
      <c r="S89" s="200"/>
      <c r="T89" s="201"/>
      <c r="U89" s="203"/>
      <c r="V89" s="203">
        <f t="shared" si="28"/>
        <v>62000</v>
      </c>
      <c r="X89" s="186" t="s">
        <v>305</v>
      </c>
      <c r="Y89" s="277">
        <f>30000-21000</f>
        <v>9000</v>
      </c>
      <c r="Z89" s="184"/>
    </row>
    <row r="90" spans="1:26" s="205" customFormat="1" x14ac:dyDescent="0.25">
      <c r="A90" s="194" t="s">
        <v>218</v>
      </c>
      <c r="B90" s="194" t="s">
        <v>219</v>
      </c>
      <c r="C90" s="195" t="s">
        <v>220</v>
      </c>
      <c r="D90" s="196" t="s">
        <v>221</v>
      </c>
      <c r="E90" s="197">
        <v>171.67381974248926</v>
      </c>
      <c r="F90" s="198">
        <f>+Perfils!$G$15</f>
        <v>46.6</v>
      </c>
      <c r="G90" s="199">
        <f t="shared" si="24"/>
        <v>8000</v>
      </c>
      <c r="H90" s="197">
        <v>119.45052757316346</v>
      </c>
      <c r="I90" s="198">
        <f>+Perfils!$G$28</f>
        <v>50.23</v>
      </c>
      <c r="J90" s="199">
        <f t="shared" si="25"/>
        <v>6000</v>
      </c>
      <c r="K90" s="197">
        <v>73.95082270290257</v>
      </c>
      <c r="L90" s="198">
        <f>+Perfils!$G$41</f>
        <v>54.09</v>
      </c>
      <c r="M90" s="199">
        <f t="shared" si="26"/>
        <v>4000</v>
      </c>
      <c r="N90" s="198">
        <v>0</v>
      </c>
      <c r="O90" s="197">
        <f t="shared" si="27"/>
        <v>0</v>
      </c>
      <c r="P90" s="198">
        <f>+Perfils!$G$28</f>
        <v>50.23</v>
      </c>
      <c r="Q90" s="199">
        <v>0</v>
      </c>
      <c r="R90" s="200"/>
      <c r="S90" s="200"/>
      <c r="T90" s="201"/>
      <c r="U90" s="203"/>
      <c r="V90" s="203">
        <f t="shared" si="28"/>
        <v>18000</v>
      </c>
      <c r="X90" s="146"/>
      <c r="Y90" s="277"/>
      <c r="Z90" s="184"/>
    </row>
    <row r="91" spans="1:26" s="205" customFormat="1" x14ac:dyDescent="0.25">
      <c r="A91" s="194" t="s">
        <v>222</v>
      </c>
      <c r="B91" s="194" t="s">
        <v>223</v>
      </c>
      <c r="C91" s="195" t="s">
        <v>224</v>
      </c>
      <c r="D91" s="196" t="s">
        <v>225</v>
      </c>
      <c r="E91" s="197">
        <v>85.836909871244629</v>
      </c>
      <c r="F91" s="198">
        <f>+Perfils!$G$15</f>
        <v>46.6</v>
      </c>
      <c r="G91" s="199">
        <f t="shared" si="24"/>
        <v>4000</v>
      </c>
      <c r="H91" s="197">
        <v>59.725263786581728</v>
      </c>
      <c r="I91" s="198">
        <f>+Perfils!$G$28</f>
        <v>50.23</v>
      </c>
      <c r="J91" s="199">
        <f t="shared" si="25"/>
        <v>3000</v>
      </c>
      <c r="K91" s="197">
        <v>36.975411351451285</v>
      </c>
      <c r="L91" s="198">
        <f>+Perfils!$G$41</f>
        <v>54.09</v>
      </c>
      <c r="M91" s="199">
        <f t="shared" si="26"/>
        <v>2000</v>
      </c>
      <c r="N91" s="198">
        <v>0</v>
      </c>
      <c r="O91" s="197">
        <f t="shared" si="27"/>
        <v>0</v>
      </c>
      <c r="P91" s="198">
        <f>+Perfils!$G$28</f>
        <v>50.23</v>
      </c>
      <c r="Q91" s="199">
        <v>0</v>
      </c>
      <c r="R91" s="200"/>
      <c r="S91" s="200"/>
      <c r="T91" s="201"/>
      <c r="U91" s="203"/>
      <c r="V91" s="203">
        <f t="shared" si="28"/>
        <v>9000</v>
      </c>
      <c r="X91" s="146"/>
      <c r="Y91" s="184"/>
      <c r="Z91" s="184"/>
    </row>
    <row r="92" spans="1:26" s="205" customFormat="1" x14ac:dyDescent="0.25">
      <c r="A92" s="194" t="s">
        <v>222</v>
      </c>
      <c r="B92" s="194" t="s">
        <v>223</v>
      </c>
      <c r="C92" s="195" t="s">
        <v>226</v>
      </c>
      <c r="D92" s="196" t="s">
        <v>227</v>
      </c>
      <c r="E92" s="197">
        <v>21.459227467811157</v>
      </c>
      <c r="F92" s="198">
        <f>+Perfils!$G$15</f>
        <v>46.6</v>
      </c>
      <c r="G92" s="199">
        <f t="shared" si="24"/>
        <v>1000</v>
      </c>
      <c r="H92" s="197">
        <v>19.908421262193908</v>
      </c>
      <c r="I92" s="198">
        <f>+Perfils!$G$28</f>
        <v>50.23</v>
      </c>
      <c r="J92" s="199">
        <f t="shared" si="25"/>
        <v>1000</v>
      </c>
      <c r="K92" s="197">
        <v>9.2438528378628213</v>
      </c>
      <c r="L92" s="198">
        <f>+Perfils!$G$41</f>
        <v>54.09</v>
      </c>
      <c r="M92" s="199">
        <f t="shared" si="26"/>
        <v>500</v>
      </c>
      <c r="N92" s="198">
        <v>0</v>
      </c>
      <c r="O92" s="197">
        <f t="shared" si="27"/>
        <v>0</v>
      </c>
      <c r="P92" s="198">
        <f>+Perfils!$G$28</f>
        <v>50.23</v>
      </c>
      <c r="Q92" s="199">
        <v>0</v>
      </c>
      <c r="R92" s="200"/>
      <c r="S92" s="200"/>
      <c r="T92" s="201"/>
      <c r="U92" s="203"/>
      <c r="V92" s="203">
        <f t="shared" si="28"/>
        <v>2500</v>
      </c>
      <c r="X92" s="146"/>
      <c r="Y92" s="184"/>
      <c r="Z92" s="184"/>
    </row>
    <row r="93" spans="1:26" s="205" customFormat="1" x14ac:dyDescent="0.25">
      <c r="A93" s="194" t="s">
        <v>222</v>
      </c>
      <c r="B93" s="194" t="s">
        <v>223</v>
      </c>
      <c r="C93" s="195" t="s">
        <v>228</v>
      </c>
      <c r="D93" s="196" t="s">
        <v>229</v>
      </c>
      <c r="E93" s="197">
        <v>21.459227467811157</v>
      </c>
      <c r="F93" s="198">
        <f>+Perfils!$G$15</f>
        <v>46.6</v>
      </c>
      <c r="G93" s="199">
        <f t="shared" si="24"/>
        <v>1000</v>
      </c>
      <c r="H93" s="197">
        <v>19.908421262193908</v>
      </c>
      <c r="I93" s="198">
        <f>+Perfils!$G$28</f>
        <v>50.23</v>
      </c>
      <c r="J93" s="199">
        <f t="shared" si="25"/>
        <v>1000</v>
      </c>
      <c r="K93" s="197">
        <v>9.2438528378628213</v>
      </c>
      <c r="L93" s="198">
        <f>+Perfils!$G$41</f>
        <v>54.09</v>
      </c>
      <c r="M93" s="199">
        <f t="shared" si="26"/>
        <v>500</v>
      </c>
      <c r="N93" s="198">
        <v>0</v>
      </c>
      <c r="O93" s="197">
        <f t="shared" si="27"/>
        <v>0</v>
      </c>
      <c r="P93" s="198">
        <f>+Perfils!$G$28</f>
        <v>50.23</v>
      </c>
      <c r="Q93" s="199">
        <v>0</v>
      </c>
      <c r="R93" s="200"/>
      <c r="S93" s="200"/>
      <c r="T93" s="201"/>
      <c r="U93" s="203"/>
      <c r="V93" s="203">
        <f t="shared" si="28"/>
        <v>2500</v>
      </c>
      <c r="X93" s="146"/>
      <c r="Y93" s="184"/>
      <c r="Z93" s="184"/>
    </row>
    <row r="94" spans="1:26" s="205" customFormat="1" x14ac:dyDescent="0.25">
      <c r="A94" s="194" t="s">
        <v>230</v>
      </c>
      <c r="B94" s="194" t="s">
        <v>231</v>
      </c>
      <c r="C94" s="195" t="s">
        <v>232</v>
      </c>
      <c r="D94" s="196" t="s">
        <v>233</v>
      </c>
      <c r="E94" s="197">
        <v>85.836909871244629</v>
      </c>
      <c r="F94" s="198">
        <f>+Perfils!$G$15</f>
        <v>46.6</v>
      </c>
      <c r="G94" s="199">
        <f t="shared" si="24"/>
        <v>4000</v>
      </c>
      <c r="H94" s="197">
        <v>597.25263786581729</v>
      </c>
      <c r="I94" s="198">
        <f>+Perfils!$G$28</f>
        <v>50.23</v>
      </c>
      <c r="J94" s="199">
        <f t="shared" si="25"/>
        <v>30000</v>
      </c>
      <c r="K94" s="197">
        <v>55.463117027176921</v>
      </c>
      <c r="L94" s="198">
        <f>+Perfils!$G$41</f>
        <v>54.09</v>
      </c>
      <c r="M94" s="199">
        <f t="shared" si="26"/>
        <v>3000</v>
      </c>
      <c r="N94" s="198">
        <v>0</v>
      </c>
      <c r="O94" s="197">
        <f t="shared" si="27"/>
        <v>0</v>
      </c>
      <c r="P94" s="198">
        <f>+Perfils!$G$28</f>
        <v>50.23</v>
      </c>
      <c r="Q94" s="199">
        <v>0</v>
      </c>
      <c r="R94" s="200"/>
      <c r="S94" s="200"/>
      <c r="T94" s="201"/>
      <c r="U94" s="203"/>
      <c r="V94" s="203">
        <f t="shared" si="28"/>
        <v>37000</v>
      </c>
      <c r="X94" s="184" t="s">
        <v>348</v>
      </c>
      <c r="Y94" s="184">
        <f>30000-6000</f>
        <v>24000</v>
      </c>
      <c r="Z94" s="184"/>
    </row>
    <row r="95" spans="1:26" s="205" customFormat="1" ht="14.85" customHeight="1" x14ac:dyDescent="0.25">
      <c r="A95" s="194" t="s">
        <v>234</v>
      </c>
      <c r="B95" s="194" t="s">
        <v>235</v>
      </c>
      <c r="C95" s="195" t="s">
        <v>306</v>
      </c>
      <c r="D95" s="196" t="s">
        <v>307</v>
      </c>
      <c r="E95" s="197">
        <v>85.836909871244629</v>
      </c>
      <c r="F95" s="198">
        <f>+Perfils!$G$15</f>
        <v>46.6</v>
      </c>
      <c r="G95" s="199">
        <f t="shared" si="24"/>
        <v>4000</v>
      </c>
      <c r="H95" s="197">
        <v>119.45052757316346</v>
      </c>
      <c r="I95" s="198">
        <f>+Perfils!$G$28</f>
        <v>50.23</v>
      </c>
      <c r="J95" s="199">
        <f t="shared" si="25"/>
        <v>6000</v>
      </c>
      <c r="K95" s="197">
        <v>36.975411351451285</v>
      </c>
      <c r="L95" s="198">
        <f>+Perfils!$G$41</f>
        <v>54.09</v>
      </c>
      <c r="M95" s="199">
        <f t="shared" si="26"/>
        <v>2000</v>
      </c>
      <c r="N95" s="198">
        <v>0</v>
      </c>
      <c r="O95" s="197">
        <f t="shared" si="27"/>
        <v>0</v>
      </c>
      <c r="P95" s="198">
        <f>+Perfils!$G$28</f>
        <v>50.23</v>
      </c>
      <c r="Q95" s="199">
        <v>0</v>
      </c>
      <c r="R95" s="200"/>
      <c r="S95" s="200"/>
      <c r="T95" s="201"/>
      <c r="U95" s="203"/>
      <c r="V95" s="203">
        <f t="shared" si="28"/>
        <v>12000</v>
      </c>
      <c r="X95" s="146"/>
      <c r="Y95" s="277"/>
      <c r="Z95" s="184"/>
    </row>
    <row r="96" spans="1:26" s="205" customFormat="1" x14ac:dyDescent="0.25">
      <c r="A96" s="194" t="s">
        <v>234</v>
      </c>
      <c r="B96" s="194" t="s">
        <v>235</v>
      </c>
      <c r="C96" s="195" t="s">
        <v>236</v>
      </c>
      <c r="D96" s="196" t="s">
        <v>237</v>
      </c>
      <c r="E96" s="197">
        <v>85.836909871244629</v>
      </c>
      <c r="F96" s="198">
        <f>+Perfils!$G$15</f>
        <v>46.6</v>
      </c>
      <c r="G96" s="199">
        <f t="shared" si="24"/>
        <v>4000</v>
      </c>
      <c r="H96" s="197">
        <v>119.45052757316346</v>
      </c>
      <c r="I96" s="198">
        <f>+Perfils!$G$28</f>
        <v>50.23</v>
      </c>
      <c r="J96" s="199">
        <f t="shared" si="25"/>
        <v>6000</v>
      </c>
      <c r="K96" s="197">
        <v>55.463117027176921</v>
      </c>
      <c r="L96" s="198">
        <f>+Perfils!$G$41</f>
        <v>54.09</v>
      </c>
      <c r="M96" s="199">
        <f t="shared" si="26"/>
        <v>3000</v>
      </c>
      <c r="N96" s="198">
        <v>0</v>
      </c>
      <c r="O96" s="197">
        <f t="shared" si="27"/>
        <v>0</v>
      </c>
      <c r="P96" s="198">
        <f>+Perfils!$G$28</f>
        <v>50.23</v>
      </c>
      <c r="Q96" s="199">
        <v>0</v>
      </c>
      <c r="R96" s="200"/>
      <c r="S96" s="200"/>
      <c r="T96" s="201"/>
      <c r="U96" s="203"/>
      <c r="V96" s="203">
        <f t="shared" si="28"/>
        <v>13000</v>
      </c>
      <c r="X96" s="146"/>
      <c r="Y96" s="277"/>
      <c r="Z96" s="184"/>
    </row>
    <row r="97" spans="1:26" s="205" customFormat="1" x14ac:dyDescent="0.25">
      <c r="A97" s="194" t="s">
        <v>238</v>
      </c>
      <c r="B97" s="194" t="s">
        <v>239</v>
      </c>
      <c r="C97" s="195" t="s">
        <v>240</v>
      </c>
      <c r="D97" s="196" t="s">
        <v>241</v>
      </c>
      <c r="E97" s="197">
        <v>107.29613733905579</v>
      </c>
      <c r="F97" s="198">
        <f>+Perfils!$G$15</f>
        <v>46.6</v>
      </c>
      <c r="G97" s="199">
        <f t="shared" si="24"/>
        <v>5000</v>
      </c>
      <c r="H97" s="197">
        <v>696.79474417678682</v>
      </c>
      <c r="I97" s="198">
        <f>+Perfils!$G$28</f>
        <v>50.23</v>
      </c>
      <c r="J97" s="199">
        <f t="shared" si="25"/>
        <v>35000</v>
      </c>
      <c r="K97" s="197">
        <v>110.92623405435384</v>
      </c>
      <c r="L97" s="198">
        <f>+Perfils!$G$41</f>
        <v>54.09</v>
      </c>
      <c r="M97" s="199">
        <f t="shared" si="26"/>
        <v>6000</v>
      </c>
      <c r="N97" s="198">
        <v>0</v>
      </c>
      <c r="O97" s="197">
        <f t="shared" si="27"/>
        <v>0</v>
      </c>
      <c r="P97" s="198">
        <f>+Perfils!$G$28</f>
        <v>50.23</v>
      </c>
      <c r="Q97" s="199">
        <v>0</v>
      </c>
      <c r="R97" s="200"/>
      <c r="S97" s="200"/>
      <c r="T97" s="201"/>
      <c r="U97" s="203"/>
      <c r="V97" s="203">
        <f t="shared" si="28"/>
        <v>46000</v>
      </c>
      <c r="X97" s="184" t="s">
        <v>349</v>
      </c>
      <c r="Y97" s="277">
        <f>35000-13000</f>
        <v>22000</v>
      </c>
      <c r="Z97" s="184"/>
    </row>
    <row r="98" spans="1:26" s="205" customFormat="1" x14ac:dyDescent="0.25">
      <c r="A98" s="194" t="s">
        <v>242</v>
      </c>
      <c r="B98" s="194" t="s">
        <v>243</v>
      </c>
      <c r="C98" s="195" t="s">
        <v>244</v>
      </c>
      <c r="D98" s="196" t="s">
        <v>245</v>
      </c>
      <c r="E98" s="197">
        <v>171.67381974248926</v>
      </c>
      <c r="F98" s="198">
        <f>+Perfils!$G$15</f>
        <v>46.6</v>
      </c>
      <c r="G98" s="199">
        <f t="shared" si="24"/>
        <v>8000</v>
      </c>
      <c r="H98" s="197">
        <v>398.16842524387818</v>
      </c>
      <c r="I98" s="198">
        <f>+Perfils!$G$28</f>
        <v>50.23</v>
      </c>
      <c r="J98" s="199">
        <f t="shared" si="25"/>
        <v>20000</v>
      </c>
      <c r="K98" s="197">
        <v>110.92623405435384</v>
      </c>
      <c r="L98" s="198">
        <f>+Perfils!$G$41</f>
        <v>54.09</v>
      </c>
      <c r="M98" s="199">
        <f t="shared" si="26"/>
        <v>6000</v>
      </c>
      <c r="N98" s="198">
        <v>0</v>
      </c>
      <c r="O98" s="197">
        <f t="shared" si="27"/>
        <v>0</v>
      </c>
      <c r="P98" s="198">
        <f>+Perfils!$G$28</f>
        <v>50.23</v>
      </c>
      <c r="Q98" s="199">
        <v>0</v>
      </c>
      <c r="R98" s="200"/>
      <c r="S98" s="200"/>
      <c r="T98" s="201"/>
      <c r="U98" s="203"/>
      <c r="V98" s="203">
        <f t="shared" si="28"/>
        <v>34000</v>
      </c>
      <c r="X98" s="186" t="s">
        <v>308</v>
      </c>
      <c r="Y98" s="277">
        <f>20000-8000</f>
        <v>12000</v>
      </c>
      <c r="Z98" s="184"/>
    </row>
    <row r="99" spans="1:26" s="205" customFormat="1" x14ac:dyDescent="0.25">
      <c r="A99" s="194" t="s">
        <v>238</v>
      </c>
      <c r="B99" s="194" t="s">
        <v>239</v>
      </c>
      <c r="C99" s="195" t="s">
        <v>246</v>
      </c>
      <c r="D99" s="196" t="s">
        <v>247</v>
      </c>
      <c r="E99" s="197">
        <v>107.29613733905579</v>
      </c>
      <c r="F99" s="198">
        <f>+Perfils!$G$15</f>
        <v>46.6</v>
      </c>
      <c r="G99" s="199">
        <f t="shared" si="24"/>
        <v>5000</v>
      </c>
      <c r="H99" s="197">
        <v>119.45052757316346</v>
      </c>
      <c r="I99" s="198">
        <f>+Perfils!$G$28</f>
        <v>50.23</v>
      </c>
      <c r="J99" s="199">
        <f t="shared" si="25"/>
        <v>6000</v>
      </c>
      <c r="K99" s="197">
        <v>73.95082270290257</v>
      </c>
      <c r="L99" s="198">
        <f>+Perfils!$G$41</f>
        <v>54.09</v>
      </c>
      <c r="M99" s="199">
        <f t="shared" si="26"/>
        <v>4000</v>
      </c>
      <c r="N99" s="198">
        <v>0</v>
      </c>
      <c r="O99" s="197">
        <f t="shared" si="27"/>
        <v>0</v>
      </c>
      <c r="P99" s="198">
        <f>+Perfils!$G$28</f>
        <v>50.23</v>
      </c>
      <c r="Q99" s="199">
        <v>0</v>
      </c>
      <c r="R99" s="200"/>
      <c r="S99" s="200"/>
      <c r="T99" s="201"/>
      <c r="U99" s="203"/>
      <c r="V99" s="203">
        <f t="shared" si="28"/>
        <v>15000</v>
      </c>
      <c r="X99" s="146"/>
      <c r="Y99" s="184"/>
      <c r="Z99" s="184"/>
    </row>
    <row r="100" spans="1:26" s="205" customFormat="1" x14ac:dyDescent="0.25">
      <c r="A100" s="194" t="s">
        <v>248</v>
      </c>
      <c r="B100" s="194" t="s">
        <v>249</v>
      </c>
      <c r="C100" s="195" t="s">
        <v>250</v>
      </c>
      <c r="D100" s="196" t="s">
        <v>251</v>
      </c>
      <c r="E100" s="197">
        <v>85.836909871244629</v>
      </c>
      <c r="F100" s="198">
        <f>+Perfils!$G$15</f>
        <v>46.6</v>
      </c>
      <c r="G100" s="199">
        <f t="shared" si="24"/>
        <v>4000</v>
      </c>
      <c r="H100" s="197">
        <v>398.16842524387818</v>
      </c>
      <c r="I100" s="198">
        <f>+Perfils!$G$28</f>
        <v>50.23</v>
      </c>
      <c r="J100" s="199">
        <f t="shared" si="25"/>
        <v>20000</v>
      </c>
      <c r="K100" s="197">
        <v>184.87705675725641</v>
      </c>
      <c r="L100" s="198">
        <f>+Perfils!$G$41</f>
        <v>54.09</v>
      </c>
      <c r="M100" s="199">
        <f t="shared" si="26"/>
        <v>10000</v>
      </c>
      <c r="N100" s="198">
        <v>0</v>
      </c>
      <c r="O100" s="197">
        <f t="shared" si="27"/>
        <v>0</v>
      </c>
      <c r="P100" s="198">
        <f>+Perfils!$G$28</f>
        <v>50.23</v>
      </c>
      <c r="Q100" s="199">
        <v>0</v>
      </c>
      <c r="R100" s="200"/>
      <c r="S100" s="200"/>
      <c r="T100" s="201"/>
      <c r="U100" s="203"/>
      <c r="V100" s="203">
        <f t="shared" si="28"/>
        <v>34000</v>
      </c>
      <c r="X100" s="184" t="s">
        <v>350</v>
      </c>
      <c r="Y100" s="184">
        <f>20000-2000</f>
        <v>18000</v>
      </c>
      <c r="Z100" s="184"/>
    </row>
    <row r="101" spans="1:26" s="205" customFormat="1" x14ac:dyDescent="0.25">
      <c r="A101" s="194" t="s">
        <v>286</v>
      </c>
      <c r="B101" s="194" t="s">
        <v>287</v>
      </c>
      <c r="C101" s="195" t="s">
        <v>312</v>
      </c>
      <c r="D101" s="196" t="s">
        <v>313</v>
      </c>
      <c r="E101" s="197">
        <v>42.918454935622314</v>
      </c>
      <c r="F101" s="198">
        <f>+Perfils!$G$15</f>
        <v>46.6</v>
      </c>
      <c r="G101" s="199">
        <f t="shared" si="24"/>
        <v>2000</v>
      </c>
      <c r="H101" s="197">
        <v>79.633685048775632</v>
      </c>
      <c r="I101" s="198">
        <f>+Perfils!$G$28</f>
        <v>50.23</v>
      </c>
      <c r="J101" s="199">
        <f t="shared" si="25"/>
        <v>4000</v>
      </c>
      <c r="K101" s="197">
        <v>129.41393973007948</v>
      </c>
      <c r="L101" s="198">
        <f>+Perfils!$G$41</f>
        <v>54.09</v>
      </c>
      <c r="M101" s="199">
        <f t="shared" si="26"/>
        <v>7000</v>
      </c>
      <c r="N101" s="198">
        <v>0</v>
      </c>
      <c r="O101" s="197">
        <f t="shared" si="27"/>
        <v>0</v>
      </c>
      <c r="P101" s="198">
        <f>+Perfils!$G$28</f>
        <v>50.23</v>
      </c>
      <c r="Q101" s="199">
        <v>0</v>
      </c>
      <c r="R101" s="200"/>
      <c r="S101" s="200"/>
      <c r="T101" s="201"/>
      <c r="U101" s="203"/>
      <c r="V101" s="203">
        <f t="shared" si="28"/>
        <v>13000</v>
      </c>
      <c r="X101" s="186"/>
      <c r="Y101" s="184"/>
      <c r="Z101" s="184"/>
    </row>
    <row r="102" spans="1:26" s="205" customFormat="1" x14ac:dyDescent="0.25">
      <c r="A102" s="194" t="s">
        <v>230</v>
      </c>
      <c r="B102" s="194" t="s">
        <v>231</v>
      </c>
      <c r="C102" s="195" t="s">
        <v>252</v>
      </c>
      <c r="D102" s="196" t="s">
        <v>253</v>
      </c>
      <c r="E102" s="197">
        <v>107.29613733905579</v>
      </c>
      <c r="F102" s="198">
        <f>+Perfils!$G$15</f>
        <v>46.6</v>
      </c>
      <c r="G102" s="199">
        <f t="shared" si="24"/>
        <v>5000</v>
      </c>
      <c r="H102" s="197">
        <v>99.542106310969544</v>
      </c>
      <c r="I102" s="198">
        <f>+Perfils!$G$28</f>
        <v>50.23</v>
      </c>
      <c r="J102" s="199">
        <f t="shared" si="25"/>
        <v>5000</v>
      </c>
      <c r="K102" s="197">
        <v>36.975411351451285</v>
      </c>
      <c r="L102" s="198">
        <f>+Perfils!$G$41</f>
        <v>54.09</v>
      </c>
      <c r="M102" s="199">
        <f t="shared" si="26"/>
        <v>2000</v>
      </c>
      <c r="N102" s="198">
        <v>0</v>
      </c>
      <c r="O102" s="197">
        <f t="shared" si="27"/>
        <v>0</v>
      </c>
      <c r="P102" s="198">
        <f>+Perfils!$G$28</f>
        <v>50.23</v>
      </c>
      <c r="Q102" s="199">
        <v>0</v>
      </c>
      <c r="R102" s="200"/>
      <c r="S102" s="200"/>
      <c r="T102" s="201"/>
      <c r="U102" s="203"/>
      <c r="V102" s="203">
        <f t="shared" si="28"/>
        <v>12000</v>
      </c>
      <c r="X102" s="146"/>
      <c r="Y102" s="184"/>
      <c r="Z102" s="184"/>
    </row>
    <row r="103" spans="1:26" s="205" customFormat="1" x14ac:dyDescent="0.25">
      <c r="A103" s="194" t="s">
        <v>230</v>
      </c>
      <c r="B103" s="194" t="s">
        <v>231</v>
      </c>
      <c r="C103" s="195" t="s">
        <v>254</v>
      </c>
      <c r="D103" s="196" t="s">
        <v>255</v>
      </c>
      <c r="E103" s="197">
        <v>107.29613733905579</v>
      </c>
      <c r="F103" s="198">
        <f>+Perfils!$G$15</f>
        <v>46.6</v>
      </c>
      <c r="G103" s="199">
        <f t="shared" si="24"/>
        <v>5000</v>
      </c>
      <c r="H103" s="197">
        <v>99.542106310969544</v>
      </c>
      <c r="I103" s="198">
        <f>+Perfils!$G$28</f>
        <v>50.23</v>
      </c>
      <c r="J103" s="199">
        <f t="shared" si="25"/>
        <v>5000</v>
      </c>
      <c r="K103" s="197">
        <v>36.975411351451285</v>
      </c>
      <c r="L103" s="198">
        <f>+Perfils!$G$41</f>
        <v>54.09</v>
      </c>
      <c r="M103" s="199">
        <f t="shared" si="26"/>
        <v>2000</v>
      </c>
      <c r="N103" s="198">
        <v>0</v>
      </c>
      <c r="O103" s="197">
        <f t="shared" si="27"/>
        <v>0</v>
      </c>
      <c r="P103" s="198">
        <f>+Perfils!$G$28</f>
        <v>50.23</v>
      </c>
      <c r="Q103" s="199">
        <v>0</v>
      </c>
      <c r="R103" s="200"/>
      <c r="S103" s="200"/>
      <c r="T103" s="201"/>
      <c r="U103" s="203"/>
      <c r="V103" s="203">
        <f t="shared" si="28"/>
        <v>12000</v>
      </c>
      <c r="X103" s="146"/>
      <c r="Y103" s="184"/>
      <c r="Z103" s="184"/>
    </row>
    <row r="104" spans="1:26" s="206" customFormat="1" x14ac:dyDescent="0.25">
      <c r="A104" s="194" t="s">
        <v>230</v>
      </c>
      <c r="B104" s="194" t="s">
        <v>231</v>
      </c>
      <c r="C104" s="195" t="s">
        <v>256</v>
      </c>
      <c r="D104" s="196" t="s">
        <v>257</v>
      </c>
      <c r="E104" s="197">
        <v>42.918454935622314</v>
      </c>
      <c r="F104" s="198">
        <f>+Perfils!$G$15</f>
        <v>46.6</v>
      </c>
      <c r="G104" s="199">
        <f t="shared" si="24"/>
        <v>2000</v>
      </c>
      <c r="H104" s="197">
        <v>39.816842524387816</v>
      </c>
      <c r="I104" s="198">
        <f>+Perfils!$G$28</f>
        <v>50.23</v>
      </c>
      <c r="J104" s="199">
        <f t="shared" si="25"/>
        <v>2000</v>
      </c>
      <c r="K104" s="197">
        <v>20.336476243298204</v>
      </c>
      <c r="L104" s="198">
        <f>+Perfils!$G$41</f>
        <v>54.09</v>
      </c>
      <c r="M104" s="199">
        <f t="shared" si="26"/>
        <v>1100</v>
      </c>
      <c r="N104" s="198">
        <v>0</v>
      </c>
      <c r="O104" s="197">
        <f t="shared" si="27"/>
        <v>0</v>
      </c>
      <c r="P104" s="198">
        <f>+Perfils!$G$28</f>
        <v>50.23</v>
      </c>
      <c r="Q104" s="199">
        <v>0</v>
      </c>
      <c r="R104" s="200"/>
      <c r="S104" s="200"/>
      <c r="T104" s="201"/>
      <c r="U104" s="203"/>
      <c r="V104" s="203">
        <f t="shared" si="28"/>
        <v>5100</v>
      </c>
      <c r="X104" s="146"/>
      <c r="Y104" s="184"/>
      <c r="Z104" s="184"/>
    </row>
    <row r="105" spans="1:26" s="205" customFormat="1" x14ac:dyDescent="0.25">
      <c r="A105" s="194" t="s">
        <v>258</v>
      </c>
      <c r="B105" s="194" t="s">
        <v>259</v>
      </c>
      <c r="C105" s="195" t="s">
        <v>260</v>
      </c>
      <c r="D105" s="196" t="s">
        <v>309</v>
      </c>
      <c r="E105" s="197">
        <v>643.77682403433471</v>
      </c>
      <c r="F105" s="198">
        <f>+Perfils!$G$15</f>
        <v>46.6</v>
      </c>
      <c r="G105" s="199">
        <f t="shared" si="24"/>
        <v>30000</v>
      </c>
      <c r="H105" s="197">
        <v>796.33685048775635</v>
      </c>
      <c r="I105" s="198">
        <f>+Perfils!$G$28</f>
        <v>50.23</v>
      </c>
      <c r="J105" s="199">
        <f t="shared" si="25"/>
        <v>40000</v>
      </c>
      <c r="K105" s="197">
        <v>388.24181919023846</v>
      </c>
      <c r="L105" s="198">
        <f>+Perfils!$G$41</f>
        <v>54.09</v>
      </c>
      <c r="M105" s="199">
        <f t="shared" si="26"/>
        <v>21000</v>
      </c>
      <c r="N105" s="198">
        <v>0</v>
      </c>
      <c r="O105" s="197">
        <f t="shared" si="27"/>
        <v>0</v>
      </c>
      <c r="P105" s="198">
        <f>+Perfils!$G$28</f>
        <v>50.23</v>
      </c>
      <c r="Q105" s="199">
        <v>0</v>
      </c>
      <c r="R105" s="200"/>
      <c r="S105" s="200"/>
      <c r="T105" s="201"/>
      <c r="U105" s="203"/>
      <c r="V105" s="203">
        <f t="shared" si="28"/>
        <v>91000</v>
      </c>
      <c r="X105" s="186" t="s">
        <v>310</v>
      </c>
      <c r="Y105" s="277">
        <f>40000-28000</f>
        <v>12000</v>
      </c>
      <c r="Z105" s="184"/>
    </row>
    <row r="106" spans="1:26" s="205" customFormat="1" x14ac:dyDescent="0.25">
      <c r="A106" s="194" t="s">
        <v>261</v>
      </c>
      <c r="B106" s="194" t="s">
        <v>262</v>
      </c>
      <c r="C106" s="195" t="s">
        <v>263</v>
      </c>
      <c r="D106" s="196" t="s">
        <v>264</v>
      </c>
      <c r="E106" s="197">
        <v>171.67381974248926</v>
      </c>
      <c r="F106" s="198">
        <f>+Perfils!$G$15</f>
        <v>46.6</v>
      </c>
      <c r="G106" s="199">
        <f t="shared" si="24"/>
        <v>8000</v>
      </c>
      <c r="H106" s="197">
        <v>179.17579135974518</v>
      </c>
      <c r="I106" s="198">
        <f>+Perfils!$G$28</f>
        <v>50.23</v>
      </c>
      <c r="J106" s="199">
        <f t="shared" si="25"/>
        <v>9000</v>
      </c>
      <c r="K106" s="197">
        <v>92.438528378628206</v>
      </c>
      <c r="L106" s="198">
        <f>+Perfils!$G$41</f>
        <v>54.09</v>
      </c>
      <c r="M106" s="199">
        <f t="shared" si="26"/>
        <v>5000</v>
      </c>
      <c r="N106" s="198">
        <v>0</v>
      </c>
      <c r="O106" s="197">
        <f t="shared" si="27"/>
        <v>0</v>
      </c>
      <c r="P106" s="198">
        <f>+Perfils!$G$28</f>
        <v>50.23</v>
      </c>
      <c r="Q106" s="199">
        <v>0</v>
      </c>
      <c r="R106" s="200"/>
      <c r="S106" s="200"/>
      <c r="T106" s="201"/>
      <c r="U106" s="203"/>
      <c r="V106" s="203">
        <f t="shared" si="28"/>
        <v>22000</v>
      </c>
      <c r="X106" s="146"/>
      <c r="Y106" s="184"/>
      <c r="Z106" s="184"/>
    </row>
    <row r="107" spans="1:26" s="205" customFormat="1" x14ac:dyDescent="0.25">
      <c r="A107" s="194" t="s">
        <v>261</v>
      </c>
      <c r="B107" s="194" t="s">
        <v>262</v>
      </c>
      <c r="C107" s="195" t="s">
        <v>265</v>
      </c>
      <c r="D107" s="196" t="s">
        <v>266</v>
      </c>
      <c r="E107" s="197">
        <v>85.836909871244629</v>
      </c>
      <c r="F107" s="198">
        <f>+Perfils!$G$15</f>
        <v>46.6</v>
      </c>
      <c r="G107" s="199">
        <f t="shared" si="24"/>
        <v>4000</v>
      </c>
      <c r="H107" s="197">
        <v>79.633685048775632</v>
      </c>
      <c r="I107" s="198">
        <f>+Perfils!$G$28</f>
        <v>50.23</v>
      </c>
      <c r="J107" s="199">
        <f t="shared" si="25"/>
        <v>4000</v>
      </c>
      <c r="K107" s="197">
        <v>92.438528378628206</v>
      </c>
      <c r="L107" s="198">
        <f>+Perfils!$G$41</f>
        <v>54.09</v>
      </c>
      <c r="M107" s="199">
        <f t="shared" si="26"/>
        <v>5000</v>
      </c>
      <c r="N107" s="198">
        <v>0</v>
      </c>
      <c r="O107" s="197">
        <f t="shared" si="27"/>
        <v>0</v>
      </c>
      <c r="P107" s="198">
        <f>+Perfils!$G$28</f>
        <v>50.23</v>
      </c>
      <c r="Q107" s="199">
        <v>0</v>
      </c>
      <c r="R107" s="200"/>
      <c r="S107" s="200"/>
      <c r="T107" s="201"/>
      <c r="U107" s="203"/>
      <c r="V107" s="203">
        <f t="shared" si="28"/>
        <v>13000</v>
      </c>
      <c r="X107" s="146"/>
      <c r="Y107" s="184"/>
      <c r="Z107" s="184"/>
    </row>
    <row r="108" spans="1:26" s="205" customFormat="1" x14ac:dyDescent="0.25">
      <c r="A108" s="194" t="s">
        <v>267</v>
      </c>
      <c r="B108" s="194" t="s">
        <v>268</v>
      </c>
      <c r="C108" s="195" t="s">
        <v>269</v>
      </c>
      <c r="D108" s="196" t="s">
        <v>270</v>
      </c>
      <c r="E108" s="197">
        <v>21.459227467811157</v>
      </c>
      <c r="F108" s="198">
        <f>+Perfils!$G$15</f>
        <v>46.6</v>
      </c>
      <c r="G108" s="199">
        <f t="shared" si="24"/>
        <v>1000</v>
      </c>
      <c r="H108" s="197">
        <v>19.908421262193908</v>
      </c>
      <c r="I108" s="198">
        <f>+Perfils!$G$28</f>
        <v>50.23</v>
      </c>
      <c r="J108" s="199">
        <f t="shared" si="25"/>
        <v>1000</v>
      </c>
      <c r="K108" s="197">
        <v>11.092623405435384</v>
      </c>
      <c r="L108" s="198">
        <f>+Perfils!$G$41</f>
        <v>54.09</v>
      </c>
      <c r="M108" s="199">
        <f t="shared" si="26"/>
        <v>600</v>
      </c>
      <c r="N108" s="198">
        <v>0</v>
      </c>
      <c r="O108" s="197">
        <f t="shared" si="27"/>
        <v>0</v>
      </c>
      <c r="P108" s="198">
        <f>+Perfils!$G$28</f>
        <v>50.23</v>
      </c>
      <c r="Q108" s="199">
        <v>0</v>
      </c>
      <c r="R108" s="200"/>
      <c r="S108" s="200"/>
      <c r="T108" s="201"/>
      <c r="U108" s="203"/>
      <c r="V108" s="203">
        <f t="shared" si="28"/>
        <v>2600</v>
      </c>
      <c r="X108" s="146"/>
      <c r="Y108" s="184"/>
      <c r="Z108" s="184"/>
    </row>
    <row r="109" spans="1:26" s="206" customFormat="1" x14ac:dyDescent="0.25">
      <c r="A109" s="194" t="s">
        <v>271</v>
      </c>
      <c r="B109" s="194" t="s">
        <v>272</v>
      </c>
      <c r="C109" s="195" t="s">
        <v>273</v>
      </c>
      <c r="D109" s="196" t="s">
        <v>274</v>
      </c>
      <c r="E109" s="197">
        <v>536.48068669527891</v>
      </c>
      <c r="F109" s="198">
        <f>+Perfils!$G$15</f>
        <v>46.6</v>
      </c>
      <c r="G109" s="199">
        <f t="shared" si="24"/>
        <v>25000</v>
      </c>
      <c r="H109" s="197">
        <v>796.33685048775635</v>
      </c>
      <c r="I109" s="198">
        <f>+Perfils!$G$28</f>
        <v>50.23</v>
      </c>
      <c r="J109" s="199">
        <f t="shared" si="25"/>
        <v>40000</v>
      </c>
      <c r="K109" s="197">
        <v>203.36476243298205</v>
      </c>
      <c r="L109" s="198">
        <f>+Perfils!$G$41</f>
        <v>54.09</v>
      </c>
      <c r="M109" s="199">
        <f t="shared" si="26"/>
        <v>11000</v>
      </c>
      <c r="N109" s="198">
        <v>0</v>
      </c>
      <c r="O109" s="197">
        <f t="shared" si="27"/>
        <v>0</v>
      </c>
      <c r="P109" s="198">
        <f>+Perfils!$G$28</f>
        <v>50.23</v>
      </c>
      <c r="Q109" s="199">
        <v>0</v>
      </c>
      <c r="R109" s="200"/>
      <c r="S109" s="200"/>
      <c r="T109" s="201"/>
      <c r="U109" s="203"/>
      <c r="V109" s="203">
        <f t="shared" si="28"/>
        <v>76000</v>
      </c>
      <c r="X109" s="186" t="s">
        <v>338</v>
      </c>
      <c r="Y109" s="277">
        <f>40000-13000</f>
        <v>27000</v>
      </c>
      <c r="Z109" s="184"/>
    </row>
    <row r="110" spans="1:26" s="206" customFormat="1" x14ac:dyDescent="0.25">
      <c r="A110" s="194" t="s">
        <v>271</v>
      </c>
      <c r="B110" s="194" t="s">
        <v>272</v>
      </c>
      <c r="C110" s="195" t="s">
        <v>275</v>
      </c>
      <c r="D110" s="196" t="s">
        <v>314</v>
      </c>
      <c r="E110" s="197">
        <v>643.77682403433471</v>
      </c>
      <c r="F110" s="198">
        <f>+Perfils!$G$15</f>
        <v>46.6</v>
      </c>
      <c r="G110" s="199">
        <f t="shared" si="24"/>
        <v>30000</v>
      </c>
      <c r="H110" s="197">
        <v>696.79474417678682</v>
      </c>
      <c r="I110" s="198">
        <f>+Perfils!$G$28</f>
        <v>50.23</v>
      </c>
      <c r="J110" s="199">
        <f t="shared" si="25"/>
        <v>35000</v>
      </c>
      <c r="K110" s="197">
        <v>240.34017378443335</v>
      </c>
      <c r="L110" s="198">
        <f>+Perfils!$G$41</f>
        <v>54.09</v>
      </c>
      <c r="M110" s="199">
        <f t="shared" si="26"/>
        <v>13000</v>
      </c>
      <c r="N110" s="198">
        <v>0</v>
      </c>
      <c r="O110" s="197">
        <f t="shared" si="27"/>
        <v>0</v>
      </c>
      <c r="P110" s="198">
        <f>+Perfils!$G$28</f>
        <v>50.23</v>
      </c>
      <c r="Q110" s="199">
        <v>0</v>
      </c>
      <c r="R110" s="200"/>
      <c r="S110" s="200"/>
      <c r="T110" s="201"/>
      <c r="U110" s="203"/>
      <c r="V110" s="203">
        <f t="shared" si="28"/>
        <v>78000</v>
      </c>
      <c r="X110" s="186" t="s">
        <v>320</v>
      </c>
      <c r="Y110" s="277">
        <v>78000</v>
      </c>
      <c r="Z110" s="184"/>
    </row>
    <row r="111" spans="1:26" s="205" customFormat="1" x14ac:dyDescent="0.25">
      <c r="A111" s="194" t="s">
        <v>276</v>
      </c>
      <c r="B111" s="194" t="s">
        <v>277</v>
      </c>
      <c r="C111" s="195" t="s">
        <v>278</v>
      </c>
      <c r="D111" s="196" t="s">
        <v>279</v>
      </c>
      <c r="E111" s="197">
        <v>643.77682403433471</v>
      </c>
      <c r="F111" s="198">
        <f>+Perfils!$G$15</f>
        <v>46.6</v>
      </c>
      <c r="G111" s="199">
        <f t="shared" si="24"/>
        <v>30000</v>
      </c>
      <c r="H111" s="197">
        <v>1592.6737009755127</v>
      </c>
      <c r="I111" s="198">
        <f>+Perfils!$G$28</f>
        <v>50.23</v>
      </c>
      <c r="J111" s="199">
        <f t="shared" si="25"/>
        <v>80000</v>
      </c>
      <c r="K111" s="197">
        <v>462.19264189314106</v>
      </c>
      <c r="L111" s="198">
        <f>+Perfils!$G$41</f>
        <v>54.09</v>
      </c>
      <c r="M111" s="199">
        <f t="shared" si="26"/>
        <v>25000</v>
      </c>
      <c r="N111" s="198">
        <v>0</v>
      </c>
      <c r="O111" s="197">
        <f t="shared" si="27"/>
        <v>0</v>
      </c>
      <c r="P111" s="198">
        <f>+Perfils!$G$28</f>
        <v>50.23</v>
      </c>
      <c r="Q111" s="199">
        <v>0</v>
      </c>
      <c r="R111" s="200"/>
      <c r="S111" s="200"/>
      <c r="T111" s="201"/>
      <c r="U111" s="203"/>
      <c r="V111" s="203">
        <f t="shared" si="28"/>
        <v>135000</v>
      </c>
      <c r="X111" s="186" t="s">
        <v>345</v>
      </c>
      <c r="Y111" s="277">
        <f>30000-24000+80000-36000+25000-21000</f>
        <v>54000</v>
      </c>
      <c r="Z111" s="184"/>
    </row>
    <row r="112" spans="1:26" s="205" customFormat="1" x14ac:dyDescent="0.25">
      <c r="A112" s="194" t="s">
        <v>276</v>
      </c>
      <c r="B112" s="194" t="s">
        <v>277</v>
      </c>
      <c r="C112" s="195" t="s">
        <v>280</v>
      </c>
      <c r="D112" s="196" t="s">
        <v>281</v>
      </c>
      <c r="E112" s="197">
        <v>150.2145922746781</v>
      </c>
      <c r="F112" s="198">
        <f>+Perfils!$G$15</f>
        <v>46.6</v>
      </c>
      <c r="G112" s="199">
        <f t="shared" si="24"/>
        <v>7000</v>
      </c>
      <c r="H112" s="197">
        <v>398.16842524387818</v>
      </c>
      <c r="I112" s="198">
        <f>+Perfils!$G$28</f>
        <v>50.23</v>
      </c>
      <c r="J112" s="199">
        <f t="shared" si="25"/>
        <v>20000</v>
      </c>
      <c r="K112" s="197">
        <v>92.438528378628206</v>
      </c>
      <c r="L112" s="198">
        <f>+Perfils!$G$41</f>
        <v>54.09</v>
      </c>
      <c r="M112" s="199">
        <f t="shared" si="26"/>
        <v>5000</v>
      </c>
      <c r="N112" s="198">
        <v>0</v>
      </c>
      <c r="O112" s="197">
        <f t="shared" si="27"/>
        <v>0</v>
      </c>
      <c r="P112" s="198">
        <f>+Perfils!$G$28</f>
        <v>50.23</v>
      </c>
      <c r="Q112" s="199">
        <v>0</v>
      </c>
      <c r="R112" s="200"/>
      <c r="S112" s="200"/>
      <c r="T112" s="201"/>
      <c r="U112" s="203"/>
      <c r="V112" s="203">
        <f t="shared" si="28"/>
        <v>32000</v>
      </c>
      <c r="X112" s="186" t="s">
        <v>322</v>
      </c>
      <c r="Y112" s="277">
        <f>20000-8000</f>
        <v>12000</v>
      </c>
      <c r="Z112" s="184"/>
    </row>
    <row r="113" spans="1:26" s="117" customFormat="1" x14ac:dyDescent="0.25">
      <c r="A113" s="194" t="s">
        <v>276</v>
      </c>
      <c r="B113" s="194" t="s">
        <v>277</v>
      </c>
      <c r="C113" s="195" t="s">
        <v>282</v>
      </c>
      <c r="D113" s="196" t="s">
        <v>283</v>
      </c>
      <c r="E113" s="197">
        <v>536.48068669527891</v>
      </c>
      <c r="F113" s="198">
        <f>+Perfils!$G$15</f>
        <v>46.6</v>
      </c>
      <c r="G113" s="199">
        <f t="shared" si="24"/>
        <v>25000</v>
      </c>
      <c r="H113" s="197">
        <v>1194.5052757316346</v>
      </c>
      <c r="I113" s="198">
        <f>+Perfils!$G$28</f>
        <v>50.23</v>
      </c>
      <c r="J113" s="199">
        <f t="shared" si="25"/>
        <v>60000</v>
      </c>
      <c r="K113" s="197">
        <v>55.463117027176921</v>
      </c>
      <c r="L113" s="198">
        <f>+Perfils!$G$41</f>
        <v>54.09</v>
      </c>
      <c r="M113" s="199">
        <f t="shared" si="26"/>
        <v>3000</v>
      </c>
      <c r="N113" s="198">
        <v>0</v>
      </c>
      <c r="O113" s="197">
        <f t="shared" si="27"/>
        <v>0</v>
      </c>
      <c r="P113" s="198">
        <f>+Perfils!$G$28</f>
        <v>50.23</v>
      </c>
      <c r="Q113" s="199">
        <v>0</v>
      </c>
      <c r="R113" s="200"/>
      <c r="S113" s="200"/>
      <c r="T113" s="201"/>
      <c r="U113" s="203"/>
      <c r="V113" s="203">
        <f t="shared" si="28"/>
        <v>88000</v>
      </c>
      <c r="W113" s="136"/>
      <c r="X113" s="186" t="s">
        <v>323</v>
      </c>
      <c r="Y113" s="277">
        <f>60000-25000</f>
        <v>35000</v>
      </c>
      <c r="Z113" s="184"/>
    </row>
    <row r="114" spans="1:26" s="117" customFormat="1" x14ac:dyDescent="0.25">
      <c r="A114" s="194" t="s">
        <v>276</v>
      </c>
      <c r="B114" s="194" t="s">
        <v>277</v>
      </c>
      <c r="C114" s="195" t="s">
        <v>284</v>
      </c>
      <c r="D114" s="196" t="s">
        <v>285</v>
      </c>
      <c r="E114" s="197">
        <v>0</v>
      </c>
      <c r="F114" s="198">
        <f>+Perfils!$G$15</f>
        <v>46.6</v>
      </c>
      <c r="G114" s="199">
        <f t="shared" si="24"/>
        <v>0</v>
      </c>
      <c r="H114" s="197">
        <v>1592.6737009755127</v>
      </c>
      <c r="I114" s="198">
        <f>+Perfils!$G$28</f>
        <v>50.23</v>
      </c>
      <c r="J114" s="199">
        <f t="shared" si="25"/>
        <v>80000</v>
      </c>
      <c r="K114" s="197">
        <v>55.463117027176921</v>
      </c>
      <c r="L114" s="198">
        <f>+Perfils!$G$41</f>
        <v>54.09</v>
      </c>
      <c r="M114" s="199">
        <f t="shared" si="26"/>
        <v>3000</v>
      </c>
      <c r="N114" s="198">
        <v>0</v>
      </c>
      <c r="O114" s="197">
        <f t="shared" si="27"/>
        <v>0</v>
      </c>
      <c r="P114" s="198">
        <f>+Perfils!$G$28</f>
        <v>50.23</v>
      </c>
      <c r="Q114" s="199">
        <v>0</v>
      </c>
      <c r="R114" s="200"/>
      <c r="S114" s="200"/>
      <c r="T114" s="201"/>
      <c r="U114" s="203"/>
      <c r="V114" s="203">
        <f t="shared" si="28"/>
        <v>83000</v>
      </c>
      <c r="W114" s="136"/>
      <c r="X114" s="186" t="s">
        <v>311</v>
      </c>
      <c r="Y114" s="277">
        <f>80000-65000</f>
        <v>15000</v>
      </c>
      <c r="Z114" s="184"/>
    </row>
    <row r="115" spans="1:26" s="117" customFormat="1" x14ac:dyDescent="0.25">
      <c r="A115" s="194" t="s">
        <v>286</v>
      </c>
      <c r="B115" s="194" t="s">
        <v>287</v>
      </c>
      <c r="C115" s="195" t="s">
        <v>288</v>
      </c>
      <c r="D115" s="196" t="s">
        <v>289</v>
      </c>
      <c r="E115" s="197">
        <v>214.59227467811158</v>
      </c>
      <c r="F115" s="198">
        <f>+Perfils!$G$15</f>
        <v>46.6</v>
      </c>
      <c r="G115" s="199">
        <f t="shared" si="24"/>
        <v>10000</v>
      </c>
      <c r="H115" s="197">
        <v>796.33685048775635</v>
      </c>
      <c r="I115" s="198">
        <f>+Perfils!$G$28</f>
        <v>50.23</v>
      </c>
      <c r="J115" s="199">
        <f t="shared" si="25"/>
        <v>40000</v>
      </c>
      <c r="K115" s="197">
        <v>203.36476243298205</v>
      </c>
      <c r="L115" s="198">
        <f>+Perfils!$G$41</f>
        <v>54.09</v>
      </c>
      <c r="M115" s="199">
        <f t="shared" si="26"/>
        <v>11000</v>
      </c>
      <c r="N115" s="198">
        <v>0</v>
      </c>
      <c r="O115" s="197">
        <f t="shared" si="27"/>
        <v>0</v>
      </c>
      <c r="P115" s="198">
        <f>+Perfils!$G$28</f>
        <v>50.23</v>
      </c>
      <c r="Q115" s="199">
        <v>0</v>
      </c>
      <c r="R115" s="200"/>
      <c r="S115" s="200"/>
      <c r="T115" s="201"/>
      <c r="U115" s="203"/>
      <c r="V115" s="203">
        <f t="shared" si="28"/>
        <v>61000</v>
      </c>
      <c r="W115" s="136"/>
      <c r="X115" s="186" t="s">
        <v>344</v>
      </c>
      <c r="Y115" s="277">
        <f>40000-16000</f>
        <v>24000</v>
      </c>
      <c r="Z115" s="184"/>
    </row>
    <row r="116" spans="1:26" s="117" customFormat="1" x14ac:dyDescent="0.25">
      <c r="A116" s="194" t="s">
        <v>290</v>
      </c>
      <c r="B116" s="194" t="s">
        <v>291</v>
      </c>
      <c r="C116" s="195" t="s">
        <v>324</v>
      </c>
      <c r="D116" s="196" t="s">
        <v>292</v>
      </c>
      <c r="E116" s="197">
        <v>214.59227467811158</v>
      </c>
      <c r="F116" s="198">
        <f>+Perfils!$G$15</f>
        <v>46.6</v>
      </c>
      <c r="G116" s="199">
        <f t="shared" si="24"/>
        <v>10000</v>
      </c>
      <c r="H116" s="197">
        <v>318.53474019510253</v>
      </c>
      <c r="I116" s="198">
        <f>+Perfils!$G$28</f>
        <v>50.23</v>
      </c>
      <c r="J116" s="199">
        <f t="shared" si="25"/>
        <v>16000</v>
      </c>
      <c r="K116" s="197">
        <v>203.36476243298205</v>
      </c>
      <c r="L116" s="198">
        <f>+Perfils!$G$41</f>
        <v>54.09</v>
      </c>
      <c r="M116" s="199">
        <f t="shared" si="26"/>
        <v>11000</v>
      </c>
      <c r="N116" s="198">
        <v>0</v>
      </c>
      <c r="O116" s="197">
        <f t="shared" si="27"/>
        <v>0</v>
      </c>
      <c r="P116" s="198">
        <f>+Perfils!$G$28</f>
        <v>50.23</v>
      </c>
      <c r="Q116" s="199">
        <v>0</v>
      </c>
      <c r="R116" s="200"/>
      <c r="S116" s="200"/>
      <c r="T116" s="201"/>
      <c r="U116" s="203"/>
      <c r="V116" s="203">
        <f t="shared" si="28"/>
        <v>37000</v>
      </c>
      <c r="W116" s="136"/>
      <c r="X116" s="186" t="s">
        <v>326</v>
      </c>
      <c r="Y116" s="277">
        <f>10000-7000+16000-13000+11000-6000</f>
        <v>11000</v>
      </c>
      <c r="Z116" s="184"/>
    </row>
    <row r="117" spans="1:26" s="117" customFormat="1" x14ac:dyDescent="0.25">
      <c r="A117" s="194" t="s">
        <v>293</v>
      </c>
      <c r="B117" s="194" t="s">
        <v>294</v>
      </c>
      <c r="C117" s="195" t="s">
        <v>325</v>
      </c>
      <c r="D117" s="196" t="s">
        <v>295</v>
      </c>
      <c r="E117" s="197">
        <v>214.59227467811158</v>
      </c>
      <c r="F117" s="198">
        <f>+Perfils!$G$15</f>
        <v>46.6</v>
      </c>
      <c r="G117" s="199">
        <f t="shared" si="24"/>
        <v>10000</v>
      </c>
      <c r="H117" s="197">
        <v>1114.8715906828588</v>
      </c>
      <c r="I117" s="198">
        <f>+Perfils!$G$28</f>
        <v>50.23</v>
      </c>
      <c r="J117" s="199">
        <f t="shared" si="25"/>
        <v>56000</v>
      </c>
      <c r="K117" s="197">
        <v>369.75411351451282</v>
      </c>
      <c r="L117" s="198">
        <f>+Perfils!$G$41</f>
        <v>54.09</v>
      </c>
      <c r="M117" s="199">
        <f t="shared" si="26"/>
        <v>20000</v>
      </c>
      <c r="N117" s="198">
        <v>0</v>
      </c>
      <c r="O117" s="197">
        <f t="shared" si="27"/>
        <v>0</v>
      </c>
      <c r="P117" s="198">
        <f>+Perfils!$G$28</f>
        <v>50.23</v>
      </c>
      <c r="Q117" s="199">
        <v>0</v>
      </c>
      <c r="R117" s="200">
        <v>44927</v>
      </c>
      <c r="S117" s="200">
        <v>44986</v>
      </c>
      <c r="T117" s="201">
        <v>2</v>
      </c>
      <c r="U117" s="203">
        <v>1625</v>
      </c>
      <c r="V117" s="203">
        <f>+G117+J117+M117+N117+U117+Q117</f>
        <v>87625</v>
      </c>
      <c r="W117" s="136"/>
      <c r="X117" s="186" t="s">
        <v>339</v>
      </c>
      <c r="Y117" s="277">
        <f>10000-8000+56000-9000+20000-11000</f>
        <v>58000</v>
      </c>
      <c r="Z117" s="184">
        <v>39000</v>
      </c>
    </row>
    <row r="118" spans="1:26" s="117" customFormat="1" x14ac:dyDescent="0.25">
      <c r="A118" s="194" t="s">
        <v>276</v>
      </c>
      <c r="B118" s="194" t="s">
        <v>277</v>
      </c>
      <c r="C118" s="195" t="s">
        <v>296</v>
      </c>
      <c r="D118" s="196" t="s">
        <v>315</v>
      </c>
      <c r="E118" s="197">
        <v>193.13304721030042</v>
      </c>
      <c r="F118" s="198">
        <f>+Perfils!$G$15</f>
        <v>46.6</v>
      </c>
      <c r="G118" s="199">
        <f t="shared" si="24"/>
        <v>9000</v>
      </c>
      <c r="H118" s="197">
        <v>398.16842524387818</v>
      </c>
      <c r="I118" s="198">
        <f>+Perfils!$G$28</f>
        <v>50.23</v>
      </c>
      <c r="J118" s="199">
        <f t="shared" si="25"/>
        <v>20000</v>
      </c>
      <c r="K118" s="197">
        <v>184.87705675725641</v>
      </c>
      <c r="L118" s="198">
        <f>+Perfils!$G$41</f>
        <v>54.09</v>
      </c>
      <c r="M118" s="199">
        <f t="shared" si="26"/>
        <v>10000</v>
      </c>
      <c r="N118" s="198">
        <v>0</v>
      </c>
      <c r="O118" s="197">
        <f t="shared" si="27"/>
        <v>0</v>
      </c>
      <c r="P118" s="198">
        <f>+Perfils!$G$28</f>
        <v>50.23</v>
      </c>
      <c r="Q118" s="199">
        <v>0</v>
      </c>
      <c r="R118" s="200"/>
      <c r="S118" s="200"/>
      <c r="T118" s="201"/>
      <c r="U118" s="203"/>
      <c r="V118" s="203">
        <f t="shared" ref="V118:V122" si="29">+G118+J118+M118+N118+Q118</f>
        <v>39000</v>
      </c>
      <c r="W118" s="136"/>
      <c r="X118" s="186" t="s">
        <v>327</v>
      </c>
      <c r="Y118" s="277">
        <f>20000-9000</f>
        <v>11000</v>
      </c>
      <c r="Z118" s="184"/>
    </row>
    <row r="119" spans="1:26" s="117" customFormat="1" x14ac:dyDescent="0.25">
      <c r="A119" s="194" t="s">
        <v>276</v>
      </c>
      <c r="B119" s="194" t="s">
        <v>277</v>
      </c>
      <c r="C119" s="195" t="s">
        <v>297</v>
      </c>
      <c r="D119" s="196" t="s">
        <v>298</v>
      </c>
      <c r="E119" s="197">
        <v>64.377682403433468</v>
      </c>
      <c r="F119" s="198">
        <f>+Perfils!$G$15</f>
        <v>46.6</v>
      </c>
      <c r="G119" s="199">
        <f t="shared" si="24"/>
        <v>3000</v>
      </c>
      <c r="H119" s="197">
        <v>199.08421262193909</v>
      </c>
      <c r="I119" s="198">
        <f>+Perfils!$G$28</f>
        <v>50.23</v>
      </c>
      <c r="J119" s="199">
        <f t="shared" si="25"/>
        <v>10000</v>
      </c>
      <c r="K119" s="197">
        <v>55.463117027176921</v>
      </c>
      <c r="L119" s="198">
        <f>+Perfils!$G$41</f>
        <v>54.09</v>
      </c>
      <c r="M119" s="199">
        <f t="shared" si="26"/>
        <v>3000</v>
      </c>
      <c r="N119" s="198">
        <v>0</v>
      </c>
      <c r="O119" s="197">
        <f t="shared" si="27"/>
        <v>0</v>
      </c>
      <c r="P119" s="198">
        <f>+Perfils!$G$28</f>
        <v>50.23</v>
      </c>
      <c r="Q119" s="199">
        <v>0</v>
      </c>
      <c r="R119" s="200"/>
      <c r="S119" s="200"/>
      <c r="T119" s="201"/>
      <c r="U119" s="203"/>
      <c r="V119" s="203">
        <f t="shared" si="29"/>
        <v>16000</v>
      </c>
      <c r="W119" s="136"/>
      <c r="X119" s="186" t="s">
        <v>328</v>
      </c>
      <c r="Y119" s="277">
        <f>10000-4000</f>
        <v>6000</v>
      </c>
      <c r="Z119" s="184"/>
    </row>
    <row r="120" spans="1:26" s="117" customFormat="1" x14ac:dyDescent="0.25">
      <c r="A120" s="194" t="s">
        <v>276</v>
      </c>
      <c r="B120" s="194" t="s">
        <v>277</v>
      </c>
      <c r="C120" s="195" t="s">
        <v>299</v>
      </c>
      <c r="D120" s="196" t="s">
        <v>300</v>
      </c>
      <c r="E120" s="197">
        <v>107.29613733905579</v>
      </c>
      <c r="F120" s="198">
        <f>+Perfils!$G$15</f>
        <v>46.6</v>
      </c>
      <c r="G120" s="199">
        <f t="shared" si="24"/>
        <v>5000</v>
      </c>
      <c r="H120" s="197">
        <v>298.62631893290865</v>
      </c>
      <c r="I120" s="198">
        <f>+Perfils!$G$28</f>
        <v>50.23</v>
      </c>
      <c r="J120" s="199">
        <f t="shared" si="25"/>
        <v>15000</v>
      </c>
      <c r="K120" s="197">
        <v>55.463117027176921</v>
      </c>
      <c r="L120" s="198">
        <f>+Perfils!$G$41</f>
        <v>54.09</v>
      </c>
      <c r="M120" s="199">
        <f t="shared" si="26"/>
        <v>3000</v>
      </c>
      <c r="N120" s="198">
        <v>0</v>
      </c>
      <c r="O120" s="197">
        <f t="shared" si="27"/>
        <v>0</v>
      </c>
      <c r="P120" s="198">
        <f>+Perfils!$G$28</f>
        <v>50.23</v>
      </c>
      <c r="Q120" s="199">
        <v>0</v>
      </c>
      <c r="R120" s="200"/>
      <c r="S120" s="200"/>
      <c r="T120" s="201"/>
      <c r="U120" s="203"/>
      <c r="V120" s="203">
        <f t="shared" si="29"/>
        <v>23000</v>
      </c>
      <c r="W120" s="136"/>
      <c r="X120" s="186" t="s">
        <v>329</v>
      </c>
      <c r="Y120" s="277">
        <f>15000-5000</f>
        <v>10000</v>
      </c>
      <c r="Z120" s="184"/>
    </row>
    <row r="121" spans="1:26" s="117" customFormat="1" x14ac:dyDescent="0.25">
      <c r="A121" s="194" t="s">
        <v>276</v>
      </c>
      <c r="B121" s="194" t="s">
        <v>277</v>
      </c>
      <c r="C121" s="195" t="s">
        <v>316</v>
      </c>
      <c r="D121" s="196" t="s">
        <v>318</v>
      </c>
      <c r="E121" s="197">
        <v>193.13304721030042</v>
      </c>
      <c r="F121" s="198">
        <f>+Perfils!$G$15</f>
        <v>46.6</v>
      </c>
      <c r="G121" s="199">
        <f t="shared" si="24"/>
        <v>9000</v>
      </c>
      <c r="H121" s="197">
        <v>179.17579135974518</v>
      </c>
      <c r="I121" s="198">
        <f>+Perfils!$G$28</f>
        <v>50.23</v>
      </c>
      <c r="J121" s="199">
        <f t="shared" si="25"/>
        <v>9000</v>
      </c>
      <c r="K121" s="197">
        <v>110.92623405435384</v>
      </c>
      <c r="L121" s="198">
        <f>+Perfils!$G$41</f>
        <v>54.09</v>
      </c>
      <c r="M121" s="199">
        <f t="shared" si="26"/>
        <v>6000</v>
      </c>
      <c r="N121" s="198">
        <v>0</v>
      </c>
      <c r="O121" s="197">
        <f t="shared" si="27"/>
        <v>0</v>
      </c>
      <c r="P121" s="198">
        <f>+Perfils!$G$28</f>
        <v>50.23</v>
      </c>
      <c r="Q121" s="199">
        <v>0</v>
      </c>
      <c r="R121" s="200"/>
      <c r="S121" s="200"/>
      <c r="T121" s="201"/>
      <c r="U121" s="203"/>
      <c r="V121" s="203">
        <f t="shared" si="29"/>
        <v>24000</v>
      </c>
      <c r="W121" s="136"/>
      <c r="X121" s="186" t="s">
        <v>320</v>
      </c>
      <c r="Y121" s="277">
        <f>24000</f>
        <v>24000</v>
      </c>
      <c r="Z121" s="184"/>
    </row>
    <row r="122" spans="1:26" s="205" customFormat="1" x14ac:dyDescent="0.25">
      <c r="A122" s="194" t="s">
        <v>234</v>
      </c>
      <c r="B122" s="194" t="s">
        <v>235</v>
      </c>
      <c r="C122" s="195" t="s">
        <v>317</v>
      </c>
      <c r="D122" s="196" t="s">
        <v>319</v>
      </c>
      <c r="E122" s="197">
        <v>107.29613733905579</v>
      </c>
      <c r="F122" s="198">
        <f>+Perfils!$G$15</f>
        <v>46.6</v>
      </c>
      <c r="G122" s="199">
        <f t="shared" si="24"/>
        <v>5000</v>
      </c>
      <c r="H122" s="197">
        <v>99.542106310969544</v>
      </c>
      <c r="I122" s="198">
        <f>+Perfils!$G$28</f>
        <v>50.23</v>
      </c>
      <c r="J122" s="199">
        <f t="shared" si="25"/>
        <v>5000</v>
      </c>
      <c r="K122" s="197">
        <v>55.463117027176921</v>
      </c>
      <c r="L122" s="198">
        <f>+Perfils!$G$41</f>
        <v>54.09</v>
      </c>
      <c r="M122" s="199">
        <f t="shared" si="26"/>
        <v>3000</v>
      </c>
      <c r="N122" s="198">
        <v>0</v>
      </c>
      <c r="O122" s="197">
        <f t="shared" si="27"/>
        <v>0</v>
      </c>
      <c r="P122" s="198">
        <f>+Perfils!$G$28</f>
        <v>50.23</v>
      </c>
      <c r="Q122" s="199">
        <v>0</v>
      </c>
      <c r="R122" s="200"/>
      <c r="S122" s="200"/>
      <c r="T122" s="201"/>
      <c r="U122" s="203"/>
      <c r="V122" s="203">
        <f t="shared" si="29"/>
        <v>13000</v>
      </c>
      <c r="X122" s="186" t="s">
        <v>320</v>
      </c>
      <c r="Y122" s="277">
        <f>13000</f>
        <v>13000</v>
      </c>
      <c r="Z122" s="184"/>
    </row>
    <row r="123" spans="1:26" s="205" customFormat="1" x14ac:dyDescent="0.25">
      <c r="A123" s="194" t="s">
        <v>334</v>
      </c>
      <c r="B123" s="194" t="s">
        <v>333</v>
      </c>
      <c r="C123" s="195" t="s">
        <v>335</v>
      </c>
      <c r="D123" s="196" t="s">
        <v>336</v>
      </c>
      <c r="E123" s="197">
        <v>85.836909871244629</v>
      </c>
      <c r="F123" s="198">
        <f>+Perfils!$G$15</f>
        <v>46.6</v>
      </c>
      <c r="G123" s="199">
        <f t="shared" si="24"/>
        <v>4000</v>
      </c>
      <c r="H123" s="197">
        <v>159.26737009755126</v>
      </c>
      <c r="I123" s="198">
        <f>+Perfils!$G$28</f>
        <v>50.23</v>
      </c>
      <c r="J123" s="199">
        <f t="shared" si="25"/>
        <v>8000</v>
      </c>
      <c r="K123" s="197">
        <v>55.463117027176921</v>
      </c>
      <c r="L123" s="198">
        <f>+Perfils!$G$41</f>
        <v>54.09</v>
      </c>
      <c r="M123" s="199">
        <f t="shared" si="26"/>
        <v>3000</v>
      </c>
      <c r="N123" s="198">
        <v>0</v>
      </c>
      <c r="O123" s="197">
        <f t="shared" si="27"/>
        <v>0</v>
      </c>
      <c r="P123" s="198">
        <f>+Perfils!$G$28</f>
        <v>50.23</v>
      </c>
      <c r="Q123" s="199">
        <v>0</v>
      </c>
      <c r="R123" s="200">
        <v>45067</v>
      </c>
      <c r="S123" s="200">
        <v>45128</v>
      </c>
      <c r="T123" s="201">
        <v>2</v>
      </c>
      <c r="U123" s="203">
        <v>625</v>
      </c>
      <c r="V123" s="203">
        <f>+G123+J123+M123+N123+U123+Q123</f>
        <v>15625</v>
      </c>
      <c r="X123" s="146"/>
      <c r="Y123" s="184"/>
      <c r="Z123" s="184">
        <v>15000</v>
      </c>
    </row>
    <row r="124" spans="1:26" s="205" customFormat="1" x14ac:dyDescent="0.25">
      <c r="A124" s="194" t="s">
        <v>210</v>
      </c>
      <c r="B124" s="194" t="s">
        <v>211</v>
      </c>
      <c r="C124" s="195" t="s">
        <v>335</v>
      </c>
      <c r="D124" s="196" t="s">
        <v>337</v>
      </c>
      <c r="E124" s="197">
        <v>0</v>
      </c>
      <c r="F124" s="198">
        <f>+Perfils!$G$15</f>
        <v>46.6</v>
      </c>
      <c r="G124" s="199">
        <f t="shared" si="24"/>
        <v>0</v>
      </c>
      <c r="H124" s="197">
        <v>0</v>
      </c>
      <c r="I124" s="198">
        <f>+Perfils!$G$28</f>
        <v>50.23</v>
      </c>
      <c r="J124" s="199">
        <f t="shared" si="25"/>
        <v>0</v>
      </c>
      <c r="K124" s="197">
        <v>0</v>
      </c>
      <c r="L124" s="198">
        <f>+Perfils!$G$41</f>
        <v>54.09</v>
      </c>
      <c r="M124" s="199">
        <f t="shared" si="26"/>
        <v>0</v>
      </c>
      <c r="N124" s="198">
        <v>0</v>
      </c>
      <c r="O124" s="197">
        <f t="shared" si="27"/>
        <v>0</v>
      </c>
      <c r="P124" s="198">
        <f>+Perfils!$G$28</f>
        <v>50.23</v>
      </c>
      <c r="Q124" s="199">
        <v>0</v>
      </c>
      <c r="R124" s="200">
        <v>45231</v>
      </c>
      <c r="S124" s="200">
        <v>45292</v>
      </c>
      <c r="T124" s="209">
        <v>2</v>
      </c>
      <c r="U124" s="203">
        <v>625</v>
      </c>
      <c r="V124" s="203">
        <f>+G124+J124+M124+N124+U124+Q124</f>
        <v>625</v>
      </c>
      <c r="X124" s="146"/>
      <c r="Y124" s="184"/>
      <c r="Z124" s="184">
        <v>15000</v>
      </c>
    </row>
    <row r="125" spans="1:26" s="205" customFormat="1" x14ac:dyDescent="0.25">
      <c r="A125" s="194" t="s">
        <v>234</v>
      </c>
      <c r="B125" s="194" t="s">
        <v>235</v>
      </c>
      <c r="C125" s="195" t="s">
        <v>335</v>
      </c>
      <c r="D125" s="196" t="s">
        <v>346</v>
      </c>
      <c r="E125" s="197">
        <v>0</v>
      </c>
      <c r="F125" s="198">
        <f>+Perfils!$G$15</f>
        <v>46.6</v>
      </c>
      <c r="G125" s="199">
        <f t="shared" si="24"/>
        <v>0</v>
      </c>
      <c r="H125" s="197">
        <v>0</v>
      </c>
      <c r="I125" s="198">
        <f>+Perfils!$G$28</f>
        <v>50.23</v>
      </c>
      <c r="J125" s="199">
        <f t="shared" si="25"/>
        <v>0</v>
      </c>
      <c r="K125" s="197">
        <v>0</v>
      </c>
      <c r="L125" s="198">
        <f>+Perfils!$G$41</f>
        <v>54.09</v>
      </c>
      <c r="M125" s="199">
        <f t="shared" si="26"/>
        <v>0</v>
      </c>
      <c r="N125" s="198">
        <v>0</v>
      </c>
      <c r="O125" s="197">
        <f t="shared" si="27"/>
        <v>0</v>
      </c>
      <c r="P125" s="198">
        <f>+Perfils!$G$28</f>
        <v>50.23</v>
      </c>
      <c r="Q125" s="199">
        <v>0</v>
      </c>
      <c r="R125" s="200"/>
      <c r="S125" s="200"/>
      <c r="T125" s="201"/>
      <c r="U125" s="203"/>
      <c r="V125" s="203">
        <f t="shared" ref="V125" si="30">+G125+J125+M125+N125+Q125</f>
        <v>0</v>
      </c>
      <c r="X125" s="146"/>
      <c r="Y125" s="184"/>
      <c r="Z125" s="184"/>
    </row>
    <row r="126" spans="1:26" s="205" customFormat="1" x14ac:dyDescent="0.25">
      <c r="A126" s="194" t="s">
        <v>222</v>
      </c>
      <c r="B126" s="194" t="s">
        <v>223</v>
      </c>
      <c r="C126" s="195" t="s">
        <v>335</v>
      </c>
      <c r="D126" s="196" t="s">
        <v>347</v>
      </c>
      <c r="E126" s="197">
        <v>71.530758226037193</v>
      </c>
      <c r="F126" s="198">
        <f>+Perfils!$G$15</f>
        <v>46.6</v>
      </c>
      <c r="G126" s="199">
        <f t="shared" si="24"/>
        <v>3333.33</v>
      </c>
      <c r="H126" s="197">
        <v>199.08421262193909</v>
      </c>
      <c r="I126" s="198">
        <f>+Perfils!$G$28</f>
        <v>50.23</v>
      </c>
      <c r="J126" s="199">
        <f t="shared" si="25"/>
        <v>10000</v>
      </c>
      <c r="K126" s="197">
        <v>61.625685585752137</v>
      </c>
      <c r="L126" s="198">
        <f>+Perfils!$G$41</f>
        <v>54.09</v>
      </c>
      <c r="M126" s="199">
        <f t="shared" si="26"/>
        <v>3333.33</v>
      </c>
      <c r="N126" s="198">
        <v>0</v>
      </c>
      <c r="O126" s="197">
        <f t="shared" si="27"/>
        <v>0</v>
      </c>
      <c r="P126" s="198">
        <f>+Perfils!$G$28</f>
        <v>50.23</v>
      </c>
      <c r="Q126" s="199">
        <v>0</v>
      </c>
      <c r="R126" s="200">
        <v>45067</v>
      </c>
      <c r="S126" s="200">
        <v>45128</v>
      </c>
      <c r="T126" s="201">
        <v>2</v>
      </c>
      <c r="U126" s="203">
        <v>1666.6666666666667</v>
      </c>
      <c r="V126" s="203">
        <f>+G126+J126+M126+N126+Q126+U126</f>
        <v>18333.326666666668</v>
      </c>
      <c r="X126" s="146"/>
      <c r="Y126" s="184"/>
      <c r="Z126" s="184">
        <v>40000</v>
      </c>
    </row>
    <row r="127" spans="1:26" s="205" customFormat="1" x14ac:dyDescent="0.25">
      <c r="A127" s="196"/>
      <c r="B127" s="196"/>
      <c r="C127" s="195"/>
      <c r="D127" s="196"/>
      <c r="E127" s="207">
        <f>SUM(E87:E126)</f>
        <v>6895.565092989983</v>
      </c>
      <c r="F127" s="198"/>
      <c r="G127" s="208">
        <f>SUM(G87:G126)</f>
        <v>321333.33</v>
      </c>
      <c r="H127" s="207">
        <f>SUM(H87:H126)</f>
        <v>15787.378060919773</v>
      </c>
      <c r="I127" s="198"/>
      <c r="J127" s="208">
        <f>SUM(J87:J126)</f>
        <v>793000</v>
      </c>
      <c r="K127" s="207">
        <f>SUM(K87:K126)</f>
        <v>4918.3459665988776</v>
      </c>
      <c r="L127" s="198"/>
      <c r="M127" s="208">
        <f>SUM(M87:M126)</f>
        <v>266033.33</v>
      </c>
      <c r="N127" s="198"/>
      <c r="O127" s="207">
        <f>SUM(O87:O126)</f>
        <v>0</v>
      </c>
      <c r="P127" s="198"/>
      <c r="Q127" s="210">
        <f>SUM(Q87:Q126)</f>
        <v>0</v>
      </c>
      <c r="R127" s="200"/>
      <c r="S127" s="200"/>
      <c r="T127" s="209"/>
      <c r="U127" s="210">
        <f>SUM(U87:U126)</f>
        <v>4541.666666666667</v>
      </c>
      <c r="V127" s="210">
        <f>SUM(V87:V126)</f>
        <v>1384908.3266666667</v>
      </c>
      <c r="W127" s="278"/>
      <c r="X127" s="146"/>
      <c r="Y127" s="184"/>
      <c r="Z127" s="186"/>
    </row>
    <row r="128" spans="1:26" s="205" customFormat="1" x14ac:dyDescent="0.25">
      <c r="A128" s="196"/>
      <c r="B128" s="196"/>
      <c r="C128" s="195"/>
      <c r="D128" s="279"/>
      <c r="E128" s="207">
        <f>(E127/12/8)/20</f>
        <v>3.5914401525989499</v>
      </c>
      <c r="F128" s="198"/>
      <c r="G128" s="198"/>
      <c r="H128" s="207">
        <f>(H127/12/8)/20</f>
        <v>8.2225927400623817</v>
      </c>
      <c r="I128" s="198"/>
      <c r="J128" s="198"/>
      <c r="K128" s="207">
        <f>(K127/12/8)/20</f>
        <v>2.5616385242702489</v>
      </c>
      <c r="L128" s="198"/>
      <c r="M128" s="198"/>
      <c r="N128" s="198"/>
      <c r="O128" s="198"/>
      <c r="P128" s="198"/>
      <c r="Q128" s="198"/>
      <c r="R128" s="200"/>
      <c r="S128" s="200"/>
      <c r="T128" s="209"/>
      <c r="U128" s="203"/>
      <c r="V128" s="203"/>
      <c r="W128" s="278"/>
      <c r="X128" s="146"/>
      <c r="Y128" s="184"/>
      <c r="Z128" s="186"/>
    </row>
    <row r="129" spans="1:26" s="205" customFormat="1" ht="15.75" thickBot="1" x14ac:dyDescent="0.3">
      <c r="A129" s="211"/>
      <c r="B129" s="211"/>
      <c r="C129" s="212"/>
      <c r="D129" s="280"/>
      <c r="E129" s="213"/>
      <c r="F129" s="214"/>
      <c r="G129" s="215"/>
      <c r="H129" s="213"/>
      <c r="I129" s="214"/>
      <c r="J129" s="215"/>
      <c r="K129" s="213"/>
      <c r="L129" s="214"/>
      <c r="M129" s="215"/>
      <c r="N129" s="214"/>
      <c r="O129" s="214"/>
      <c r="P129" s="214"/>
      <c r="Q129" s="214"/>
      <c r="R129" s="216"/>
      <c r="S129" s="216"/>
      <c r="T129" s="217"/>
      <c r="U129" s="218"/>
      <c r="V129" s="218"/>
      <c r="X129" s="146"/>
      <c r="Y129" s="184"/>
      <c r="Z129" s="186"/>
    </row>
    <row r="130" spans="1:26" s="205" customFormat="1" x14ac:dyDescent="0.25">
      <c r="A130" s="219" t="s">
        <v>383</v>
      </c>
      <c r="B130" s="220" t="s">
        <v>384</v>
      </c>
      <c r="C130" s="281" t="s">
        <v>417</v>
      </c>
      <c r="D130" s="282" t="s">
        <v>385</v>
      </c>
      <c r="E130" s="283">
        <v>643.77682403433471</v>
      </c>
      <c r="F130" s="198">
        <f>+Perfils!$G$15</f>
        <v>46.6</v>
      </c>
      <c r="G130" s="199">
        <f t="shared" ref="G130:G148" si="31">+ROUND(E130*F130,2)</f>
        <v>30000</v>
      </c>
      <c r="H130" s="283">
        <v>298.62631893290865</v>
      </c>
      <c r="I130" s="198">
        <f>+Perfils!$G$28</f>
        <v>50.23</v>
      </c>
      <c r="J130" s="199">
        <f t="shared" ref="J130:J148" si="32">+ROUND(H130*I130,2)</f>
        <v>15000</v>
      </c>
      <c r="K130" s="283">
        <v>92.438528378628206</v>
      </c>
      <c r="L130" s="198">
        <f>+Perfils!$G$41</f>
        <v>54.09</v>
      </c>
      <c r="M130" s="199">
        <f t="shared" ref="M130:M148" si="33">+ROUND(K130*L130,2)</f>
        <v>5000</v>
      </c>
      <c r="N130" s="284"/>
      <c r="O130" s="197">
        <f t="shared" ref="O130:O147" si="34">+Q130/P130</f>
        <v>0</v>
      </c>
      <c r="P130" s="198">
        <f>+Perfils!$G$28</f>
        <v>50.23</v>
      </c>
      <c r="Q130" s="199">
        <v>0</v>
      </c>
      <c r="R130" s="285"/>
      <c r="S130" s="285"/>
      <c r="T130" s="286"/>
      <c r="U130" s="287"/>
      <c r="V130" s="203">
        <f t="shared" ref="V130:V148" si="35">+G130+J130+M130+N130+Q130</f>
        <v>50000</v>
      </c>
      <c r="X130" s="146"/>
      <c r="Y130" s="184"/>
      <c r="Z130" s="186"/>
    </row>
    <row r="131" spans="1:26" s="205" customFormat="1" x14ac:dyDescent="0.25">
      <c r="A131" s="223" t="s">
        <v>386</v>
      </c>
      <c r="B131" s="224" t="s">
        <v>387</v>
      </c>
      <c r="C131" s="221" t="s">
        <v>388</v>
      </c>
      <c r="D131" s="222" t="s">
        <v>389</v>
      </c>
      <c r="E131" s="197">
        <v>328.32618025751071</v>
      </c>
      <c r="F131" s="198">
        <f>+Perfils!$G$15</f>
        <v>46.6</v>
      </c>
      <c r="G131" s="199">
        <f t="shared" si="31"/>
        <v>15300</v>
      </c>
      <c r="H131" s="197">
        <v>243.67907624925346</v>
      </c>
      <c r="I131" s="198">
        <f>+Perfils!$G$28</f>
        <v>50.23</v>
      </c>
      <c r="J131" s="199">
        <f t="shared" si="32"/>
        <v>12240</v>
      </c>
      <c r="K131" s="197">
        <v>56.572379367720465</v>
      </c>
      <c r="L131" s="198">
        <f>+Perfils!$G$41</f>
        <v>54.09</v>
      </c>
      <c r="M131" s="199">
        <f t="shared" si="33"/>
        <v>3060</v>
      </c>
      <c r="N131" s="198"/>
      <c r="O131" s="197">
        <f t="shared" si="34"/>
        <v>0</v>
      </c>
      <c r="P131" s="198">
        <f>+Perfils!$G$28</f>
        <v>50.23</v>
      </c>
      <c r="Q131" s="199">
        <v>0</v>
      </c>
      <c r="R131" s="200"/>
      <c r="S131" s="200"/>
      <c r="T131" s="201"/>
      <c r="U131" s="203"/>
      <c r="V131" s="203">
        <f t="shared" si="35"/>
        <v>30600</v>
      </c>
      <c r="X131" s="146"/>
      <c r="Y131" s="184"/>
      <c r="Z131" s="186"/>
    </row>
    <row r="132" spans="1:26" s="205" customFormat="1" ht="28.5" customHeight="1" x14ac:dyDescent="0.25">
      <c r="A132" s="223" t="s">
        <v>390</v>
      </c>
      <c r="B132" s="224" t="s">
        <v>391</v>
      </c>
      <c r="C132" s="221" t="s">
        <v>415</v>
      </c>
      <c r="D132" s="222" t="s">
        <v>392</v>
      </c>
      <c r="E132" s="197">
        <v>482.83261802575106</v>
      </c>
      <c r="F132" s="198">
        <f>+Perfils!$G$15</f>
        <v>46.6</v>
      </c>
      <c r="G132" s="199">
        <f t="shared" si="31"/>
        <v>22500</v>
      </c>
      <c r="H132" s="197">
        <v>1244.2763288871192</v>
      </c>
      <c r="I132" s="198">
        <f>+Perfils!$G$28</f>
        <v>50.23</v>
      </c>
      <c r="J132" s="199">
        <f t="shared" si="32"/>
        <v>62500</v>
      </c>
      <c r="K132" s="197">
        <v>739.50822702902565</v>
      </c>
      <c r="L132" s="198">
        <f>+Perfils!$G$41</f>
        <v>54.09</v>
      </c>
      <c r="M132" s="199">
        <f t="shared" si="33"/>
        <v>40000</v>
      </c>
      <c r="N132" s="198"/>
      <c r="O132" s="197">
        <f t="shared" si="34"/>
        <v>0</v>
      </c>
      <c r="P132" s="198">
        <f>+Perfils!$G$28</f>
        <v>50.23</v>
      </c>
      <c r="Q132" s="199">
        <v>0</v>
      </c>
      <c r="R132" s="200"/>
      <c r="S132" s="200"/>
      <c r="T132" s="201"/>
      <c r="U132" s="203"/>
      <c r="V132" s="203">
        <f t="shared" si="35"/>
        <v>125000</v>
      </c>
      <c r="X132" s="146"/>
      <c r="Y132" s="184"/>
      <c r="Z132" s="186"/>
    </row>
    <row r="133" spans="1:26" s="205" customFormat="1" x14ac:dyDescent="0.25">
      <c r="A133" s="223" t="s">
        <v>357</v>
      </c>
      <c r="B133" s="224" t="s">
        <v>363</v>
      </c>
      <c r="C133" s="221"/>
      <c r="D133" s="222" t="s">
        <v>378</v>
      </c>
      <c r="E133" s="197">
        <v>80.102360515021459</v>
      </c>
      <c r="F133" s="198">
        <f>+Perfils!$G$15</f>
        <v>46.6</v>
      </c>
      <c r="G133" s="199">
        <f t="shared" si="31"/>
        <v>3732.77</v>
      </c>
      <c r="H133" s="197">
        <v>229.61158670117459</v>
      </c>
      <c r="I133" s="198">
        <f>+Perfils!$G$28</f>
        <v>50.23</v>
      </c>
      <c r="J133" s="199">
        <f t="shared" si="32"/>
        <v>11533.39</v>
      </c>
      <c r="K133" s="197">
        <v>154.09853947125163</v>
      </c>
      <c r="L133" s="198">
        <f>+Perfils!$G$41</f>
        <v>54.09</v>
      </c>
      <c r="M133" s="199">
        <f t="shared" si="33"/>
        <v>8335.19</v>
      </c>
      <c r="N133" s="198"/>
      <c r="O133" s="197">
        <f t="shared" si="34"/>
        <v>0</v>
      </c>
      <c r="P133" s="198">
        <f>+Perfils!$G$28</f>
        <v>50.23</v>
      </c>
      <c r="Q133" s="199">
        <v>0</v>
      </c>
      <c r="R133" s="200"/>
      <c r="S133" s="200"/>
      <c r="T133" s="201"/>
      <c r="U133" s="199"/>
      <c r="V133" s="203">
        <f t="shared" si="35"/>
        <v>23601.35</v>
      </c>
      <c r="X133" s="146"/>
      <c r="Y133" s="184"/>
      <c r="Z133" s="186"/>
    </row>
    <row r="134" spans="1:26" s="205" customFormat="1" x14ac:dyDescent="0.25">
      <c r="A134" s="223" t="s">
        <v>393</v>
      </c>
      <c r="B134" s="224" t="s">
        <v>394</v>
      </c>
      <c r="C134" s="221"/>
      <c r="D134" s="225" t="s">
        <v>394</v>
      </c>
      <c r="E134" s="197">
        <v>182.40343347639484</v>
      </c>
      <c r="F134" s="198">
        <f>+Perfils!$G$15</f>
        <v>46.6</v>
      </c>
      <c r="G134" s="199">
        <f t="shared" si="31"/>
        <v>8500</v>
      </c>
      <c r="H134" s="197">
        <v>308.58052956400559</v>
      </c>
      <c r="I134" s="198">
        <f>+Perfils!$G$28</f>
        <v>50.23</v>
      </c>
      <c r="J134" s="199">
        <f t="shared" si="32"/>
        <v>15500</v>
      </c>
      <c r="K134" s="197">
        <v>203.36476243298205</v>
      </c>
      <c r="L134" s="198">
        <f>+Perfils!$G$41</f>
        <v>54.09</v>
      </c>
      <c r="M134" s="199">
        <f t="shared" si="33"/>
        <v>11000</v>
      </c>
      <c r="N134" s="198"/>
      <c r="O134" s="197">
        <f t="shared" si="34"/>
        <v>0</v>
      </c>
      <c r="P134" s="198">
        <f>+Perfils!$G$28</f>
        <v>50.23</v>
      </c>
      <c r="Q134" s="199">
        <v>0</v>
      </c>
      <c r="R134" s="200"/>
      <c r="S134" s="200"/>
      <c r="T134" s="201"/>
      <c r="U134" s="199"/>
      <c r="V134" s="203">
        <f t="shared" si="35"/>
        <v>35000</v>
      </c>
      <c r="X134" s="146"/>
      <c r="Y134" s="184"/>
      <c r="Z134" s="186"/>
    </row>
    <row r="135" spans="1:26" s="205" customFormat="1" ht="15" customHeight="1" x14ac:dyDescent="0.25">
      <c r="A135" s="223" t="s">
        <v>395</v>
      </c>
      <c r="B135" s="224" t="s">
        <v>413</v>
      </c>
      <c r="C135" s="221" t="s">
        <v>427</v>
      </c>
      <c r="D135" s="225" t="s">
        <v>413</v>
      </c>
      <c r="E135" s="197">
        <v>314.49785407725324</v>
      </c>
      <c r="F135" s="198">
        <f>+Perfils!$G$15</f>
        <v>46.6</v>
      </c>
      <c r="G135" s="199">
        <f t="shared" si="31"/>
        <v>14655.6</v>
      </c>
      <c r="H135" s="197">
        <v>1542.106510053753</v>
      </c>
      <c r="I135" s="198">
        <f>+Perfils!$G$28</f>
        <v>50.23</v>
      </c>
      <c r="J135" s="199">
        <f t="shared" si="32"/>
        <v>77460.009999999995</v>
      </c>
      <c r="K135" s="197">
        <v>406.42262895174707</v>
      </c>
      <c r="L135" s="198">
        <f>+Perfils!$G$41</f>
        <v>54.09</v>
      </c>
      <c r="M135" s="199">
        <f t="shared" si="33"/>
        <v>21983.4</v>
      </c>
      <c r="N135" s="198"/>
      <c r="O135" s="197">
        <f t="shared" si="34"/>
        <v>0</v>
      </c>
      <c r="P135" s="198">
        <f>+Perfils!$G$28</f>
        <v>50.23</v>
      </c>
      <c r="Q135" s="288"/>
      <c r="R135" s="200"/>
      <c r="S135" s="200"/>
      <c r="T135" s="201"/>
      <c r="U135" s="199"/>
      <c r="V135" s="203">
        <f t="shared" si="35"/>
        <v>114099.01000000001</v>
      </c>
      <c r="X135" s="146"/>
      <c r="Y135" s="184"/>
      <c r="Z135" s="186"/>
    </row>
    <row r="136" spans="1:26" s="205" customFormat="1" x14ac:dyDescent="0.25">
      <c r="A136" s="223" t="s">
        <v>390</v>
      </c>
      <c r="B136" s="224" t="s">
        <v>391</v>
      </c>
      <c r="C136" s="221" t="s">
        <v>361</v>
      </c>
      <c r="D136" s="225" t="s">
        <v>396</v>
      </c>
      <c r="E136" s="197">
        <v>160.94420600858368</v>
      </c>
      <c r="F136" s="198">
        <f>+Perfils!$G$15</f>
        <v>46.6</v>
      </c>
      <c r="G136" s="199">
        <f t="shared" si="31"/>
        <v>7500</v>
      </c>
      <c r="H136" s="197">
        <v>328.48895082619953</v>
      </c>
      <c r="I136" s="198">
        <f>+Perfils!$G$28</f>
        <v>50.23</v>
      </c>
      <c r="J136" s="199">
        <f t="shared" si="32"/>
        <v>16500</v>
      </c>
      <c r="K136" s="197">
        <v>110.92623405435384</v>
      </c>
      <c r="L136" s="198">
        <f>+Perfils!$G$41</f>
        <v>54.09</v>
      </c>
      <c r="M136" s="199">
        <f t="shared" si="33"/>
        <v>6000</v>
      </c>
      <c r="N136" s="198"/>
      <c r="O136" s="197">
        <f t="shared" si="34"/>
        <v>0</v>
      </c>
      <c r="P136" s="198">
        <f>+Perfils!$G$28</f>
        <v>50.23</v>
      </c>
      <c r="Q136" s="199">
        <v>0</v>
      </c>
      <c r="R136" s="200"/>
      <c r="S136" s="200"/>
      <c r="T136" s="201"/>
      <c r="U136" s="199"/>
      <c r="V136" s="203">
        <f t="shared" si="35"/>
        <v>30000</v>
      </c>
      <c r="X136" s="146"/>
      <c r="Y136" s="184"/>
      <c r="Z136" s="186"/>
    </row>
    <row r="137" spans="1:26" s="205" customFormat="1" x14ac:dyDescent="0.25">
      <c r="A137" s="223" t="s">
        <v>358</v>
      </c>
      <c r="B137" s="224" t="s">
        <v>364</v>
      </c>
      <c r="C137" s="221" t="s">
        <v>369</v>
      </c>
      <c r="D137" s="222" t="s">
        <v>364</v>
      </c>
      <c r="E137" s="197">
        <v>315.45064377682405</v>
      </c>
      <c r="F137" s="198">
        <f>+Perfils!$G$15</f>
        <v>46.6</v>
      </c>
      <c r="G137" s="199">
        <f t="shared" si="31"/>
        <v>14700</v>
      </c>
      <c r="H137" s="197">
        <v>526.77682659765094</v>
      </c>
      <c r="I137" s="198">
        <f>+Perfils!$G$28</f>
        <v>50.23</v>
      </c>
      <c r="J137" s="199">
        <f t="shared" si="32"/>
        <v>26460</v>
      </c>
      <c r="K137" s="197">
        <v>326.1231281198003</v>
      </c>
      <c r="L137" s="198">
        <f>+Perfils!$G$41</f>
        <v>54.09</v>
      </c>
      <c r="M137" s="199">
        <f t="shared" si="33"/>
        <v>17640</v>
      </c>
      <c r="N137" s="198"/>
      <c r="O137" s="197">
        <f t="shared" si="34"/>
        <v>0</v>
      </c>
      <c r="P137" s="198">
        <f>+Perfils!$G$28</f>
        <v>50.23</v>
      </c>
      <c r="Q137" s="199">
        <v>0</v>
      </c>
      <c r="R137" s="200"/>
      <c r="S137" s="200"/>
      <c r="T137" s="201"/>
      <c r="U137" s="199"/>
      <c r="V137" s="203">
        <f t="shared" si="35"/>
        <v>58800</v>
      </c>
      <c r="X137" s="146"/>
      <c r="Y137" s="184"/>
      <c r="Z137" s="186"/>
    </row>
    <row r="138" spans="1:26" s="205" customFormat="1" x14ac:dyDescent="0.25">
      <c r="A138" s="223" t="s">
        <v>359</v>
      </c>
      <c r="B138" s="224" t="s">
        <v>365</v>
      </c>
      <c r="C138" s="221"/>
      <c r="D138" s="222" t="s">
        <v>370</v>
      </c>
      <c r="E138" s="197">
        <v>32.188841201716734</v>
      </c>
      <c r="F138" s="198">
        <f>+Perfils!$G$15</f>
        <v>46.6</v>
      </c>
      <c r="G138" s="199">
        <f t="shared" si="31"/>
        <v>1500</v>
      </c>
      <c r="H138" s="197">
        <v>53.752737407923554</v>
      </c>
      <c r="I138" s="198">
        <f>+Perfils!$G$28</f>
        <v>50.23</v>
      </c>
      <c r="J138" s="199">
        <f t="shared" si="32"/>
        <v>2700</v>
      </c>
      <c r="K138" s="197">
        <v>33.277870216306155</v>
      </c>
      <c r="L138" s="198">
        <f>+Perfils!$G$41</f>
        <v>54.09</v>
      </c>
      <c r="M138" s="199">
        <f t="shared" si="33"/>
        <v>1800</v>
      </c>
      <c r="N138" s="198"/>
      <c r="O138" s="197">
        <f t="shared" si="34"/>
        <v>0</v>
      </c>
      <c r="P138" s="198">
        <f>+Perfils!$G$28</f>
        <v>50.23</v>
      </c>
      <c r="Q138" s="199">
        <v>0</v>
      </c>
      <c r="R138" s="200"/>
      <c r="S138" s="200"/>
      <c r="T138" s="201"/>
      <c r="U138" s="199"/>
      <c r="V138" s="289">
        <f>+G138+J138+M138+N138+Q138</f>
        <v>6000</v>
      </c>
      <c r="X138" s="146"/>
      <c r="Y138" s="184"/>
      <c r="Z138" s="186"/>
    </row>
    <row r="139" spans="1:26" s="205" customFormat="1" x14ac:dyDescent="0.25">
      <c r="A139" s="223" t="s">
        <v>359</v>
      </c>
      <c r="B139" s="224" t="s">
        <v>365</v>
      </c>
      <c r="C139" s="221"/>
      <c r="D139" s="222" t="s">
        <v>371</v>
      </c>
      <c r="E139" s="197">
        <v>0</v>
      </c>
      <c r="F139" s="198">
        <f>+Perfils!$G$15</f>
        <v>46.6</v>
      </c>
      <c r="G139" s="199">
        <f t="shared" si="31"/>
        <v>0</v>
      </c>
      <c r="H139" s="197">
        <v>0</v>
      </c>
      <c r="I139" s="198">
        <f>+Perfils!$G$28</f>
        <v>50.23</v>
      </c>
      <c r="J139" s="199">
        <f t="shared" si="32"/>
        <v>0</v>
      </c>
      <c r="K139" s="197">
        <v>0</v>
      </c>
      <c r="L139" s="198">
        <f>+Perfils!$G$41</f>
        <v>54.09</v>
      </c>
      <c r="M139" s="199">
        <f t="shared" si="33"/>
        <v>0</v>
      </c>
      <c r="N139" s="198"/>
      <c r="O139" s="197">
        <f t="shared" si="34"/>
        <v>0</v>
      </c>
      <c r="P139" s="198">
        <f>+Perfils!$G$28</f>
        <v>50.23</v>
      </c>
      <c r="Q139" s="199">
        <v>0</v>
      </c>
      <c r="R139" s="200"/>
      <c r="S139" s="200"/>
      <c r="T139" s="201"/>
      <c r="U139" s="290"/>
      <c r="V139" s="203">
        <f t="shared" si="35"/>
        <v>0</v>
      </c>
      <c r="X139" s="146"/>
      <c r="Y139" s="184"/>
      <c r="Z139" s="186"/>
    </row>
    <row r="140" spans="1:26" s="205" customFormat="1" x14ac:dyDescent="0.25">
      <c r="A140" s="223" t="s">
        <v>360</v>
      </c>
      <c r="B140" s="224" t="s">
        <v>366</v>
      </c>
      <c r="C140" s="221" t="s">
        <v>372</v>
      </c>
      <c r="D140" s="222" t="s">
        <v>373</v>
      </c>
      <c r="E140" s="197">
        <v>96.566523605150209</v>
      </c>
      <c r="F140" s="198">
        <f>+Perfils!$G$15</f>
        <v>46.6</v>
      </c>
      <c r="G140" s="199">
        <f t="shared" si="31"/>
        <v>4500</v>
      </c>
      <c r="H140" s="197">
        <v>161.25821222377067</v>
      </c>
      <c r="I140" s="198">
        <f>+Perfils!$G$28</f>
        <v>50.23</v>
      </c>
      <c r="J140" s="199">
        <f t="shared" si="32"/>
        <v>8100</v>
      </c>
      <c r="K140" s="197">
        <v>99.83361064891848</v>
      </c>
      <c r="L140" s="198">
        <f>+Perfils!$G$41</f>
        <v>54.09</v>
      </c>
      <c r="M140" s="199">
        <f t="shared" si="33"/>
        <v>5400</v>
      </c>
      <c r="N140" s="198"/>
      <c r="O140" s="197">
        <f t="shared" si="34"/>
        <v>0</v>
      </c>
      <c r="P140" s="198">
        <f>+Perfils!$G$28</f>
        <v>50.23</v>
      </c>
      <c r="Q140" s="199">
        <v>0</v>
      </c>
      <c r="R140" s="200"/>
      <c r="S140" s="200"/>
      <c r="T140" s="201"/>
      <c r="U140" s="199"/>
      <c r="V140" s="203">
        <f t="shared" si="35"/>
        <v>18000</v>
      </c>
      <c r="X140" s="146"/>
      <c r="Y140" s="184"/>
      <c r="Z140" s="186"/>
    </row>
    <row r="141" spans="1:26" s="184" customFormat="1" x14ac:dyDescent="0.25">
      <c r="A141" s="223" t="s">
        <v>361</v>
      </c>
      <c r="B141" s="224" t="s">
        <v>367</v>
      </c>
      <c r="C141" s="221" t="s">
        <v>374</v>
      </c>
      <c r="D141" s="222" t="s">
        <v>367</v>
      </c>
      <c r="E141" s="197">
        <v>80.472103004291839</v>
      </c>
      <c r="F141" s="198">
        <f>+Perfils!$G$15</f>
        <v>46.6</v>
      </c>
      <c r="G141" s="199">
        <f t="shared" si="31"/>
        <v>3750</v>
      </c>
      <c r="H141" s="197">
        <v>134.38184351980888</v>
      </c>
      <c r="I141" s="198">
        <f>+Perfils!$G$28</f>
        <v>50.23</v>
      </c>
      <c r="J141" s="199">
        <f t="shared" si="32"/>
        <v>6750</v>
      </c>
      <c r="K141" s="197">
        <v>83.194675540765388</v>
      </c>
      <c r="L141" s="198">
        <f>+Perfils!$G$41</f>
        <v>54.09</v>
      </c>
      <c r="M141" s="199">
        <f t="shared" si="33"/>
        <v>4500</v>
      </c>
      <c r="N141" s="198"/>
      <c r="O141" s="197">
        <f t="shared" si="34"/>
        <v>0</v>
      </c>
      <c r="P141" s="198">
        <f>+Perfils!$G$28</f>
        <v>50.23</v>
      </c>
      <c r="Q141" s="199">
        <v>0</v>
      </c>
      <c r="R141" s="200"/>
      <c r="S141" s="200"/>
      <c r="T141" s="201"/>
      <c r="U141" s="290"/>
      <c r="V141" s="203">
        <f t="shared" si="35"/>
        <v>15000</v>
      </c>
      <c r="Z141" s="186"/>
    </row>
    <row r="142" spans="1:26" s="184" customFormat="1" x14ac:dyDescent="0.25">
      <c r="A142" s="223" t="s">
        <v>376</v>
      </c>
      <c r="B142" s="224" t="s">
        <v>377</v>
      </c>
      <c r="C142" s="221"/>
      <c r="D142" s="225" t="s">
        <v>377</v>
      </c>
      <c r="E142" s="197">
        <v>0</v>
      </c>
      <c r="F142" s="198">
        <f>+Perfils!$G$15</f>
        <v>46.6</v>
      </c>
      <c r="G142" s="199">
        <f t="shared" si="31"/>
        <v>0</v>
      </c>
      <c r="H142" s="197">
        <v>0</v>
      </c>
      <c r="I142" s="198">
        <f>+Perfils!$G$28</f>
        <v>50.23</v>
      </c>
      <c r="J142" s="199">
        <f t="shared" si="32"/>
        <v>0</v>
      </c>
      <c r="K142" s="197">
        <v>166.38935108153078</v>
      </c>
      <c r="L142" s="198">
        <f>+Perfils!$G$41</f>
        <v>54.09</v>
      </c>
      <c r="M142" s="199">
        <f t="shared" si="33"/>
        <v>9000</v>
      </c>
      <c r="N142" s="198"/>
      <c r="O142" s="197">
        <f t="shared" si="34"/>
        <v>0</v>
      </c>
      <c r="P142" s="198">
        <f>+Perfils!$G$28</f>
        <v>50.23</v>
      </c>
      <c r="Q142" s="199">
        <v>0</v>
      </c>
      <c r="R142" s="200"/>
      <c r="S142" s="200"/>
      <c r="T142" s="201"/>
      <c r="U142" s="290"/>
      <c r="V142" s="203">
        <f t="shared" si="35"/>
        <v>9000</v>
      </c>
      <c r="Z142" s="186"/>
    </row>
    <row r="143" spans="1:26" s="184" customFormat="1" x14ac:dyDescent="0.25">
      <c r="A143" s="223" t="s">
        <v>362</v>
      </c>
      <c r="B143" s="224" t="s">
        <v>368</v>
      </c>
      <c r="C143" s="226" t="s">
        <v>416</v>
      </c>
      <c r="D143" s="225" t="s">
        <v>375</v>
      </c>
      <c r="E143" s="197">
        <v>173.81974248927037</v>
      </c>
      <c r="F143" s="198">
        <f>+Perfils!$G$15</f>
        <v>46.6</v>
      </c>
      <c r="G143" s="199">
        <f t="shared" si="31"/>
        <v>8100</v>
      </c>
      <c r="H143" s="197">
        <v>286.68126617559227</v>
      </c>
      <c r="I143" s="198">
        <f>+Perfils!$G$28</f>
        <v>50.23</v>
      </c>
      <c r="J143" s="199">
        <f t="shared" si="32"/>
        <v>14400</v>
      </c>
      <c r="K143" s="197">
        <v>249.58402662229616</v>
      </c>
      <c r="L143" s="198">
        <f>+Perfils!$G$41</f>
        <v>54.09</v>
      </c>
      <c r="M143" s="199">
        <f t="shared" si="33"/>
        <v>13500</v>
      </c>
      <c r="N143" s="198"/>
      <c r="O143" s="197">
        <f t="shared" si="34"/>
        <v>0</v>
      </c>
      <c r="P143" s="198">
        <f>+Perfils!$G$28</f>
        <v>50.23</v>
      </c>
      <c r="Q143" s="199">
        <v>0</v>
      </c>
      <c r="R143" s="200"/>
      <c r="S143" s="200"/>
      <c r="T143" s="201"/>
      <c r="U143" s="199"/>
      <c r="V143" s="203">
        <f t="shared" si="35"/>
        <v>36000</v>
      </c>
      <c r="Z143" s="186"/>
    </row>
    <row r="144" spans="1:26" s="184" customFormat="1" x14ac:dyDescent="0.25">
      <c r="A144" s="223" t="s">
        <v>397</v>
      </c>
      <c r="B144" s="224" t="s">
        <v>398</v>
      </c>
      <c r="C144" s="226" t="s">
        <v>399</v>
      </c>
      <c r="D144" s="225" t="s">
        <v>400</v>
      </c>
      <c r="E144" s="197">
        <v>151.07296137339054</v>
      </c>
      <c r="F144" s="198">
        <f>+Perfils!$G$15</f>
        <v>46.6</v>
      </c>
      <c r="G144" s="199">
        <f t="shared" si="31"/>
        <v>7040</v>
      </c>
      <c r="H144" s="197">
        <v>105.11646426438384</v>
      </c>
      <c r="I144" s="198">
        <f>+Perfils!$G$28</f>
        <v>50.23</v>
      </c>
      <c r="J144" s="199">
        <f t="shared" si="32"/>
        <v>5280</v>
      </c>
      <c r="K144" s="197">
        <v>97.615085967831391</v>
      </c>
      <c r="L144" s="198">
        <f>+Perfils!$G$41</f>
        <v>54.09</v>
      </c>
      <c r="M144" s="199">
        <f t="shared" si="33"/>
        <v>5280</v>
      </c>
      <c r="N144" s="198"/>
      <c r="O144" s="197">
        <f t="shared" si="34"/>
        <v>0</v>
      </c>
      <c r="P144" s="198">
        <f>+Perfils!$G$28</f>
        <v>50.23</v>
      </c>
      <c r="Q144" s="199">
        <v>0</v>
      </c>
      <c r="R144" s="200"/>
      <c r="S144" s="200"/>
      <c r="T144" s="201"/>
      <c r="U144" s="199"/>
      <c r="V144" s="203">
        <f t="shared" si="35"/>
        <v>17600</v>
      </c>
      <c r="Z144" s="186"/>
    </row>
    <row r="145" spans="1:26" s="184" customFormat="1" ht="30" x14ac:dyDescent="0.25">
      <c r="A145" s="223" t="s">
        <v>397</v>
      </c>
      <c r="B145" s="224" t="s">
        <v>398</v>
      </c>
      <c r="C145" s="226" t="s">
        <v>401</v>
      </c>
      <c r="D145" s="225" t="s">
        <v>402</v>
      </c>
      <c r="E145" s="197">
        <v>145.92274678111588</v>
      </c>
      <c r="F145" s="198">
        <f>+Perfils!$G$15</f>
        <v>46.6</v>
      </c>
      <c r="G145" s="199">
        <f t="shared" si="31"/>
        <v>6800</v>
      </c>
      <c r="H145" s="197">
        <v>135.37726458291857</v>
      </c>
      <c r="I145" s="198">
        <f>+Perfils!$G$28</f>
        <v>50.23</v>
      </c>
      <c r="J145" s="199">
        <f t="shared" si="32"/>
        <v>6800</v>
      </c>
      <c r="K145" s="197">
        <v>44.370493621741538</v>
      </c>
      <c r="L145" s="198">
        <f>+Perfils!$G$41</f>
        <v>54.09</v>
      </c>
      <c r="M145" s="199">
        <f t="shared" si="33"/>
        <v>2400</v>
      </c>
      <c r="N145" s="198"/>
      <c r="O145" s="197">
        <f t="shared" si="34"/>
        <v>0</v>
      </c>
      <c r="P145" s="198">
        <f>+Perfils!$G$28</f>
        <v>50.23</v>
      </c>
      <c r="Q145" s="199">
        <v>0</v>
      </c>
      <c r="R145" s="200"/>
      <c r="S145" s="200"/>
      <c r="T145" s="201"/>
      <c r="U145" s="199"/>
      <c r="V145" s="203">
        <f t="shared" si="35"/>
        <v>16000</v>
      </c>
      <c r="Z145" s="186"/>
    </row>
    <row r="146" spans="1:26" s="184" customFormat="1" ht="30" x14ac:dyDescent="0.25">
      <c r="A146" s="223" t="s">
        <v>397</v>
      </c>
      <c r="B146" s="224" t="s">
        <v>398</v>
      </c>
      <c r="C146" s="226" t="s">
        <v>401</v>
      </c>
      <c r="D146" s="225" t="s">
        <v>403</v>
      </c>
      <c r="E146" s="197">
        <v>72.961373390557938</v>
      </c>
      <c r="F146" s="198">
        <f>+Perfils!$G$15</f>
        <v>46.6</v>
      </c>
      <c r="G146" s="199">
        <f t="shared" si="31"/>
        <v>3400</v>
      </c>
      <c r="H146" s="197">
        <v>67.688632291459285</v>
      </c>
      <c r="I146" s="198">
        <f>+Perfils!$G$28</f>
        <v>50.23</v>
      </c>
      <c r="J146" s="199">
        <f t="shared" si="32"/>
        <v>3400</v>
      </c>
      <c r="K146" s="197">
        <v>22.185246810870769</v>
      </c>
      <c r="L146" s="198">
        <f>+Perfils!$G$41</f>
        <v>54.09</v>
      </c>
      <c r="M146" s="199">
        <f t="shared" si="33"/>
        <v>1200</v>
      </c>
      <c r="N146" s="198"/>
      <c r="O146" s="197">
        <f t="shared" si="34"/>
        <v>0</v>
      </c>
      <c r="P146" s="198">
        <f>+Perfils!$G$28</f>
        <v>50.23</v>
      </c>
      <c r="Q146" s="199">
        <v>0</v>
      </c>
      <c r="R146" s="200"/>
      <c r="S146" s="200"/>
      <c r="T146" s="201"/>
      <c r="U146" s="199"/>
      <c r="V146" s="203">
        <f t="shared" si="35"/>
        <v>8000</v>
      </c>
      <c r="Z146" s="186"/>
    </row>
    <row r="147" spans="1:26" s="205" customFormat="1" ht="30" x14ac:dyDescent="0.25">
      <c r="A147" s="227" t="s">
        <v>361</v>
      </c>
      <c r="B147" s="224" t="s">
        <v>418</v>
      </c>
      <c r="C147" s="226" t="s">
        <v>401</v>
      </c>
      <c r="D147" s="225" t="s">
        <v>418</v>
      </c>
      <c r="E147" s="197">
        <v>429.18454935622316</v>
      </c>
      <c r="F147" s="198">
        <f>+Perfils!$G$15</f>
        <v>46.6</v>
      </c>
      <c r="G147" s="199">
        <f t="shared" si="31"/>
        <v>20000</v>
      </c>
      <c r="H147" s="197">
        <v>199.08421262193909</v>
      </c>
      <c r="I147" s="198">
        <f>+Perfils!$G$28</f>
        <v>50.23</v>
      </c>
      <c r="J147" s="199">
        <f t="shared" si="32"/>
        <v>10000</v>
      </c>
      <c r="K147" s="197">
        <v>92.438528378628206</v>
      </c>
      <c r="L147" s="198">
        <f>+Perfils!$G$41</f>
        <v>54.09</v>
      </c>
      <c r="M147" s="199">
        <f t="shared" si="33"/>
        <v>5000</v>
      </c>
      <c r="N147" s="198"/>
      <c r="O147" s="197">
        <f t="shared" si="34"/>
        <v>0</v>
      </c>
      <c r="P147" s="198">
        <f>+Perfils!$G$28</f>
        <v>50.23</v>
      </c>
      <c r="Q147" s="199">
        <v>0</v>
      </c>
      <c r="R147" s="200"/>
      <c r="S147" s="200"/>
      <c r="T147" s="201"/>
      <c r="U147" s="203"/>
      <c r="V147" s="203">
        <f t="shared" si="35"/>
        <v>35000</v>
      </c>
      <c r="W147" s="203"/>
      <c r="X147" s="204"/>
      <c r="Y147" s="204"/>
      <c r="Z147" s="204"/>
    </row>
    <row r="148" spans="1:26" s="184" customFormat="1" x14ac:dyDescent="0.25">
      <c r="A148" s="223" t="s">
        <v>404</v>
      </c>
      <c r="B148" s="224" t="s">
        <v>405</v>
      </c>
      <c r="C148" s="226"/>
      <c r="D148" s="225" t="s">
        <v>406</v>
      </c>
      <c r="E148" s="197">
        <v>53.648068669527895</v>
      </c>
      <c r="F148" s="198">
        <f>+Perfils!$G$15</f>
        <v>46.6</v>
      </c>
      <c r="G148" s="199">
        <f t="shared" si="31"/>
        <v>2500</v>
      </c>
      <c r="H148" s="197">
        <v>885.924746167629</v>
      </c>
      <c r="I148" s="198">
        <f>+Perfils!$G$28</f>
        <v>50.23</v>
      </c>
      <c r="J148" s="199">
        <f t="shared" si="32"/>
        <v>44500</v>
      </c>
      <c r="K148" s="197">
        <v>55.463117027176921</v>
      </c>
      <c r="L148" s="198">
        <f>+Perfils!$G$41</f>
        <v>54.09</v>
      </c>
      <c r="M148" s="199">
        <f t="shared" si="33"/>
        <v>3000</v>
      </c>
      <c r="N148" s="198"/>
      <c r="O148" s="197">
        <f t="shared" ref="O148" si="36">+Q148/P148</f>
        <v>0</v>
      </c>
      <c r="P148" s="198">
        <f>+Perfils!$G$28</f>
        <v>50.23</v>
      </c>
      <c r="Q148" s="199">
        <v>0</v>
      </c>
      <c r="R148" s="200"/>
      <c r="S148" s="200"/>
      <c r="T148" s="201"/>
      <c r="U148" s="199"/>
      <c r="V148" s="203">
        <f t="shared" si="35"/>
        <v>50000</v>
      </c>
      <c r="X148" s="291" t="s">
        <v>354</v>
      </c>
      <c r="Y148" s="292">
        <f>V152-816000</f>
        <v>1246608.6866666665</v>
      </c>
    </row>
    <row r="149" spans="1:26" s="184" customFormat="1" ht="15.75" thickBot="1" x14ac:dyDescent="0.3">
      <c r="A149" s="228"/>
      <c r="B149" s="229"/>
      <c r="C149" s="229"/>
      <c r="D149" s="229"/>
      <c r="E149" s="230">
        <f>SUM(E130:E148)</f>
        <v>3744.1710300429181</v>
      </c>
      <c r="F149" s="231"/>
      <c r="G149" s="293">
        <f>SUM(G130:G148)</f>
        <v>174478.37</v>
      </c>
      <c r="H149" s="230">
        <f>SUM(H130:H148)</f>
        <v>6751.4115070674907</v>
      </c>
      <c r="I149" s="231"/>
      <c r="J149" s="293">
        <f>SUM(J130:J148)</f>
        <v>339123.4</v>
      </c>
      <c r="K149" s="230">
        <f>SUM(K130:K148)</f>
        <v>3033.8064337215746</v>
      </c>
      <c r="L149" s="231"/>
      <c r="M149" s="293">
        <f>SUM(M130:M148)</f>
        <v>164098.59</v>
      </c>
      <c r="N149" s="233"/>
      <c r="O149" s="230">
        <f>SUM(O130:O148)</f>
        <v>0</v>
      </c>
      <c r="P149" s="231"/>
      <c r="Q149" s="293">
        <f>SUM(Q130:Q148)</f>
        <v>0</v>
      </c>
      <c r="R149" s="234"/>
      <c r="S149" s="234"/>
      <c r="T149" s="235"/>
      <c r="U149" s="293">
        <f>SUM(U133:U143)</f>
        <v>0</v>
      </c>
      <c r="V149" s="294">
        <f>SUM(V130:V148)</f>
        <v>677700.36</v>
      </c>
      <c r="W149" s="295"/>
      <c r="X149" s="296" t="s">
        <v>352</v>
      </c>
      <c r="Y149" s="297">
        <v>400000</v>
      </c>
    </row>
    <row r="150" spans="1:26" s="184" customFormat="1" x14ac:dyDescent="0.25">
      <c r="A150" s="298"/>
      <c r="B150" s="299"/>
      <c r="C150" s="299"/>
      <c r="D150" s="196" t="s">
        <v>199</v>
      </c>
      <c r="E150" s="207">
        <f>(E149/12/8)/20</f>
        <v>1.9500890781473532</v>
      </c>
      <c r="F150" s="198"/>
      <c r="G150" s="198"/>
      <c r="H150" s="207">
        <f>(H149/12/8)/20</f>
        <v>3.5163601599309851</v>
      </c>
      <c r="I150" s="198"/>
      <c r="J150" s="198"/>
      <c r="K150" s="207">
        <f>(K149/12/8)/20</f>
        <v>1.5801075175633201</v>
      </c>
      <c r="L150" s="198"/>
      <c r="M150" s="198"/>
      <c r="N150" s="198"/>
      <c r="O150" s="198"/>
      <c r="P150" s="198"/>
      <c r="Q150" s="198"/>
      <c r="R150" s="200"/>
      <c r="S150" s="200"/>
      <c r="T150" s="209"/>
      <c r="U150" s="203"/>
      <c r="V150" s="203"/>
      <c r="X150" s="296"/>
      <c r="Y150" s="297"/>
    </row>
    <row r="151" spans="1:26" x14ac:dyDescent="0.25">
      <c r="A151" s="240"/>
      <c r="B151" s="240"/>
      <c r="C151" s="300"/>
      <c r="D151" s="240"/>
      <c r="E151" s="301"/>
      <c r="F151" s="243"/>
      <c r="G151" s="302"/>
      <c r="H151" s="301"/>
      <c r="I151" s="243"/>
      <c r="J151" s="302"/>
      <c r="K151" s="301"/>
      <c r="L151" s="243"/>
      <c r="M151" s="302"/>
      <c r="N151" s="243"/>
      <c r="O151" s="243"/>
      <c r="P151" s="243"/>
      <c r="Q151" s="243"/>
      <c r="R151" s="244"/>
      <c r="S151" s="244"/>
      <c r="T151" s="303"/>
      <c r="U151" s="246"/>
      <c r="V151" s="246"/>
      <c r="X151" s="296" t="s">
        <v>355</v>
      </c>
      <c r="Y151" s="304" t="e">
        <f>Y148-Y149-#REF!</f>
        <v>#REF!</v>
      </c>
      <c r="Z151" s="135"/>
    </row>
    <row r="152" spans="1:26" s="205" customFormat="1" ht="15.75" x14ac:dyDescent="0.25">
      <c r="A152" s="189" t="s">
        <v>116</v>
      </c>
      <c r="B152" s="247"/>
      <c r="C152" s="248"/>
      <c r="D152" s="247"/>
      <c r="E152" s="207">
        <f>E127+E149</f>
        <v>10639.736123032901</v>
      </c>
      <c r="F152" s="207"/>
      <c r="G152" s="305">
        <f>G127+G149</f>
        <v>495811.7</v>
      </c>
      <c r="H152" s="207">
        <f>H127+H149</f>
        <v>22538.789567987264</v>
      </c>
      <c r="I152" s="207"/>
      <c r="J152" s="305">
        <f>J127+J149</f>
        <v>1132123.3999999999</v>
      </c>
      <c r="K152" s="207">
        <f>K127+K149</f>
        <v>7952.1524003204522</v>
      </c>
      <c r="L152" s="207"/>
      <c r="M152" s="305">
        <f>M127+M149</f>
        <v>430131.92000000004</v>
      </c>
      <c r="N152" s="249">
        <f>SUM(N87:N126)</f>
        <v>0</v>
      </c>
      <c r="O152" s="249"/>
      <c r="P152" s="249"/>
      <c r="Q152" s="305">
        <f>Q127+Q149</f>
        <v>0</v>
      </c>
      <c r="R152" s="207"/>
      <c r="S152" s="207"/>
      <c r="T152" s="207"/>
      <c r="U152" s="305">
        <f>U127+U149</f>
        <v>4541.666666666667</v>
      </c>
      <c r="V152" s="249">
        <f>V127+V149</f>
        <v>2062608.6866666665</v>
      </c>
      <c r="W152" s="306"/>
      <c r="X152" s="184"/>
      <c r="Y152" s="184"/>
      <c r="Z152" s="135"/>
    </row>
    <row r="153" spans="1:26" s="205" customFormat="1" x14ac:dyDescent="0.25">
      <c r="A153" s="307"/>
      <c r="B153" s="308"/>
      <c r="C153" s="309"/>
      <c r="D153" s="310"/>
      <c r="E153" s="257"/>
      <c r="F153" s="257"/>
      <c r="G153" s="256">
        <f>G152/V152</f>
        <v>0.24038088426810111</v>
      </c>
      <c r="H153" s="257"/>
      <c r="I153" s="258"/>
      <c r="J153" s="256">
        <f>J152/V152</f>
        <v>0.54887939109264494</v>
      </c>
      <c r="K153" s="257"/>
      <c r="L153" s="258"/>
      <c r="M153" s="256">
        <f>M152/V152</f>
        <v>0.20853782047002145</v>
      </c>
      <c r="N153" s="271"/>
      <c r="O153" s="271"/>
      <c r="P153" s="271"/>
      <c r="Q153" s="271"/>
      <c r="R153" s="311"/>
      <c r="S153" s="311"/>
      <c r="T153" s="266"/>
      <c r="U153" s="312"/>
      <c r="V153" s="184"/>
      <c r="W153" s="146"/>
      <c r="X153" s="184"/>
      <c r="Y153" s="184"/>
      <c r="Z153" s="135"/>
    </row>
    <row r="154" spans="1:26" s="205" customFormat="1" x14ac:dyDescent="0.25">
      <c r="A154" s="259"/>
      <c r="B154" s="260"/>
      <c r="C154" s="261"/>
      <c r="D154" s="262" t="s">
        <v>199</v>
      </c>
      <c r="E154" s="263">
        <f>(E152/12/8)/20</f>
        <v>5.5415292307463027</v>
      </c>
      <c r="F154" s="263"/>
      <c r="G154" s="263"/>
      <c r="H154" s="263">
        <f>(H152/12/8)/20</f>
        <v>11.738952899993366</v>
      </c>
      <c r="I154" s="255"/>
      <c r="J154" s="264"/>
      <c r="K154" s="263">
        <f>(K152/12/8)/20</f>
        <v>4.141746041833569</v>
      </c>
      <c r="L154" s="258"/>
      <c r="M154" s="257"/>
      <c r="N154" s="257"/>
      <c r="O154" s="257"/>
      <c r="P154" s="257"/>
      <c r="Q154" s="257"/>
      <c r="R154" s="265"/>
      <c r="S154" s="265"/>
      <c r="T154" s="266"/>
      <c r="U154" s="257"/>
      <c r="V154" s="184"/>
      <c r="W154" s="146"/>
      <c r="X154" s="184"/>
      <c r="Y154" s="184"/>
      <c r="Z154" s="135"/>
    </row>
    <row r="155" spans="1:26" s="205" customFormat="1" ht="14.85" customHeight="1" x14ac:dyDescent="0.25">
      <c r="A155" s="136"/>
      <c r="B155" s="139"/>
      <c r="C155" s="150"/>
      <c r="D155" s="136"/>
      <c r="E155" s="150"/>
      <c r="F155" s="151"/>
      <c r="G155" s="136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6"/>
      <c r="S155" s="136"/>
      <c r="T155" s="136"/>
      <c r="U155" s="136"/>
      <c r="V155" s="139"/>
      <c r="W155" s="146"/>
      <c r="X155" s="184"/>
      <c r="Y155" s="184"/>
      <c r="Z155" s="135"/>
    </row>
    <row r="156" spans="1:26" s="205" customFormat="1" ht="15.75" x14ac:dyDescent="0.25">
      <c r="A156" s="181" t="s">
        <v>331</v>
      </c>
      <c r="B156" s="182"/>
      <c r="C156" s="173"/>
      <c r="D156" s="184" t="s">
        <v>206</v>
      </c>
      <c r="E156" s="274">
        <v>12</v>
      </c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87"/>
      <c r="U156" s="188"/>
      <c r="V156" s="187"/>
      <c r="W156" s="146"/>
      <c r="X156" s="184"/>
      <c r="Y156" s="184"/>
      <c r="Z156" s="135"/>
    </row>
    <row r="157" spans="1:26" s="205" customFormat="1" ht="63" x14ac:dyDescent="0.25">
      <c r="A157" s="275" t="s">
        <v>0</v>
      </c>
      <c r="B157" s="275" t="s">
        <v>144</v>
      </c>
      <c r="C157" s="190" t="s">
        <v>136</v>
      </c>
      <c r="D157" s="275" t="s">
        <v>138</v>
      </c>
      <c r="E157" s="160" t="s">
        <v>133</v>
      </c>
      <c r="F157" s="191" t="s">
        <v>108</v>
      </c>
      <c r="G157" s="191" t="s">
        <v>2</v>
      </c>
      <c r="H157" s="160" t="s">
        <v>146</v>
      </c>
      <c r="I157" s="191" t="s">
        <v>108</v>
      </c>
      <c r="J157" s="191" t="s">
        <v>15</v>
      </c>
      <c r="K157" s="160" t="s">
        <v>194</v>
      </c>
      <c r="L157" s="191" t="s">
        <v>108</v>
      </c>
      <c r="M157" s="191" t="s">
        <v>195</v>
      </c>
      <c r="N157" s="191" t="s">
        <v>190</v>
      </c>
      <c r="O157" s="191" t="s">
        <v>411</v>
      </c>
      <c r="P157" s="191" t="s">
        <v>108</v>
      </c>
      <c r="Q157" s="191" t="s">
        <v>412</v>
      </c>
      <c r="R157" s="275" t="s">
        <v>147</v>
      </c>
      <c r="S157" s="275" t="s">
        <v>137</v>
      </c>
      <c r="T157" s="189" t="s">
        <v>204</v>
      </c>
      <c r="U157" s="191" t="s">
        <v>198</v>
      </c>
      <c r="V157" s="191" t="s">
        <v>154</v>
      </c>
      <c r="W157" s="146"/>
      <c r="X157" s="184"/>
      <c r="Y157" s="184"/>
      <c r="Z157" s="135"/>
    </row>
    <row r="158" spans="1:26" s="205" customFormat="1" x14ac:dyDescent="0.25">
      <c r="A158" s="194" t="s">
        <v>210</v>
      </c>
      <c r="B158" s="194" t="s">
        <v>211</v>
      </c>
      <c r="C158" s="195" t="s">
        <v>212</v>
      </c>
      <c r="D158" s="196" t="s">
        <v>213</v>
      </c>
      <c r="E158" s="197">
        <v>278.96995708154503</v>
      </c>
      <c r="F158" s="198">
        <f>+Perfils!$G$15</f>
        <v>46.6</v>
      </c>
      <c r="G158" s="199">
        <f t="shared" ref="G158:G197" si="37">+ROUND(E158*F158,2)</f>
        <v>13000</v>
      </c>
      <c r="H158" s="197">
        <v>597.25263786581729</v>
      </c>
      <c r="I158" s="198">
        <f>+Perfils!$G$28</f>
        <v>50.23</v>
      </c>
      <c r="J158" s="199">
        <f t="shared" ref="J158:J197" si="38">+ROUND(H158*I158,2)</f>
        <v>30000</v>
      </c>
      <c r="K158" s="197">
        <v>240.34017378443335</v>
      </c>
      <c r="L158" s="198">
        <f>+Perfils!$G$41</f>
        <v>54.09</v>
      </c>
      <c r="M158" s="199">
        <f t="shared" ref="M158:M197" si="39">+ROUND(K158*L158,2)</f>
        <v>13000</v>
      </c>
      <c r="N158" s="198">
        <v>0</v>
      </c>
      <c r="O158" s="197">
        <f t="shared" ref="O158:O197" si="40">+Q158/P158</f>
        <v>0</v>
      </c>
      <c r="P158" s="198">
        <f>+Perfils!$G$28</f>
        <v>50.23</v>
      </c>
      <c r="Q158" s="199">
        <v>0</v>
      </c>
      <c r="R158" s="200"/>
      <c r="S158" s="200"/>
      <c r="T158" s="201"/>
      <c r="U158" s="203"/>
      <c r="V158" s="203">
        <f t="shared" ref="V158:V197" si="41">+G158+J158+M158+N158+Q158</f>
        <v>56000</v>
      </c>
      <c r="W158" s="146"/>
      <c r="X158" s="184"/>
      <c r="Y158" s="184"/>
      <c r="Z158" s="135"/>
    </row>
    <row r="159" spans="1:26" s="205" customFormat="1" x14ac:dyDescent="0.25">
      <c r="A159" s="194" t="s">
        <v>210</v>
      </c>
      <c r="B159" s="194" t="s">
        <v>211</v>
      </c>
      <c r="C159" s="195" t="s">
        <v>214</v>
      </c>
      <c r="D159" s="196" t="s">
        <v>215</v>
      </c>
      <c r="E159" s="197">
        <v>171.67381974248926</v>
      </c>
      <c r="F159" s="198">
        <f>+Perfils!$G$15</f>
        <v>46.6</v>
      </c>
      <c r="G159" s="199">
        <f t="shared" si="37"/>
        <v>8000</v>
      </c>
      <c r="H159" s="197">
        <v>497.71053155484771</v>
      </c>
      <c r="I159" s="198">
        <f>+Perfils!$G$28</f>
        <v>50.23</v>
      </c>
      <c r="J159" s="199">
        <f t="shared" si="38"/>
        <v>25000</v>
      </c>
      <c r="K159" s="197">
        <v>240.34017378443335</v>
      </c>
      <c r="L159" s="198">
        <f>+Perfils!$G$41</f>
        <v>54.09</v>
      </c>
      <c r="M159" s="199">
        <f t="shared" si="39"/>
        <v>13000</v>
      </c>
      <c r="N159" s="198">
        <v>0</v>
      </c>
      <c r="O159" s="197">
        <f t="shared" si="40"/>
        <v>0</v>
      </c>
      <c r="P159" s="198">
        <f>+Perfils!$G$28</f>
        <v>50.23</v>
      </c>
      <c r="Q159" s="199">
        <v>0</v>
      </c>
      <c r="R159" s="200"/>
      <c r="S159" s="200"/>
      <c r="T159" s="201"/>
      <c r="U159" s="203"/>
      <c r="V159" s="203">
        <f t="shared" si="41"/>
        <v>46000</v>
      </c>
      <c r="W159" s="146"/>
      <c r="X159" s="184"/>
      <c r="Y159" s="184"/>
      <c r="Z159" s="135"/>
    </row>
    <row r="160" spans="1:26" s="205" customFormat="1" x14ac:dyDescent="0.25">
      <c r="A160" s="194" t="s">
        <v>210</v>
      </c>
      <c r="B160" s="194" t="s">
        <v>211</v>
      </c>
      <c r="C160" s="195" t="s">
        <v>216</v>
      </c>
      <c r="D160" s="196" t="s">
        <v>217</v>
      </c>
      <c r="E160" s="197">
        <v>214.59227467811158</v>
      </c>
      <c r="F160" s="198">
        <f>+Perfils!$G$15</f>
        <v>46.6</v>
      </c>
      <c r="G160" s="199">
        <f t="shared" si="37"/>
        <v>10000</v>
      </c>
      <c r="H160" s="197">
        <v>597.25263786581729</v>
      </c>
      <c r="I160" s="198">
        <f>+Perfils!$G$28</f>
        <v>50.23</v>
      </c>
      <c r="J160" s="199">
        <f t="shared" si="38"/>
        <v>30000</v>
      </c>
      <c r="K160" s="197">
        <v>406.72952486596409</v>
      </c>
      <c r="L160" s="198">
        <f>+Perfils!$G$41</f>
        <v>54.09</v>
      </c>
      <c r="M160" s="199">
        <f t="shared" si="39"/>
        <v>22000</v>
      </c>
      <c r="N160" s="198">
        <v>0</v>
      </c>
      <c r="O160" s="197">
        <f t="shared" si="40"/>
        <v>0</v>
      </c>
      <c r="P160" s="198">
        <f>+Perfils!$G$28</f>
        <v>50.23</v>
      </c>
      <c r="Q160" s="199">
        <v>0</v>
      </c>
      <c r="R160" s="200"/>
      <c r="S160" s="200"/>
      <c r="T160" s="201"/>
      <c r="U160" s="203"/>
      <c r="V160" s="203">
        <f t="shared" si="41"/>
        <v>62000</v>
      </c>
      <c r="W160" s="146"/>
      <c r="X160" s="184"/>
      <c r="Y160" s="184"/>
      <c r="Z160" s="135"/>
    </row>
    <row r="161" spans="1:26" s="205" customFormat="1" x14ac:dyDescent="0.25">
      <c r="A161" s="194" t="s">
        <v>218</v>
      </c>
      <c r="B161" s="194" t="s">
        <v>219</v>
      </c>
      <c r="C161" s="195" t="s">
        <v>220</v>
      </c>
      <c r="D161" s="196" t="s">
        <v>221</v>
      </c>
      <c r="E161" s="197">
        <v>171.67381974248926</v>
      </c>
      <c r="F161" s="198">
        <f>+Perfils!$G$15</f>
        <v>46.6</v>
      </c>
      <c r="G161" s="199">
        <f t="shared" si="37"/>
        <v>8000</v>
      </c>
      <c r="H161" s="197">
        <v>119.45052757316346</v>
      </c>
      <c r="I161" s="198">
        <f>+Perfils!$G$28</f>
        <v>50.23</v>
      </c>
      <c r="J161" s="199">
        <f t="shared" si="38"/>
        <v>6000</v>
      </c>
      <c r="K161" s="197">
        <v>73.95082270290257</v>
      </c>
      <c r="L161" s="198">
        <f>+Perfils!$G$41</f>
        <v>54.09</v>
      </c>
      <c r="M161" s="199">
        <f t="shared" si="39"/>
        <v>4000</v>
      </c>
      <c r="N161" s="198">
        <v>0</v>
      </c>
      <c r="O161" s="197">
        <f t="shared" si="40"/>
        <v>0</v>
      </c>
      <c r="P161" s="198">
        <f>+Perfils!$G$28</f>
        <v>50.23</v>
      </c>
      <c r="Q161" s="199">
        <v>0</v>
      </c>
      <c r="R161" s="200"/>
      <c r="S161" s="200"/>
      <c r="T161" s="201"/>
      <c r="U161" s="203"/>
      <c r="V161" s="203">
        <f t="shared" si="41"/>
        <v>18000</v>
      </c>
      <c r="W161" s="146"/>
      <c r="X161" s="184"/>
      <c r="Y161" s="184"/>
      <c r="Z161" s="135"/>
    </row>
    <row r="162" spans="1:26" s="205" customFormat="1" x14ac:dyDescent="0.25">
      <c r="A162" s="194" t="s">
        <v>222</v>
      </c>
      <c r="B162" s="194" t="s">
        <v>223</v>
      </c>
      <c r="C162" s="195" t="s">
        <v>224</v>
      </c>
      <c r="D162" s="196" t="s">
        <v>225</v>
      </c>
      <c r="E162" s="197">
        <v>85.836909871244629</v>
      </c>
      <c r="F162" s="198">
        <f>+Perfils!$G$15</f>
        <v>46.6</v>
      </c>
      <c r="G162" s="199">
        <f t="shared" si="37"/>
        <v>4000</v>
      </c>
      <c r="H162" s="197">
        <v>59.725263786581728</v>
      </c>
      <c r="I162" s="198">
        <f>+Perfils!$G$28</f>
        <v>50.23</v>
      </c>
      <c r="J162" s="199">
        <f t="shared" si="38"/>
        <v>3000</v>
      </c>
      <c r="K162" s="197">
        <v>36.975411351451285</v>
      </c>
      <c r="L162" s="198">
        <f>+Perfils!$G$41</f>
        <v>54.09</v>
      </c>
      <c r="M162" s="199">
        <f t="shared" si="39"/>
        <v>2000</v>
      </c>
      <c r="N162" s="198">
        <v>0</v>
      </c>
      <c r="O162" s="197">
        <f t="shared" si="40"/>
        <v>0</v>
      </c>
      <c r="P162" s="198">
        <f>+Perfils!$G$28</f>
        <v>50.23</v>
      </c>
      <c r="Q162" s="199">
        <v>0</v>
      </c>
      <c r="R162" s="200"/>
      <c r="S162" s="200"/>
      <c r="T162" s="201"/>
      <c r="U162" s="203"/>
      <c r="V162" s="203">
        <f t="shared" si="41"/>
        <v>9000</v>
      </c>
      <c r="W162" s="146"/>
      <c r="X162" s="184"/>
      <c r="Y162" s="184"/>
      <c r="Z162" s="135"/>
    </row>
    <row r="163" spans="1:26" s="205" customFormat="1" x14ac:dyDescent="0.25">
      <c r="A163" s="194" t="s">
        <v>222</v>
      </c>
      <c r="B163" s="194" t="s">
        <v>223</v>
      </c>
      <c r="C163" s="195" t="s">
        <v>226</v>
      </c>
      <c r="D163" s="196" t="s">
        <v>227</v>
      </c>
      <c r="E163" s="197">
        <v>21.459227467811157</v>
      </c>
      <c r="F163" s="198">
        <f>+Perfils!$G$15</f>
        <v>46.6</v>
      </c>
      <c r="G163" s="199">
        <f t="shared" si="37"/>
        <v>1000</v>
      </c>
      <c r="H163" s="197">
        <v>19.908421262193908</v>
      </c>
      <c r="I163" s="198">
        <f>+Perfils!$G$28</f>
        <v>50.23</v>
      </c>
      <c r="J163" s="199">
        <f t="shared" si="38"/>
        <v>1000</v>
      </c>
      <c r="K163" s="197">
        <v>9.2438528378628213</v>
      </c>
      <c r="L163" s="198">
        <f>+Perfils!$G$41</f>
        <v>54.09</v>
      </c>
      <c r="M163" s="199">
        <f t="shared" si="39"/>
        <v>500</v>
      </c>
      <c r="N163" s="198">
        <v>0</v>
      </c>
      <c r="O163" s="197">
        <f t="shared" si="40"/>
        <v>0</v>
      </c>
      <c r="P163" s="198">
        <f>+Perfils!$G$28</f>
        <v>50.23</v>
      </c>
      <c r="Q163" s="199">
        <v>0</v>
      </c>
      <c r="R163" s="200"/>
      <c r="S163" s="200"/>
      <c r="T163" s="201"/>
      <c r="U163" s="203"/>
      <c r="V163" s="203">
        <f t="shared" si="41"/>
        <v>2500</v>
      </c>
      <c r="W163" s="146"/>
      <c r="X163" s="184"/>
      <c r="Y163" s="184"/>
      <c r="Z163" s="135"/>
    </row>
    <row r="164" spans="1:26" s="206" customFormat="1" x14ac:dyDescent="0.25">
      <c r="A164" s="194" t="s">
        <v>222</v>
      </c>
      <c r="B164" s="194" t="s">
        <v>223</v>
      </c>
      <c r="C164" s="195" t="s">
        <v>228</v>
      </c>
      <c r="D164" s="196" t="s">
        <v>229</v>
      </c>
      <c r="E164" s="197">
        <v>21.459227467811157</v>
      </c>
      <c r="F164" s="198">
        <f>+Perfils!$G$15</f>
        <v>46.6</v>
      </c>
      <c r="G164" s="199">
        <f t="shared" si="37"/>
        <v>1000</v>
      </c>
      <c r="H164" s="197">
        <v>19.908421262193908</v>
      </c>
      <c r="I164" s="198">
        <f>+Perfils!$G$28</f>
        <v>50.23</v>
      </c>
      <c r="J164" s="199">
        <f t="shared" si="38"/>
        <v>1000</v>
      </c>
      <c r="K164" s="197">
        <v>9.2438528378628213</v>
      </c>
      <c r="L164" s="198">
        <f>+Perfils!$G$41</f>
        <v>54.09</v>
      </c>
      <c r="M164" s="199">
        <f t="shared" si="39"/>
        <v>500</v>
      </c>
      <c r="N164" s="198">
        <v>0</v>
      </c>
      <c r="O164" s="197">
        <f t="shared" si="40"/>
        <v>0</v>
      </c>
      <c r="P164" s="198">
        <f>+Perfils!$G$28</f>
        <v>50.23</v>
      </c>
      <c r="Q164" s="199">
        <v>0</v>
      </c>
      <c r="R164" s="200"/>
      <c r="S164" s="200"/>
      <c r="T164" s="201"/>
      <c r="U164" s="203"/>
      <c r="V164" s="203">
        <f t="shared" si="41"/>
        <v>2500</v>
      </c>
      <c r="W164" s="146"/>
      <c r="X164" s="184"/>
      <c r="Y164" s="184"/>
      <c r="Z164" s="135"/>
    </row>
    <row r="165" spans="1:26" s="205" customFormat="1" x14ac:dyDescent="0.25">
      <c r="A165" s="194" t="s">
        <v>230</v>
      </c>
      <c r="B165" s="194" t="s">
        <v>231</v>
      </c>
      <c r="C165" s="195" t="s">
        <v>232</v>
      </c>
      <c r="D165" s="196" t="s">
        <v>233</v>
      </c>
      <c r="E165" s="197">
        <v>85.836909871244629</v>
      </c>
      <c r="F165" s="198">
        <f>+Perfils!$G$15</f>
        <v>46.6</v>
      </c>
      <c r="G165" s="199">
        <f t="shared" si="37"/>
        <v>4000</v>
      </c>
      <c r="H165" s="197">
        <v>597.25263786581729</v>
      </c>
      <c r="I165" s="198">
        <f>+Perfils!$G$28</f>
        <v>50.23</v>
      </c>
      <c r="J165" s="199">
        <f t="shared" si="38"/>
        <v>30000</v>
      </c>
      <c r="K165" s="197">
        <v>55.463117027176921</v>
      </c>
      <c r="L165" s="198">
        <f>+Perfils!$G$41</f>
        <v>54.09</v>
      </c>
      <c r="M165" s="199">
        <f t="shared" si="39"/>
        <v>3000</v>
      </c>
      <c r="N165" s="198">
        <v>0</v>
      </c>
      <c r="O165" s="197">
        <f t="shared" si="40"/>
        <v>0</v>
      </c>
      <c r="P165" s="198">
        <f>+Perfils!$G$28</f>
        <v>50.23</v>
      </c>
      <c r="Q165" s="199">
        <v>0</v>
      </c>
      <c r="R165" s="200"/>
      <c r="S165" s="200"/>
      <c r="T165" s="201"/>
      <c r="U165" s="203"/>
      <c r="V165" s="203">
        <f t="shared" si="41"/>
        <v>37000</v>
      </c>
      <c r="W165" s="146"/>
      <c r="X165" s="184"/>
      <c r="Y165" s="184"/>
      <c r="Z165" s="135"/>
    </row>
    <row r="166" spans="1:26" s="205" customFormat="1" x14ac:dyDescent="0.25">
      <c r="A166" s="194" t="s">
        <v>234</v>
      </c>
      <c r="B166" s="194" t="s">
        <v>235</v>
      </c>
      <c r="C166" s="195" t="s">
        <v>306</v>
      </c>
      <c r="D166" s="196" t="s">
        <v>307</v>
      </c>
      <c r="E166" s="197">
        <v>85.836909871244629</v>
      </c>
      <c r="F166" s="198">
        <f>+Perfils!$G$15</f>
        <v>46.6</v>
      </c>
      <c r="G166" s="199">
        <f t="shared" si="37"/>
        <v>4000</v>
      </c>
      <c r="H166" s="197">
        <v>119.45052757316346</v>
      </c>
      <c r="I166" s="198">
        <f>+Perfils!$G$28</f>
        <v>50.23</v>
      </c>
      <c r="J166" s="199">
        <f t="shared" si="38"/>
        <v>6000</v>
      </c>
      <c r="K166" s="197">
        <v>36.975411351451285</v>
      </c>
      <c r="L166" s="198">
        <f>+Perfils!$G$41</f>
        <v>54.09</v>
      </c>
      <c r="M166" s="199">
        <f t="shared" si="39"/>
        <v>2000</v>
      </c>
      <c r="N166" s="198">
        <v>0</v>
      </c>
      <c r="O166" s="197">
        <f t="shared" si="40"/>
        <v>0</v>
      </c>
      <c r="P166" s="198">
        <f>+Perfils!$G$28</f>
        <v>50.23</v>
      </c>
      <c r="Q166" s="199">
        <v>0</v>
      </c>
      <c r="R166" s="200"/>
      <c r="S166" s="200"/>
      <c r="T166" s="201"/>
      <c r="U166" s="203"/>
      <c r="V166" s="203">
        <f t="shared" si="41"/>
        <v>12000</v>
      </c>
      <c r="W166" s="146"/>
      <c r="X166" s="184"/>
      <c r="Y166" s="184"/>
      <c r="Z166" s="135"/>
    </row>
    <row r="167" spans="1:26" s="205" customFormat="1" x14ac:dyDescent="0.25">
      <c r="A167" s="194" t="s">
        <v>234</v>
      </c>
      <c r="B167" s="194" t="s">
        <v>235</v>
      </c>
      <c r="C167" s="195" t="s">
        <v>236</v>
      </c>
      <c r="D167" s="196" t="s">
        <v>237</v>
      </c>
      <c r="E167" s="197">
        <v>85.836909871244629</v>
      </c>
      <c r="F167" s="198">
        <f>+Perfils!$G$15</f>
        <v>46.6</v>
      </c>
      <c r="G167" s="199">
        <f t="shared" si="37"/>
        <v>4000</v>
      </c>
      <c r="H167" s="197">
        <v>119.45052757316346</v>
      </c>
      <c r="I167" s="198">
        <f>+Perfils!$G$28</f>
        <v>50.23</v>
      </c>
      <c r="J167" s="199">
        <f t="shared" si="38"/>
        <v>6000</v>
      </c>
      <c r="K167" s="197">
        <v>55.463117027176921</v>
      </c>
      <c r="L167" s="198">
        <f>+Perfils!$G$41</f>
        <v>54.09</v>
      </c>
      <c r="M167" s="199">
        <f t="shared" si="39"/>
        <v>3000</v>
      </c>
      <c r="N167" s="198">
        <v>0</v>
      </c>
      <c r="O167" s="197">
        <f t="shared" si="40"/>
        <v>0</v>
      </c>
      <c r="P167" s="198">
        <f>+Perfils!$G$28</f>
        <v>50.23</v>
      </c>
      <c r="Q167" s="199">
        <v>0</v>
      </c>
      <c r="R167" s="200"/>
      <c r="S167" s="200"/>
      <c r="T167" s="201"/>
      <c r="U167" s="203"/>
      <c r="V167" s="203">
        <f t="shared" si="41"/>
        <v>13000</v>
      </c>
      <c r="W167" s="146"/>
      <c r="X167" s="184"/>
      <c r="Y167" s="184"/>
      <c r="Z167" s="135"/>
    </row>
    <row r="168" spans="1:26" s="205" customFormat="1" x14ac:dyDescent="0.25">
      <c r="A168" s="194" t="s">
        <v>238</v>
      </c>
      <c r="B168" s="194" t="s">
        <v>239</v>
      </c>
      <c r="C168" s="195" t="s">
        <v>240</v>
      </c>
      <c r="D168" s="196" t="s">
        <v>241</v>
      </c>
      <c r="E168" s="197">
        <v>107.29613733905579</v>
      </c>
      <c r="F168" s="198">
        <f>+Perfils!$G$15</f>
        <v>46.6</v>
      </c>
      <c r="G168" s="199">
        <f t="shared" si="37"/>
        <v>5000</v>
      </c>
      <c r="H168" s="197">
        <v>696.79474417678682</v>
      </c>
      <c r="I168" s="198">
        <f>+Perfils!$G$28</f>
        <v>50.23</v>
      </c>
      <c r="J168" s="199">
        <f t="shared" si="38"/>
        <v>35000</v>
      </c>
      <c r="K168" s="197">
        <v>110.92623405435384</v>
      </c>
      <c r="L168" s="198">
        <f>+Perfils!$G$41</f>
        <v>54.09</v>
      </c>
      <c r="M168" s="199">
        <f t="shared" si="39"/>
        <v>6000</v>
      </c>
      <c r="N168" s="198">
        <v>0</v>
      </c>
      <c r="O168" s="197">
        <f t="shared" si="40"/>
        <v>0</v>
      </c>
      <c r="P168" s="198">
        <f>+Perfils!$G$28</f>
        <v>50.23</v>
      </c>
      <c r="Q168" s="199">
        <v>0</v>
      </c>
      <c r="R168" s="200"/>
      <c r="S168" s="200"/>
      <c r="T168" s="201"/>
      <c r="U168" s="203"/>
      <c r="V168" s="203">
        <f t="shared" si="41"/>
        <v>46000</v>
      </c>
      <c r="W168" s="146"/>
      <c r="X168" s="184"/>
      <c r="Y168" s="184"/>
      <c r="Z168" s="135"/>
    </row>
    <row r="169" spans="1:26" s="206" customFormat="1" x14ac:dyDescent="0.25">
      <c r="A169" s="194" t="s">
        <v>242</v>
      </c>
      <c r="B169" s="194" t="s">
        <v>243</v>
      </c>
      <c r="C169" s="195" t="s">
        <v>244</v>
      </c>
      <c r="D169" s="196" t="s">
        <v>245</v>
      </c>
      <c r="E169" s="197">
        <v>171.67381974248926</v>
      </c>
      <c r="F169" s="198">
        <f>+Perfils!$G$15</f>
        <v>46.6</v>
      </c>
      <c r="G169" s="199">
        <f t="shared" si="37"/>
        <v>8000</v>
      </c>
      <c r="H169" s="197">
        <v>398.16842524387818</v>
      </c>
      <c r="I169" s="198">
        <f>+Perfils!$G$28</f>
        <v>50.23</v>
      </c>
      <c r="J169" s="199">
        <f t="shared" si="38"/>
        <v>20000</v>
      </c>
      <c r="K169" s="197">
        <v>110.92623405435384</v>
      </c>
      <c r="L169" s="198">
        <f>+Perfils!$G$41</f>
        <v>54.09</v>
      </c>
      <c r="M169" s="199">
        <f t="shared" si="39"/>
        <v>6000</v>
      </c>
      <c r="N169" s="198">
        <v>0</v>
      </c>
      <c r="O169" s="197">
        <f t="shared" si="40"/>
        <v>0</v>
      </c>
      <c r="P169" s="198">
        <f>+Perfils!$G$28</f>
        <v>50.23</v>
      </c>
      <c r="Q169" s="199">
        <v>0</v>
      </c>
      <c r="R169" s="200"/>
      <c r="S169" s="200"/>
      <c r="T169" s="201"/>
      <c r="U169" s="203"/>
      <c r="V169" s="203">
        <f t="shared" si="41"/>
        <v>34000</v>
      </c>
      <c r="W169" s="146"/>
      <c r="X169" s="184"/>
      <c r="Y169" s="184"/>
      <c r="Z169" s="135"/>
    </row>
    <row r="170" spans="1:26" s="206" customFormat="1" x14ac:dyDescent="0.25">
      <c r="A170" s="194" t="s">
        <v>238</v>
      </c>
      <c r="B170" s="194" t="s">
        <v>239</v>
      </c>
      <c r="C170" s="195" t="s">
        <v>246</v>
      </c>
      <c r="D170" s="196" t="s">
        <v>247</v>
      </c>
      <c r="E170" s="197">
        <v>107.29613733905579</v>
      </c>
      <c r="F170" s="198">
        <f>+Perfils!$G$15</f>
        <v>46.6</v>
      </c>
      <c r="G170" s="199">
        <f t="shared" si="37"/>
        <v>5000</v>
      </c>
      <c r="H170" s="197">
        <v>119.45052757316346</v>
      </c>
      <c r="I170" s="198">
        <f>+Perfils!$G$28</f>
        <v>50.23</v>
      </c>
      <c r="J170" s="199">
        <f t="shared" si="38"/>
        <v>6000</v>
      </c>
      <c r="K170" s="197">
        <v>73.95082270290257</v>
      </c>
      <c r="L170" s="198">
        <f>+Perfils!$G$41</f>
        <v>54.09</v>
      </c>
      <c r="M170" s="199">
        <f t="shared" si="39"/>
        <v>4000</v>
      </c>
      <c r="N170" s="198">
        <v>0</v>
      </c>
      <c r="O170" s="197">
        <f t="shared" si="40"/>
        <v>0</v>
      </c>
      <c r="P170" s="198">
        <f>+Perfils!$G$28</f>
        <v>50.23</v>
      </c>
      <c r="Q170" s="199">
        <v>0</v>
      </c>
      <c r="R170" s="200"/>
      <c r="S170" s="200"/>
      <c r="T170" s="201"/>
      <c r="U170" s="203"/>
      <c r="V170" s="203">
        <f t="shared" si="41"/>
        <v>15000</v>
      </c>
      <c r="W170" s="146"/>
      <c r="X170" s="184"/>
      <c r="Y170" s="184"/>
      <c r="Z170" s="135"/>
    </row>
    <row r="171" spans="1:26" s="205" customFormat="1" x14ac:dyDescent="0.25">
      <c r="A171" s="194" t="s">
        <v>248</v>
      </c>
      <c r="B171" s="194" t="s">
        <v>249</v>
      </c>
      <c r="C171" s="195" t="s">
        <v>250</v>
      </c>
      <c r="D171" s="196" t="s">
        <v>251</v>
      </c>
      <c r="E171" s="197">
        <v>85.836909871244629</v>
      </c>
      <c r="F171" s="198">
        <f>+Perfils!$G$15</f>
        <v>46.6</v>
      </c>
      <c r="G171" s="199">
        <f t="shared" si="37"/>
        <v>4000</v>
      </c>
      <c r="H171" s="197">
        <v>398.16842524387818</v>
      </c>
      <c r="I171" s="198">
        <f>+Perfils!$G$28</f>
        <v>50.23</v>
      </c>
      <c r="J171" s="199">
        <f t="shared" si="38"/>
        <v>20000</v>
      </c>
      <c r="K171" s="197">
        <v>184.87705675725641</v>
      </c>
      <c r="L171" s="198">
        <f>+Perfils!$G$41</f>
        <v>54.09</v>
      </c>
      <c r="M171" s="199">
        <f t="shared" si="39"/>
        <v>10000</v>
      </c>
      <c r="N171" s="198">
        <v>0</v>
      </c>
      <c r="O171" s="197">
        <f t="shared" si="40"/>
        <v>0</v>
      </c>
      <c r="P171" s="198">
        <f>+Perfils!$G$28</f>
        <v>50.23</v>
      </c>
      <c r="Q171" s="199">
        <v>0</v>
      </c>
      <c r="R171" s="200"/>
      <c r="S171" s="200"/>
      <c r="T171" s="201"/>
      <c r="U171" s="203"/>
      <c r="V171" s="203">
        <f t="shared" si="41"/>
        <v>34000</v>
      </c>
      <c r="X171" s="184"/>
      <c r="Y171" s="186" t="s">
        <v>340</v>
      </c>
      <c r="Z171" s="135"/>
    </row>
    <row r="172" spans="1:26" s="205" customFormat="1" x14ac:dyDescent="0.25">
      <c r="A172" s="194" t="s">
        <v>286</v>
      </c>
      <c r="B172" s="194" t="s">
        <v>287</v>
      </c>
      <c r="C172" s="195" t="s">
        <v>312</v>
      </c>
      <c r="D172" s="196" t="s">
        <v>313</v>
      </c>
      <c r="E172" s="197">
        <v>42.918454935622314</v>
      </c>
      <c r="F172" s="198">
        <f>+Perfils!$G$15</f>
        <v>46.6</v>
      </c>
      <c r="G172" s="199">
        <f t="shared" si="37"/>
        <v>2000</v>
      </c>
      <c r="H172" s="197">
        <v>79.633685048775632</v>
      </c>
      <c r="I172" s="198">
        <f>+Perfils!$G$28</f>
        <v>50.23</v>
      </c>
      <c r="J172" s="199">
        <f t="shared" si="38"/>
        <v>4000</v>
      </c>
      <c r="K172" s="197">
        <v>129.41393973007948</v>
      </c>
      <c r="L172" s="198">
        <f>+Perfils!$G$41</f>
        <v>54.09</v>
      </c>
      <c r="M172" s="199">
        <f t="shared" si="39"/>
        <v>7000</v>
      </c>
      <c r="N172" s="198">
        <v>0</v>
      </c>
      <c r="O172" s="197">
        <f t="shared" si="40"/>
        <v>0</v>
      </c>
      <c r="P172" s="198">
        <f>+Perfils!$G$28</f>
        <v>50.23</v>
      </c>
      <c r="Q172" s="199">
        <v>0</v>
      </c>
      <c r="R172" s="200"/>
      <c r="S172" s="200"/>
      <c r="T172" s="201"/>
      <c r="U172" s="203"/>
      <c r="V172" s="203">
        <f t="shared" si="41"/>
        <v>13000</v>
      </c>
      <c r="W172" s="146"/>
      <c r="X172" s="184"/>
      <c r="Y172" s="184"/>
      <c r="Z172" s="135"/>
    </row>
    <row r="173" spans="1:26" s="117" customFormat="1" x14ac:dyDescent="0.25">
      <c r="A173" s="194" t="s">
        <v>230</v>
      </c>
      <c r="B173" s="194" t="s">
        <v>231</v>
      </c>
      <c r="C173" s="195" t="s">
        <v>252</v>
      </c>
      <c r="D173" s="196" t="s">
        <v>253</v>
      </c>
      <c r="E173" s="197">
        <v>107.29613733905579</v>
      </c>
      <c r="F173" s="198">
        <f>+Perfils!$G$15</f>
        <v>46.6</v>
      </c>
      <c r="G173" s="199">
        <f t="shared" si="37"/>
        <v>5000</v>
      </c>
      <c r="H173" s="197">
        <v>99.542106310969544</v>
      </c>
      <c r="I173" s="198">
        <f>+Perfils!$G$28</f>
        <v>50.23</v>
      </c>
      <c r="J173" s="199">
        <f t="shared" si="38"/>
        <v>5000</v>
      </c>
      <c r="K173" s="197">
        <v>36.975411351451285</v>
      </c>
      <c r="L173" s="198">
        <f>+Perfils!$G$41</f>
        <v>54.09</v>
      </c>
      <c r="M173" s="199">
        <f t="shared" si="39"/>
        <v>2000</v>
      </c>
      <c r="N173" s="198">
        <v>0</v>
      </c>
      <c r="O173" s="197">
        <f t="shared" si="40"/>
        <v>0</v>
      </c>
      <c r="P173" s="198">
        <f>+Perfils!$G$28</f>
        <v>50.23</v>
      </c>
      <c r="Q173" s="199">
        <v>0</v>
      </c>
      <c r="R173" s="200"/>
      <c r="S173" s="200"/>
      <c r="T173" s="201"/>
      <c r="U173" s="203"/>
      <c r="V173" s="203">
        <f t="shared" si="41"/>
        <v>12000</v>
      </c>
      <c r="W173" s="146"/>
      <c r="X173" s="184"/>
      <c r="Y173" s="184"/>
      <c r="Z173" s="135"/>
    </row>
    <row r="174" spans="1:26" s="117" customFormat="1" x14ac:dyDescent="0.25">
      <c r="A174" s="194" t="s">
        <v>230</v>
      </c>
      <c r="B174" s="194" t="s">
        <v>231</v>
      </c>
      <c r="C174" s="195" t="s">
        <v>254</v>
      </c>
      <c r="D174" s="196" t="s">
        <v>255</v>
      </c>
      <c r="E174" s="197">
        <v>107.29613733905579</v>
      </c>
      <c r="F174" s="198">
        <f>+Perfils!$G$15</f>
        <v>46.6</v>
      </c>
      <c r="G174" s="199">
        <f t="shared" si="37"/>
        <v>5000</v>
      </c>
      <c r="H174" s="197">
        <v>99.542106310969544</v>
      </c>
      <c r="I174" s="198">
        <f>+Perfils!$G$28</f>
        <v>50.23</v>
      </c>
      <c r="J174" s="199">
        <f t="shared" si="38"/>
        <v>5000</v>
      </c>
      <c r="K174" s="197">
        <v>36.975411351451285</v>
      </c>
      <c r="L174" s="198">
        <f>+Perfils!$G$41</f>
        <v>54.09</v>
      </c>
      <c r="M174" s="199">
        <f t="shared" si="39"/>
        <v>2000</v>
      </c>
      <c r="N174" s="198">
        <v>0</v>
      </c>
      <c r="O174" s="197">
        <f t="shared" si="40"/>
        <v>0</v>
      </c>
      <c r="P174" s="198">
        <f>+Perfils!$G$28</f>
        <v>50.23</v>
      </c>
      <c r="Q174" s="199">
        <v>0</v>
      </c>
      <c r="R174" s="200"/>
      <c r="S174" s="200"/>
      <c r="T174" s="201"/>
      <c r="U174" s="203"/>
      <c r="V174" s="203">
        <f t="shared" si="41"/>
        <v>12000</v>
      </c>
      <c r="W174" s="146"/>
      <c r="X174" s="184"/>
      <c r="Y174" s="184"/>
      <c r="Z174" s="135"/>
    </row>
    <row r="175" spans="1:26" s="117" customFormat="1" x14ac:dyDescent="0.25">
      <c r="A175" s="194" t="s">
        <v>230</v>
      </c>
      <c r="B175" s="194" t="s">
        <v>231</v>
      </c>
      <c r="C175" s="195" t="s">
        <v>256</v>
      </c>
      <c r="D175" s="196" t="s">
        <v>257</v>
      </c>
      <c r="E175" s="197">
        <v>42.918454935622314</v>
      </c>
      <c r="F175" s="198">
        <f>+Perfils!$G$15</f>
        <v>46.6</v>
      </c>
      <c r="G175" s="199">
        <f t="shared" si="37"/>
        <v>2000</v>
      </c>
      <c r="H175" s="197">
        <v>39.816842524387816</v>
      </c>
      <c r="I175" s="198">
        <f>+Perfils!$G$28</f>
        <v>50.23</v>
      </c>
      <c r="J175" s="199">
        <f t="shared" si="38"/>
        <v>2000</v>
      </c>
      <c r="K175" s="197">
        <v>20.336476243298204</v>
      </c>
      <c r="L175" s="198">
        <f>+Perfils!$G$41</f>
        <v>54.09</v>
      </c>
      <c r="M175" s="199">
        <f t="shared" si="39"/>
        <v>1100</v>
      </c>
      <c r="N175" s="198">
        <v>0</v>
      </c>
      <c r="O175" s="197">
        <f t="shared" si="40"/>
        <v>0</v>
      </c>
      <c r="P175" s="198">
        <f>+Perfils!$G$28</f>
        <v>50.23</v>
      </c>
      <c r="Q175" s="199">
        <v>0</v>
      </c>
      <c r="R175" s="200"/>
      <c r="S175" s="200"/>
      <c r="T175" s="201"/>
      <c r="U175" s="203"/>
      <c r="V175" s="203">
        <f t="shared" si="41"/>
        <v>5100</v>
      </c>
      <c r="W175" s="146"/>
      <c r="X175" s="184"/>
      <c r="Y175" s="184"/>
      <c r="Z175" s="135"/>
    </row>
    <row r="176" spans="1:26" s="117" customFormat="1" x14ac:dyDescent="0.25">
      <c r="A176" s="194" t="s">
        <v>258</v>
      </c>
      <c r="B176" s="194" t="s">
        <v>259</v>
      </c>
      <c r="C176" s="195" t="s">
        <v>260</v>
      </c>
      <c r="D176" s="196" t="s">
        <v>309</v>
      </c>
      <c r="E176" s="197">
        <v>643.77682403433471</v>
      </c>
      <c r="F176" s="198">
        <f>+Perfils!$G$15</f>
        <v>46.6</v>
      </c>
      <c r="G176" s="199">
        <f t="shared" si="37"/>
        <v>30000</v>
      </c>
      <c r="H176" s="197">
        <v>796.33685048775635</v>
      </c>
      <c r="I176" s="198">
        <f>+Perfils!$G$28</f>
        <v>50.23</v>
      </c>
      <c r="J176" s="199">
        <f t="shared" si="38"/>
        <v>40000</v>
      </c>
      <c r="K176" s="197">
        <v>388.24181919023846</v>
      </c>
      <c r="L176" s="198">
        <f>+Perfils!$G$41</f>
        <v>54.09</v>
      </c>
      <c r="M176" s="199">
        <f t="shared" si="39"/>
        <v>21000</v>
      </c>
      <c r="N176" s="198">
        <v>0</v>
      </c>
      <c r="O176" s="197">
        <f t="shared" si="40"/>
        <v>0</v>
      </c>
      <c r="P176" s="198">
        <f>+Perfils!$G$28</f>
        <v>50.23</v>
      </c>
      <c r="Q176" s="199">
        <v>0</v>
      </c>
      <c r="R176" s="200"/>
      <c r="S176" s="200"/>
      <c r="T176" s="201"/>
      <c r="U176" s="203"/>
      <c r="V176" s="203">
        <f t="shared" si="41"/>
        <v>91000</v>
      </c>
      <c r="W176" s="146"/>
      <c r="X176" s="184"/>
      <c r="Y176" s="184"/>
      <c r="Z176" s="135"/>
    </row>
    <row r="177" spans="1:27" s="117" customFormat="1" x14ac:dyDescent="0.25">
      <c r="A177" s="194" t="s">
        <v>261</v>
      </c>
      <c r="B177" s="194" t="s">
        <v>262</v>
      </c>
      <c r="C177" s="195" t="s">
        <v>263</v>
      </c>
      <c r="D177" s="196" t="s">
        <v>264</v>
      </c>
      <c r="E177" s="197">
        <v>171.67381974248926</v>
      </c>
      <c r="F177" s="198">
        <f>+Perfils!$G$15</f>
        <v>46.6</v>
      </c>
      <c r="G177" s="199">
        <f t="shared" si="37"/>
        <v>8000</v>
      </c>
      <c r="H177" s="197">
        <v>179.17579135974518</v>
      </c>
      <c r="I177" s="198">
        <f>+Perfils!$G$28</f>
        <v>50.23</v>
      </c>
      <c r="J177" s="199">
        <f t="shared" si="38"/>
        <v>9000</v>
      </c>
      <c r="K177" s="197">
        <v>92.438528378628206</v>
      </c>
      <c r="L177" s="198">
        <f>+Perfils!$G$41</f>
        <v>54.09</v>
      </c>
      <c r="M177" s="199">
        <f t="shared" si="39"/>
        <v>5000</v>
      </c>
      <c r="N177" s="198">
        <v>0</v>
      </c>
      <c r="O177" s="197">
        <f t="shared" si="40"/>
        <v>0</v>
      </c>
      <c r="P177" s="198">
        <f>+Perfils!$G$28</f>
        <v>50.23</v>
      </c>
      <c r="Q177" s="199">
        <v>0</v>
      </c>
      <c r="R177" s="200"/>
      <c r="S177" s="200"/>
      <c r="T177" s="201"/>
      <c r="U177" s="203"/>
      <c r="V177" s="203">
        <f t="shared" si="41"/>
        <v>22000</v>
      </c>
      <c r="W177" s="136"/>
      <c r="X177" s="184"/>
      <c r="Y177" s="184"/>
      <c r="Z177" s="135">
        <v>20000</v>
      </c>
      <c r="AA177" s="186" t="s">
        <v>341</v>
      </c>
    </row>
    <row r="178" spans="1:27" s="117" customFormat="1" x14ac:dyDescent="0.25">
      <c r="A178" s="194" t="s">
        <v>261</v>
      </c>
      <c r="B178" s="194" t="s">
        <v>262</v>
      </c>
      <c r="C178" s="195" t="s">
        <v>265</v>
      </c>
      <c r="D178" s="196" t="s">
        <v>266</v>
      </c>
      <c r="E178" s="197">
        <v>85.836909871244629</v>
      </c>
      <c r="F178" s="198">
        <f>+Perfils!$G$15</f>
        <v>46.6</v>
      </c>
      <c r="G178" s="199">
        <f t="shared" si="37"/>
        <v>4000</v>
      </c>
      <c r="H178" s="197">
        <v>79.633685048775632</v>
      </c>
      <c r="I178" s="198">
        <f>+Perfils!$G$28</f>
        <v>50.23</v>
      </c>
      <c r="J178" s="199">
        <f t="shared" si="38"/>
        <v>4000</v>
      </c>
      <c r="K178" s="197">
        <v>92.438528378628206</v>
      </c>
      <c r="L178" s="198">
        <f>+Perfils!$G$41</f>
        <v>54.09</v>
      </c>
      <c r="M178" s="199">
        <f t="shared" si="39"/>
        <v>5000</v>
      </c>
      <c r="N178" s="198">
        <v>0</v>
      </c>
      <c r="O178" s="197">
        <f t="shared" si="40"/>
        <v>0</v>
      </c>
      <c r="P178" s="198">
        <f>+Perfils!$G$28</f>
        <v>50.23</v>
      </c>
      <c r="Q178" s="199">
        <v>0</v>
      </c>
      <c r="R178" s="200"/>
      <c r="S178" s="200"/>
      <c r="T178" s="201"/>
      <c r="U178" s="203"/>
      <c r="V178" s="203">
        <f t="shared" si="41"/>
        <v>13000</v>
      </c>
      <c r="W178" s="146"/>
      <c r="X178" s="184"/>
      <c r="Y178" s="184"/>
      <c r="Z178" s="135"/>
    </row>
    <row r="179" spans="1:27" s="117" customFormat="1" x14ac:dyDescent="0.25">
      <c r="A179" s="194" t="s">
        <v>267</v>
      </c>
      <c r="B179" s="194" t="s">
        <v>268</v>
      </c>
      <c r="C179" s="195" t="s">
        <v>269</v>
      </c>
      <c r="D179" s="196" t="s">
        <v>270</v>
      </c>
      <c r="E179" s="197">
        <v>21.459227467811157</v>
      </c>
      <c r="F179" s="198">
        <f>+Perfils!$G$15</f>
        <v>46.6</v>
      </c>
      <c r="G179" s="199">
        <f t="shared" si="37"/>
        <v>1000</v>
      </c>
      <c r="H179" s="197">
        <v>19.908421262193908</v>
      </c>
      <c r="I179" s="198">
        <f>+Perfils!$G$28</f>
        <v>50.23</v>
      </c>
      <c r="J179" s="199">
        <f t="shared" si="38"/>
        <v>1000</v>
      </c>
      <c r="K179" s="197">
        <v>11.092623405435384</v>
      </c>
      <c r="L179" s="198">
        <f>+Perfils!$G$41</f>
        <v>54.09</v>
      </c>
      <c r="M179" s="199">
        <f t="shared" si="39"/>
        <v>600</v>
      </c>
      <c r="N179" s="198">
        <v>0</v>
      </c>
      <c r="O179" s="197">
        <f t="shared" si="40"/>
        <v>0</v>
      </c>
      <c r="P179" s="198">
        <f>+Perfils!$G$28</f>
        <v>50.23</v>
      </c>
      <c r="Q179" s="199">
        <v>0</v>
      </c>
      <c r="R179" s="200"/>
      <c r="S179" s="200"/>
      <c r="T179" s="201"/>
      <c r="U179" s="203"/>
      <c r="V179" s="203">
        <f t="shared" si="41"/>
        <v>2600</v>
      </c>
      <c r="W179" s="146"/>
      <c r="X179" s="184"/>
      <c r="Y179" s="184"/>
      <c r="Z179" s="135"/>
    </row>
    <row r="180" spans="1:27" s="117" customFormat="1" x14ac:dyDescent="0.25">
      <c r="A180" s="194" t="s">
        <v>271</v>
      </c>
      <c r="B180" s="194" t="s">
        <v>272</v>
      </c>
      <c r="C180" s="195" t="s">
        <v>273</v>
      </c>
      <c r="D180" s="196" t="s">
        <v>274</v>
      </c>
      <c r="E180" s="197">
        <v>536.48068669527891</v>
      </c>
      <c r="F180" s="198">
        <f>+Perfils!$G$15</f>
        <v>46.6</v>
      </c>
      <c r="G180" s="199">
        <f t="shared" si="37"/>
        <v>25000</v>
      </c>
      <c r="H180" s="197">
        <v>796.33685048775635</v>
      </c>
      <c r="I180" s="198">
        <f>+Perfils!$G$28</f>
        <v>50.23</v>
      </c>
      <c r="J180" s="199">
        <f t="shared" si="38"/>
        <v>40000</v>
      </c>
      <c r="K180" s="197">
        <v>203.36476243298205</v>
      </c>
      <c r="L180" s="198">
        <f>+Perfils!$G$41</f>
        <v>54.09</v>
      </c>
      <c r="M180" s="199">
        <f t="shared" si="39"/>
        <v>11000</v>
      </c>
      <c r="N180" s="198">
        <v>0</v>
      </c>
      <c r="O180" s="197">
        <f t="shared" si="40"/>
        <v>0</v>
      </c>
      <c r="P180" s="198">
        <f>+Perfils!$G$28</f>
        <v>50.23</v>
      </c>
      <c r="Q180" s="199">
        <v>0</v>
      </c>
      <c r="R180" s="200"/>
      <c r="S180" s="200"/>
      <c r="T180" s="201"/>
      <c r="U180" s="203"/>
      <c r="V180" s="203">
        <f t="shared" si="41"/>
        <v>76000</v>
      </c>
      <c r="W180" s="146"/>
      <c r="X180" s="184"/>
      <c r="Y180" s="184"/>
      <c r="Z180" s="135"/>
    </row>
    <row r="181" spans="1:27" s="117" customFormat="1" x14ac:dyDescent="0.25">
      <c r="A181" s="194" t="s">
        <v>271</v>
      </c>
      <c r="B181" s="194" t="s">
        <v>272</v>
      </c>
      <c r="C181" s="195" t="s">
        <v>275</v>
      </c>
      <c r="D181" s="196" t="s">
        <v>314</v>
      </c>
      <c r="E181" s="197">
        <v>643.77682403433471</v>
      </c>
      <c r="F181" s="198">
        <f>+Perfils!$G$15</f>
        <v>46.6</v>
      </c>
      <c r="G181" s="199">
        <f t="shared" si="37"/>
        <v>30000</v>
      </c>
      <c r="H181" s="197">
        <v>696.79474417678682</v>
      </c>
      <c r="I181" s="198">
        <f>+Perfils!$G$28</f>
        <v>50.23</v>
      </c>
      <c r="J181" s="199">
        <f t="shared" si="38"/>
        <v>35000</v>
      </c>
      <c r="K181" s="197">
        <v>240.34017378443335</v>
      </c>
      <c r="L181" s="198">
        <f>+Perfils!$G$41</f>
        <v>54.09</v>
      </c>
      <c r="M181" s="199">
        <f t="shared" si="39"/>
        <v>13000</v>
      </c>
      <c r="N181" s="198">
        <v>0</v>
      </c>
      <c r="O181" s="197">
        <f t="shared" si="40"/>
        <v>0</v>
      </c>
      <c r="P181" s="198">
        <f>+Perfils!$G$28</f>
        <v>50.23</v>
      </c>
      <c r="Q181" s="199">
        <v>0</v>
      </c>
      <c r="R181" s="200"/>
      <c r="S181" s="200"/>
      <c r="T181" s="201"/>
      <c r="U181" s="203"/>
      <c r="V181" s="203">
        <f t="shared" si="41"/>
        <v>78000</v>
      </c>
      <c r="W181" s="146"/>
      <c r="X181" s="184"/>
      <c r="Y181" s="184"/>
      <c r="Z181" s="135"/>
    </row>
    <row r="182" spans="1:27" s="205" customFormat="1" x14ac:dyDescent="0.25">
      <c r="A182" s="194" t="s">
        <v>276</v>
      </c>
      <c r="B182" s="194" t="s">
        <v>277</v>
      </c>
      <c r="C182" s="195" t="s">
        <v>278</v>
      </c>
      <c r="D182" s="196" t="s">
        <v>279</v>
      </c>
      <c r="E182" s="197">
        <v>643.77682403433471</v>
      </c>
      <c r="F182" s="198">
        <f>+Perfils!$G$15</f>
        <v>46.6</v>
      </c>
      <c r="G182" s="199">
        <f t="shared" si="37"/>
        <v>30000</v>
      </c>
      <c r="H182" s="197">
        <v>1791.7579135974518</v>
      </c>
      <c r="I182" s="198">
        <f>+Perfils!$G$28</f>
        <v>50.23</v>
      </c>
      <c r="J182" s="199">
        <f t="shared" si="38"/>
        <v>90000</v>
      </c>
      <c r="K182" s="197">
        <v>462.19264189314106</v>
      </c>
      <c r="L182" s="198">
        <f>+Perfils!$G$41</f>
        <v>54.09</v>
      </c>
      <c r="M182" s="199">
        <f t="shared" si="39"/>
        <v>25000</v>
      </c>
      <c r="N182" s="198">
        <v>0</v>
      </c>
      <c r="O182" s="197">
        <f t="shared" si="40"/>
        <v>0</v>
      </c>
      <c r="P182" s="198">
        <f>+Perfils!$G$28</f>
        <v>50.23</v>
      </c>
      <c r="Q182" s="199">
        <v>0</v>
      </c>
      <c r="R182" s="200"/>
      <c r="S182" s="200"/>
      <c r="T182" s="201"/>
      <c r="U182" s="203"/>
      <c r="V182" s="203">
        <f t="shared" si="41"/>
        <v>145000</v>
      </c>
      <c r="W182" s="146"/>
      <c r="X182" s="184"/>
      <c r="Y182" s="184"/>
      <c r="Z182" s="135"/>
    </row>
    <row r="183" spans="1:27" s="205" customFormat="1" x14ac:dyDescent="0.25">
      <c r="A183" s="194" t="s">
        <v>276</v>
      </c>
      <c r="B183" s="194" t="s">
        <v>277</v>
      </c>
      <c r="C183" s="195" t="s">
        <v>280</v>
      </c>
      <c r="D183" s="196" t="s">
        <v>281</v>
      </c>
      <c r="E183" s="197">
        <v>150.2145922746781</v>
      </c>
      <c r="F183" s="198">
        <f>+Perfils!$G$15</f>
        <v>46.6</v>
      </c>
      <c r="G183" s="199">
        <f t="shared" si="37"/>
        <v>7000</v>
      </c>
      <c r="H183" s="197">
        <v>398.16842524387818</v>
      </c>
      <c r="I183" s="198">
        <f>+Perfils!$G$28</f>
        <v>50.23</v>
      </c>
      <c r="J183" s="199">
        <f t="shared" si="38"/>
        <v>20000</v>
      </c>
      <c r="K183" s="197">
        <v>92.438528378628206</v>
      </c>
      <c r="L183" s="198">
        <f>+Perfils!$G$41</f>
        <v>54.09</v>
      </c>
      <c r="M183" s="199">
        <f t="shared" si="39"/>
        <v>5000</v>
      </c>
      <c r="N183" s="198">
        <v>0</v>
      </c>
      <c r="O183" s="197">
        <f t="shared" si="40"/>
        <v>0</v>
      </c>
      <c r="P183" s="198">
        <f>+Perfils!$G$28</f>
        <v>50.23</v>
      </c>
      <c r="Q183" s="199">
        <v>0</v>
      </c>
      <c r="R183" s="200"/>
      <c r="S183" s="200"/>
      <c r="T183" s="201"/>
      <c r="U183" s="203"/>
      <c r="V183" s="203">
        <f t="shared" si="41"/>
        <v>32000</v>
      </c>
      <c r="W183" s="146"/>
      <c r="X183" s="184"/>
      <c r="Y183" s="184"/>
      <c r="Z183" s="135"/>
    </row>
    <row r="184" spans="1:27" s="205" customFormat="1" x14ac:dyDescent="0.25">
      <c r="A184" s="194" t="s">
        <v>276</v>
      </c>
      <c r="B184" s="194" t="s">
        <v>277</v>
      </c>
      <c r="C184" s="195" t="s">
        <v>282</v>
      </c>
      <c r="D184" s="196" t="s">
        <v>283</v>
      </c>
      <c r="E184" s="197">
        <v>536.48068669527891</v>
      </c>
      <c r="F184" s="198">
        <f>+Perfils!$G$15</f>
        <v>46.6</v>
      </c>
      <c r="G184" s="199">
        <f t="shared" si="37"/>
        <v>25000</v>
      </c>
      <c r="H184" s="197">
        <v>1194.5052757316346</v>
      </c>
      <c r="I184" s="198">
        <f>+Perfils!$G$28</f>
        <v>50.23</v>
      </c>
      <c r="J184" s="199">
        <f t="shared" si="38"/>
        <v>60000</v>
      </c>
      <c r="K184" s="197">
        <v>55.463117027176921</v>
      </c>
      <c r="L184" s="198">
        <f>+Perfils!$G$41</f>
        <v>54.09</v>
      </c>
      <c r="M184" s="199">
        <f t="shared" si="39"/>
        <v>3000</v>
      </c>
      <c r="N184" s="198">
        <v>0</v>
      </c>
      <c r="O184" s="197">
        <f t="shared" si="40"/>
        <v>0</v>
      </c>
      <c r="P184" s="198">
        <f>+Perfils!$G$28</f>
        <v>50.23</v>
      </c>
      <c r="Q184" s="199">
        <v>0</v>
      </c>
      <c r="R184" s="200"/>
      <c r="S184" s="200"/>
      <c r="T184" s="201"/>
      <c r="U184" s="203"/>
      <c r="V184" s="203">
        <f t="shared" si="41"/>
        <v>88000</v>
      </c>
      <c r="W184" s="146"/>
      <c r="X184" s="184"/>
      <c r="Y184" s="184"/>
      <c r="Z184" s="135"/>
    </row>
    <row r="185" spans="1:27" s="205" customFormat="1" x14ac:dyDescent="0.25">
      <c r="A185" s="194" t="s">
        <v>276</v>
      </c>
      <c r="B185" s="194" t="s">
        <v>277</v>
      </c>
      <c r="C185" s="195" t="s">
        <v>284</v>
      </c>
      <c r="D185" s="196" t="s">
        <v>285</v>
      </c>
      <c r="E185" s="197">
        <v>0</v>
      </c>
      <c r="F185" s="198">
        <f>+Perfils!$G$15</f>
        <v>46.6</v>
      </c>
      <c r="G185" s="199">
        <f t="shared" si="37"/>
        <v>0</v>
      </c>
      <c r="H185" s="197">
        <v>1592.6737009755127</v>
      </c>
      <c r="I185" s="198">
        <f>+Perfils!$G$28</f>
        <v>50.23</v>
      </c>
      <c r="J185" s="199">
        <f t="shared" si="38"/>
        <v>80000</v>
      </c>
      <c r="K185" s="197">
        <v>55.463117027176921</v>
      </c>
      <c r="L185" s="198">
        <f>+Perfils!$G$41</f>
        <v>54.09</v>
      </c>
      <c r="M185" s="199">
        <f t="shared" si="39"/>
        <v>3000</v>
      </c>
      <c r="N185" s="198">
        <v>0</v>
      </c>
      <c r="O185" s="197">
        <f t="shared" si="40"/>
        <v>0</v>
      </c>
      <c r="P185" s="198">
        <f>+Perfils!$G$28</f>
        <v>50.23</v>
      </c>
      <c r="Q185" s="199">
        <v>0</v>
      </c>
      <c r="R185" s="200"/>
      <c r="S185" s="200"/>
      <c r="T185" s="201"/>
      <c r="U185" s="203"/>
      <c r="V185" s="203">
        <f t="shared" si="41"/>
        <v>83000</v>
      </c>
      <c r="W185" s="146"/>
      <c r="X185" s="184"/>
      <c r="Y185" s="184"/>
      <c r="Z185" s="135"/>
    </row>
    <row r="186" spans="1:27" s="205" customFormat="1" x14ac:dyDescent="0.25">
      <c r="A186" s="194" t="s">
        <v>286</v>
      </c>
      <c r="B186" s="194" t="s">
        <v>287</v>
      </c>
      <c r="C186" s="195" t="s">
        <v>288</v>
      </c>
      <c r="D186" s="196" t="s">
        <v>289</v>
      </c>
      <c r="E186" s="197">
        <v>214.59227467811158</v>
      </c>
      <c r="F186" s="198">
        <f>+Perfils!$G$15</f>
        <v>46.6</v>
      </c>
      <c r="G186" s="199">
        <f t="shared" si="37"/>
        <v>10000</v>
      </c>
      <c r="H186" s="197">
        <v>796.33685048775635</v>
      </c>
      <c r="I186" s="198">
        <f>+Perfils!$G$28</f>
        <v>50.23</v>
      </c>
      <c r="J186" s="199">
        <f t="shared" si="38"/>
        <v>40000</v>
      </c>
      <c r="K186" s="197">
        <v>203.36476243298205</v>
      </c>
      <c r="L186" s="198">
        <f>+Perfils!$G$41</f>
        <v>54.09</v>
      </c>
      <c r="M186" s="199">
        <f t="shared" si="39"/>
        <v>11000</v>
      </c>
      <c r="N186" s="198">
        <v>0</v>
      </c>
      <c r="O186" s="197">
        <f t="shared" si="40"/>
        <v>0</v>
      </c>
      <c r="P186" s="198">
        <f>+Perfils!$G$28</f>
        <v>50.23</v>
      </c>
      <c r="Q186" s="199">
        <v>0</v>
      </c>
      <c r="R186" s="200"/>
      <c r="S186" s="200"/>
      <c r="T186" s="201"/>
      <c r="U186" s="203"/>
      <c r="V186" s="203">
        <f t="shared" si="41"/>
        <v>61000</v>
      </c>
      <c r="W186" s="146"/>
      <c r="X186" s="184"/>
      <c r="Y186" s="184"/>
      <c r="Z186" s="135"/>
    </row>
    <row r="187" spans="1:27" s="205" customFormat="1" x14ac:dyDescent="0.25">
      <c r="A187" s="194" t="s">
        <v>290</v>
      </c>
      <c r="B187" s="194" t="s">
        <v>291</v>
      </c>
      <c r="C187" s="195" t="s">
        <v>324</v>
      </c>
      <c r="D187" s="196" t="s">
        <v>292</v>
      </c>
      <c r="E187" s="197">
        <v>214.59227467811158</v>
      </c>
      <c r="F187" s="198">
        <f>+Perfils!$G$15</f>
        <v>46.6</v>
      </c>
      <c r="G187" s="199">
        <f t="shared" si="37"/>
        <v>10000</v>
      </c>
      <c r="H187" s="197">
        <v>318.53474019510253</v>
      </c>
      <c r="I187" s="198">
        <f>+Perfils!$G$28</f>
        <v>50.23</v>
      </c>
      <c r="J187" s="199">
        <f t="shared" si="38"/>
        <v>16000</v>
      </c>
      <c r="K187" s="197">
        <v>203.36476243298205</v>
      </c>
      <c r="L187" s="198">
        <f>+Perfils!$G$41</f>
        <v>54.09</v>
      </c>
      <c r="M187" s="199">
        <f t="shared" si="39"/>
        <v>11000</v>
      </c>
      <c r="N187" s="198">
        <v>0</v>
      </c>
      <c r="O187" s="197">
        <f t="shared" si="40"/>
        <v>0</v>
      </c>
      <c r="P187" s="198">
        <f>+Perfils!$G$28</f>
        <v>50.23</v>
      </c>
      <c r="Q187" s="199">
        <v>0</v>
      </c>
      <c r="R187" s="200"/>
      <c r="S187" s="200"/>
      <c r="T187" s="201"/>
      <c r="U187" s="203"/>
      <c r="V187" s="203">
        <f t="shared" si="41"/>
        <v>37000</v>
      </c>
      <c r="W187" s="146"/>
      <c r="X187" s="184"/>
      <c r="Y187" s="184"/>
      <c r="Z187" s="135"/>
    </row>
    <row r="188" spans="1:27" s="205" customFormat="1" x14ac:dyDescent="0.25">
      <c r="A188" s="194" t="s">
        <v>293</v>
      </c>
      <c r="B188" s="194" t="s">
        <v>294</v>
      </c>
      <c r="C188" s="195" t="s">
        <v>325</v>
      </c>
      <c r="D188" s="196" t="s">
        <v>295</v>
      </c>
      <c r="E188" s="197">
        <v>214.59227467811158</v>
      </c>
      <c r="F188" s="198">
        <f>+Perfils!$G$15</f>
        <v>46.6</v>
      </c>
      <c r="G188" s="199">
        <f t="shared" si="37"/>
        <v>10000</v>
      </c>
      <c r="H188" s="197">
        <v>1513.0400159267372</v>
      </c>
      <c r="I188" s="198">
        <f>+Perfils!$G$28</f>
        <v>50.23</v>
      </c>
      <c r="J188" s="199">
        <f t="shared" si="38"/>
        <v>76000</v>
      </c>
      <c r="K188" s="197">
        <v>369.75411351451282</v>
      </c>
      <c r="L188" s="198">
        <f>+Perfils!$G$41</f>
        <v>54.09</v>
      </c>
      <c r="M188" s="199">
        <f t="shared" si="39"/>
        <v>20000</v>
      </c>
      <c r="N188" s="198">
        <v>0</v>
      </c>
      <c r="O188" s="197">
        <f t="shared" si="40"/>
        <v>0</v>
      </c>
      <c r="P188" s="198">
        <f>+Perfils!$G$28</f>
        <v>50.23</v>
      </c>
      <c r="Q188" s="199">
        <v>0</v>
      </c>
      <c r="R188" s="200">
        <v>45292</v>
      </c>
      <c r="S188" s="200">
        <v>45352</v>
      </c>
      <c r="T188" s="201">
        <v>2</v>
      </c>
      <c r="U188" s="203">
        <v>833.33333333333337</v>
      </c>
      <c r="V188" s="203">
        <f>+G188+J188+M188+N188+U188+Q188</f>
        <v>106833.33333333333</v>
      </c>
      <c r="W188" s="146"/>
      <c r="X188" s="184"/>
      <c r="Y188" s="184"/>
      <c r="Z188" s="135"/>
    </row>
    <row r="189" spans="1:27" s="205" customFormat="1" x14ac:dyDescent="0.25">
      <c r="A189" s="194" t="s">
        <v>276</v>
      </c>
      <c r="B189" s="194" t="s">
        <v>277</v>
      </c>
      <c r="C189" s="195" t="s">
        <v>296</v>
      </c>
      <c r="D189" s="196" t="s">
        <v>315</v>
      </c>
      <c r="E189" s="197">
        <v>193.13304721030042</v>
      </c>
      <c r="F189" s="198">
        <f>+Perfils!$G$15</f>
        <v>46.6</v>
      </c>
      <c r="G189" s="199">
        <f t="shared" si="37"/>
        <v>9000</v>
      </c>
      <c r="H189" s="197">
        <v>398.16842524387818</v>
      </c>
      <c r="I189" s="198">
        <f>+Perfils!$G$28</f>
        <v>50.23</v>
      </c>
      <c r="J189" s="199">
        <f t="shared" si="38"/>
        <v>20000</v>
      </c>
      <c r="K189" s="197">
        <v>184.87705675725641</v>
      </c>
      <c r="L189" s="198">
        <f>+Perfils!$G$41</f>
        <v>54.09</v>
      </c>
      <c r="M189" s="199">
        <f t="shared" si="39"/>
        <v>10000</v>
      </c>
      <c r="N189" s="198">
        <v>0</v>
      </c>
      <c r="O189" s="197">
        <f t="shared" si="40"/>
        <v>0</v>
      </c>
      <c r="P189" s="198">
        <f>+Perfils!$G$28</f>
        <v>50.23</v>
      </c>
      <c r="Q189" s="199">
        <v>0</v>
      </c>
      <c r="R189" s="200"/>
      <c r="S189" s="200"/>
      <c r="T189" s="201"/>
      <c r="U189" s="203"/>
      <c r="V189" s="203">
        <f t="shared" si="41"/>
        <v>39000</v>
      </c>
      <c r="W189" s="146"/>
      <c r="X189" s="184"/>
      <c r="Y189" s="184"/>
      <c r="Z189" s="135"/>
    </row>
    <row r="190" spans="1:27" s="205" customFormat="1" x14ac:dyDescent="0.25">
      <c r="A190" s="194" t="s">
        <v>276</v>
      </c>
      <c r="B190" s="194" t="s">
        <v>277</v>
      </c>
      <c r="C190" s="195" t="s">
        <v>297</v>
      </c>
      <c r="D190" s="196" t="s">
        <v>298</v>
      </c>
      <c r="E190" s="197">
        <v>64.377682403433468</v>
      </c>
      <c r="F190" s="198">
        <f>+Perfils!$G$15</f>
        <v>46.6</v>
      </c>
      <c r="G190" s="199">
        <f t="shared" si="37"/>
        <v>3000</v>
      </c>
      <c r="H190" s="197">
        <v>199.08421262193909</v>
      </c>
      <c r="I190" s="198">
        <f>+Perfils!$G$28</f>
        <v>50.23</v>
      </c>
      <c r="J190" s="199">
        <f t="shared" si="38"/>
        <v>10000</v>
      </c>
      <c r="K190" s="197">
        <v>55.463117027176921</v>
      </c>
      <c r="L190" s="198">
        <f>+Perfils!$G$41</f>
        <v>54.09</v>
      </c>
      <c r="M190" s="199">
        <f t="shared" si="39"/>
        <v>3000</v>
      </c>
      <c r="N190" s="198">
        <v>0</v>
      </c>
      <c r="O190" s="197">
        <f t="shared" si="40"/>
        <v>0</v>
      </c>
      <c r="P190" s="198">
        <f>+Perfils!$G$28</f>
        <v>50.23</v>
      </c>
      <c r="Q190" s="199">
        <v>0</v>
      </c>
      <c r="R190" s="200"/>
      <c r="S190" s="200"/>
      <c r="T190" s="201"/>
      <c r="U190" s="203"/>
      <c r="V190" s="203">
        <f t="shared" si="41"/>
        <v>16000</v>
      </c>
      <c r="W190" s="146"/>
      <c r="X190" s="184"/>
      <c r="Y190" s="184"/>
      <c r="Z190" s="135"/>
    </row>
    <row r="191" spans="1:27" s="205" customFormat="1" x14ac:dyDescent="0.25">
      <c r="A191" s="194" t="s">
        <v>276</v>
      </c>
      <c r="B191" s="194" t="s">
        <v>277</v>
      </c>
      <c r="C191" s="195" t="s">
        <v>299</v>
      </c>
      <c r="D191" s="196" t="s">
        <v>300</v>
      </c>
      <c r="E191" s="197">
        <v>107.29613733905579</v>
      </c>
      <c r="F191" s="198">
        <f>+Perfils!$G$15</f>
        <v>46.6</v>
      </c>
      <c r="G191" s="199">
        <f t="shared" si="37"/>
        <v>5000</v>
      </c>
      <c r="H191" s="197">
        <v>298.62631893290865</v>
      </c>
      <c r="I191" s="198">
        <f>+Perfils!$G$28</f>
        <v>50.23</v>
      </c>
      <c r="J191" s="199">
        <f t="shared" si="38"/>
        <v>15000</v>
      </c>
      <c r="K191" s="197">
        <v>55.463117027176921</v>
      </c>
      <c r="L191" s="198">
        <f>+Perfils!$G$41</f>
        <v>54.09</v>
      </c>
      <c r="M191" s="199">
        <f t="shared" si="39"/>
        <v>3000</v>
      </c>
      <c r="N191" s="198">
        <v>0</v>
      </c>
      <c r="O191" s="197">
        <f t="shared" si="40"/>
        <v>0</v>
      </c>
      <c r="P191" s="198">
        <f>+Perfils!$G$28</f>
        <v>50.23</v>
      </c>
      <c r="Q191" s="199">
        <v>0</v>
      </c>
      <c r="R191" s="200"/>
      <c r="S191" s="200"/>
      <c r="T191" s="201"/>
      <c r="U191" s="203"/>
      <c r="V191" s="203">
        <f t="shared" si="41"/>
        <v>23000</v>
      </c>
      <c r="W191" s="146"/>
      <c r="X191" s="184"/>
      <c r="Y191" s="184"/>
      <c r="Z191" s="135"/>
    </row>
    <row r="192" spans="1:27" s="205" customFormat="1" ht="18.600000000000001" customHeight="1" x14ac:dyDescent="0.25">
      <c r="A192" s="194" t="s">
        <v>276</v>
      </c>
      <c r="B192" s="194" t="s">
        <v>277</v>
      </c>
      <c r="C192" s="195" t="s">
        <v>316</v>
      </c>
      <c r="D192" s="196" t="s">
        <v>318</v>
      </c>
      <c r="E192" s="197">
        <v>193.13304721030042</v>
      </c>
      <c r="F192" s="198">
        <f>+Perfils!$G$15</f>
        <v>46.6</v>
      </c>
      <c r="G192" s="199">
        <f t="shared" si="37"/>
        <v>9000</v>
      </c>
      <c r="H192" s="197">
        <v>179.17579135974518</v>
      </c>
      <c r="I192" s="198">
        <f>+Perfils!$G$28</f>
        <v>50.23</v>
      </c>
      <c r="J192" s="199">
        <f t="shared" si="38"/>
        <v>9000</v>
      </c>
      <c r="K192" s="197">
        <v>110.92623405435384</v>
      </c>
      <c r="L192" s="198">
        <f>+Perfils!$G$41</f>
        <v>54.09</v>
      </c>
      <c r="M192" s="199">
        <f t="shared" si="39"/>
        <v>6000</v>
      </c>
      <c r="N192" s="198">
        <v>0</v>
      </c>
      <c r="O192" s="197">
        <f t="shared" si="40"/>
        <v>0</v>
      </c>
      <c r="P192" s="198">
        <f>+Perfils!$G$28</f>
        <v>50.23</v>
      </c>
      <c r="Q192" s="199">
        <v>0</v>
      </c>
      <c r="R192" s="200"/>
      <c r="S192" s="200"/>
      <c r="T192" s="201"/>
      <c r="U192" s="203"/>
      <c r="V192" s="203">
        <f t="shared" si="41"/>
        <v>24000</v>
      </c>
      <c r="W192" s="146"/>
      <c r="X192" s="184"/>
      <c r="Y192" s="184"/>
      <c r="Z192" s="135"/>
    </row>
    <row r="193" spans="1:26" s="205" customFormat="1" x14ac:dyDescent="0.25">
      <c r="A193" s="194" t="s">
        <v>234</v>
      </c>
      <c r="B193" s="194" t="s">
        <v>235</v>
      </c>
      <c r="C193" s="195" t="s">
        <v>317</v>
      </c>
      <c r="D193" s="196" t="s">
        <v>319</v>
      </c>
      <c r="E193" s="197">
        <v>107.29613733905579</v>
      </c>
      <c r="F193" s="198">
        <f>+Perfils!$G$15</f>
        <v>46.6</v>
      </c>
      <c r="G193" s="199">
        <f t="shared" si="37"/>
        <v>5000</v>
      </c>
      <c r="H193" s="197">
        <v>99.542106310969544</v>
      </c>
      <c r="I193" s="198">
        <f>+Perfils!$G$28</f>
        <v>50.23</v>
      </c>
      <c r="J193" s="199">
        <f t="shared" si="38"/>
        <v>5000</v>
      </c>
      <c r="K193" s="197">
        <v>55.463117027176921</v>
      </c>
      <c r="L193" s="198">
        <f>+Perfils!$G$41</f>
        <v>54.09</v>
      </c>
      <c r="M193" s="199">
        <f t="shared" si="39"/>
        <v>3000</v>
      </c>
      <c r="N193" s="198">
        <v>0</v>
      </c>
      <c r="O193" s="197">
        <f t="shared" si="40"/>
        <v>0</v>
      </c>
      <c r="P193" s="198">
        <f>+Perfils!$G$28</f>
        <v>50.23</v>
      </c>
      <c r="Q193" s="199">
        <v>0</v>
      </c>
      <c r="R193" s="200"/>
      <c r="S193" s="200"/>
      <c r="T193" s="201"/>
      <c r="U193" s="203"/>
      <c r="V193" s="203">
        <f t="shared" si="41"/>
        <v>13000</v>
      </c>
      <c r="W193" s="146"/>
      <c r="X193" s="184"/>
      <c r="Y193" s="184"/>
      <c r="Z193" s="135"/>
    </row>
    <row r="194" spans="1:26" s="314" customFormat="1" x14ac:dyDescent="0.25">
      <c r="A194" s="194" t="s">
        <v>334</v>
      </c>
      <c r="B194" s="194" t="s">
        <v>333</v>
      </c>
      <c r="C194" s="195" t="s">
        <v>335</v>
      </c>
      <c r="D194" s="196" t="s">
        <v>336</v>
      </c>
      <c r="E194" s="197">
        <v>85.836909871244629</v>
      </c>
      <c r="F194" s="198">
        <f>+Perfils!$G$15</f>
        <v>46.6</v>
      </c>
      <c r="G194" s="199">
        <f t="shared" si="37"/>
        <v>4000</v>
      </c>
      <c r="H194" s="197">
        <v>159.26737009755126</v>
      </c>
      <c r="I194" s="198">
        <f>+Perfils!$G$28</f>
        <v>50.23</v>
      </c>
      <c r="J194" s="199">
        <f t="shared" si="38"/>
        <v>8000</v>
      </c>
      <c r="K194" s="197">
        <v>55.463117027176921</v>
      </c>
      <c r="L194" s="198">
        <f>+Perfils!$G$41</f>
        <v>54.09</v>
      </c>
      <c r="M194" s="199">
        <f t="shared" si="39"/>
        <v>3000</v>
      </c>
      <c r="N194" s="198">
        <v>0</v>
      </c>
      <c r="O194" s="197">
        <f t="shared" si="40"/>
        <v>0</v>
      </c>
      <c r="P194" s="198">
        <f>+Perfils!$G$28</f>
        <v>50.23</v>
      </c>
      <c r="Q194" s="199">
        <v>0</v>
      </c>
      <c r="R194" s="200"/>
      <c r="S194" s="200"/>
      <c r="T194" s="201"/>
      <c r="U194" s="203"/>
      <c r="V194" s="203">
        <f t="shared" si="41"/>
        <v>15000</v>
      </c>
      <c r="W194" s="313"/>
    </row>
    <row r="195" spans="1:26" s="314" customFormat="1" x14ac:dyDescent="0.25">
      <c r="A195" s="194" t="s">
        <v>210</v>
      </c>
      <c r="B195" s="194" t="s">
        <v>211</v>
      </c>
      <c r="C195" s="195" t="s">
        <v>335</v>
      </c>
      <c r="D195" s="196" t="s">
        <v>337</v>
      </c>
      <c r="E195" s="197">
        <v>85.836909871244629</v>
      </c>
      <c r="F195" s="198">
        <f>+Perfils!$G$15</f>
        <v>46.6</v>
      </c>
      <c r="G195" s="199">
        <f t="shared" si="37"/>
        <v>4000</v>
      </c>
      <c r="H195" s="197">
        <v>159.26737009755126</v>
      </c>
      <c r="I195" s="198">
        <f>+Perfils!$G$28</f>
        <v>50.23</v>
      </c>
      <c r="J195" s="199">
        <f t="shared" si="38"/>
        <v>8000</v>
      </c>
      <c r="K195" s="197">
        <v>55.463117027176921</v>
      </c>
      <c r="L195" s="198">
        <f>+Perfils!$G$41</f>
        <v>54.09</v>
      </c>
      <c r="M195" s="199">
        <f t="shared" si="39"/>
        <v>3000</v>
      </c>
      <c r="N195" s="198">
        <v>0</v>
      </c>
      <c r="O195" s="197">
        <f t="shared" si="40"/>
        <v>0</v>
      </c>
      <c r="P195" s="198">
        <f>+Perfils!$G$28</f>
        <v>50.23</v>
      </c>
      <c r="Q195" s="199">
        <v>0</v>
      </c>
      <c r="R195" s="200"/>
      <c r="S195" s="200"/>
      <c r="T195" s="201"/>
      <c r="U195" s="203"/>
      <c r="V195" s="203">
        <f t="shared" si="41"/>
        <v>15000</v>
      </c>
      <c r="W195" s="313"/>
    </row>
    <row r="196" spans="1:26" s="314" customFormat="1" x14ac:dyDescent="0.25">
      <c r="A196" s="194" t="s">
        <v>210</v>
      </c>
      <c r="B196" s="194" t="s">
        <v>235</v>
      </c>
      <c r="C196" s="195" t="s">
        <v>335</v>
      </c>
      <c r="D196" s="196" t="s">
        <v>346</v>
      </c>
      <c r="E196" s="197">
        <v>89.413447782546498</v>
      </c>
      <c r="F196" s="198">
        <f>+Perfils!$G$15</f>
        <v>46.6</v>
      </c>
      <c r="G196" s="199">
        <f t="shared" si="37"/>
        <v>4166.67</v>
      </c>
      <c r="H196" s="197">
        <v>248.85526577742385</v>
      </c>
      <c r="I196" s="198">
        <f>+Perfils!$G$28</f>
        <v>50.23</v>
      </c>
      <c r="J196" s="199">
        <f t="shared" si="38"/>
        <v>12500</v>
      </c>
      <c r="K196" s="197">
        <v>77.032106982190172</v>
      </c>
      <c r="L196" s="198">
        <f>+Perfils!$G$41</f>
        <v>54.09</v>
      </c>
      <c r="M196" s="199">
        <f t="shared" si="39"/>
        <v>4166.67</v>
      </c>
      <c r="N196" s="198">
        <v>0</v>
      </c>
      <c r="O196" s="197">
        <f t="shared" si="40"/>
        <v>0</v>
      </c>
      <c r="P196" s="198">
        <f>+Perfils!$G$28</f>
        <v>50.23</v>
      </c>
      <c r="Q196" s="199">
        <v>0</v>
      </c>
      <c r="R196" s="200">
        <v>45433</v>
      </c>
      <c r="S196" s="200">
        <v>45494</v>
      </c>
      <c r="T196" s="201">
        <v>2</v>
      </c>
      <c r="U196" s="203">
        <v>1488.0952380952383</v>
      </c>
      <c r="V196" s="203">
        <f>+G196+J196+M196+N196+U196+Q188</f>
        <v>22321.435238095233</v>
      </c>
      <c r="W196" s="313"/>
    </row>
    <row r="197" spans="1:26" s="205" customFormat="1" x14ac:dyDescent="0.25">
      <c r="A197" s="194" t="s">
        <v>222</v>
      </c>
      <c r="B197" s="194" t="s">
        <v>223</v>
      </c>
      <c r="C197" s="195" t="s">
        <v>335</v>
      </c>
      <c r="D197" s="196" t="s">
        <v>347</v>
      </c>
      <c r="E197" s="197">
        <v>171.67381974248926</v>
      </c>
      <c r="F197" s="198">
        <f>+Perfils!$G$15</f>
        <v>46.6</v>
      </c>
      <c r="G197" s="199">
        <f t="shared" si="37"/>
        <v>8000</v>
      </c>
      <c r="H197" s="197">
        <v>477.80211029265382</v>
      </c>
      <c r="I197" s="198">
        <f>+Perfils!$G$28</f>
        <v>50.23</v>
      </c>
      <c r="J197" s="199">
        <f t="shared" si="38"/>
        <v>24000</v>
      </c>
      <c r="K197" s="197">
        <v>147.90164540580514</v>
      </c>
      <c r="L197" s="198">
        <f>+Perfils!$G$41</f>
        <v>54.09</v>
      </c>
      <c r="M197" s="199">
        <f t="shared" si="39"/>
        <v>8000</v>
      </c>
      <c r="N197" s="198">
        <v>0</v>
      </c>
      <c r="O197" s="197">
        <f t="shared" si="40"/>
        <v>0</v>
      </c>
      <c r="P197" s="198">
        <f>+Perfils!$G$28</f>
        <v>50.23</v>
      </c>
      <c r="Q197" s="199"/>
      <c r="R197" s="200"/>
      <c r="S197" s="200"/>
      <c r="T197" s="201"/>
      <c r="U197" s="203"/>
      <c r="V197" s="203">
        <f t="shared" si="41"/>
        <v>40000</v>
      </c>
      <c r="W197" s="146"/>
      <c r="X197" s="184"/>
      <c r="Y197" s="184"/>
      <c r="Z197" s="135"/>
    </row>
    <row r="198" spans="1:26" s="205" customFormat="1" x14ac:dyDescent="0.25">
      <c r="A198" s="196"/>
      <c r="B198" s="196"/>
      <c r="C198" s="195"/>
      <c r="D198" s="196"/>
      <c r="E198" s="207">
        <f>SUM(E158:E197)</f>
        <v>7170.9585121602258</v>
      </c>
      <c r="F198" s="198"/>
      <c r="G198" s="208">
        <f>SUM(G158:G197)</f>
        <v>334166.67</v>
      </c>
      <c r="H198" s="207">
        <f>SUM(H158:H197)</f>
        <v>17071.471232331281</v>
      </c>
      <c r="I198" s="198"/>
      <c r="J198" s="208">
        <f>SUM(J158:J197)</f>
        <v>857500</v>
      </c>
      <c r="K198" s="207">
        <f>SUM(K158:K197)</f>
        <v>5137.1171504282984</v>
      </c>
      <c r="L198" s="198"/>
      <c r="M198" s="208">
        <f>SUM(M158:M197)</f>
        <v>277866.67</v>
      </c>
      <c r="N198" s="198"/>
      <c r="O198" s="207">
        <f>SUM(O158:O197)</f>
        <v>0</v>
      </c>
      <c r="P198" s="198"/>
      <c r="Q198" s="208">
        <f>SUM(Q158:Q197)</f>
        <v>0</v>
      </c>
      <c r="R198" s="200"/>
      <c r="S198" s="200"/>
      <c r="T198" s="209"/>
      <c r="U198" s="208">
        <f>SUM(U158:U197)</f>
        <v>2321.4285714285716</v>
      </c>
      <c r="V198" s="210">
        <f>SUM(V158:V197)</f>
        <v>1471854.7685714285</v>
      </c>
      <c r="W198" s="146"/>
      <c r="X198" s="184"/>
      <c r="Y198" s="184"/>
      <c r="Z198" s="135"/>
    </row>
    <row r="199" spans="1:26" s="205" customFormat="1" x14ac:dyDescent="0.25">
      <c r="A199" s="196"/>
      <c r="B199" s="196"/>
      <c r="C199" s="195"/>
      <c r="D199" s="196" t="s">
        <v>199</v>
      </c>
      <c r="E199" s="207">
        <f>(E198/12/8)/20</f>
        <v>3.734874225083451</v>
      </c>
      <c r="F199" s="198"/>
      <c r="G199" s="198"/>
      <c r="H199" s="207">
        <f>(H198/12/8)/20</f>
        <v>8.891391266839209</v>
      </c>
      <c r="I199" s="198"/>
      <c r="J199" s="198"/>
      <c r="K199" s="207">
        <f>(K198/12/8)/20</f>
        <v>2.6755818491814054</v>
      </c>
      <c r="L199" s="198"/>
      <c r="M199" s="198"/>
      <c r="N199" s="198"/>
      <c r="O199" s="198"/>
      <c r="P199" s="198"/>
      <c r="Q199" s="198"/>
      <c r="R199" s="200"/>
      <c r="S199" s="200"/>
      <c r="T199" s="209"/>
      <c r="U199" s="203"/>
      <c r="V199" s="203"/>
      <c r="W199" s="146"/>
      <c r="X199" s="184"/>
      <c r="Y199" s="184"/>
      <c r="Z199" s="135"/>
    </row>
    <row r="200" spans="1:26" s="205" customFormat="1" ht="14.1" customHeight="1" thickBot="1" x14ac:dyDescent="0.3">
      <c r="A200" s="211"/>
      <c r="B200" s="211"/>
      <c r="C200" s="212"/>
      <c r="D200" s="211"/>
      <c r="E200" s="213"/>
      <c r="F200" s="214"/>
      <c r="G200" s="215"/>
      <c r="H200" s="213"/>
      <c r="I200" s="214"/>
      <c r="J200" s="215"/>
      <c r="K200" s="213"/>
      <c r="L200" s="214"/>
      <c r="M200" s="215"/>
      <c r="N200" s="214"/>
      <c r="O200" s="214"/>
      <c r="P200" s="214"/>
      <c r="Q200" s="214"/>
      <c r="R200" s="216"/>
      <c r="S200" s="216"/>
      <c r="T200" s="217"/>
      <c r="U200" s="218"/>
      <c r="V200" s="218"/>
      <c r="W200" s="146"/>
      <c r="X200" s="184"/>
      <c r="Y200" s="184"/>
      <c r="Z200" s="135"/>
    </row>
    <row r="201" spans="1:26" s="205" customFormat="1" x14ac:dyDescent="0.25">
      <c r="A201" s="219" t="s">
        <v>383</v>
      </c>
      <c r="B201" s="220" t="s">
        <v>384</v>
      </c>
      <c r="C201" s="315" t="s">
        <v>417</v>
      </c>
      <c r="D201" s="222" t="s">
        <v>385</v>
      </c>
      <c r="E201" s="316">
        <v>643.77682403433471</v>
      </c>
      <c r="F201" s="198">
        <f>+Perfils!$G$15</f>
        <v>46.6</v>
      </c>
      <c r="G201" s="199">
        <f t="shared" ref="G201:G219" si="42">+ROUND(E201*F201,2)</f>
        <v>30000</v>
      </c>
      <c r="H201" s="317">
        <v>298.62631893290865</v>
      </c>
      <c r="I201" s="198">
        <f>+Perfils!$G$28</f>
        <v>50.23</v>
      </c>
      <c r="J201" s="199">
        <f t="shared" ref="J201:J219" si="43">+ROUND(H201*I201,2)</f>
        <v>15000</v>
      </c>
      <c r="K201" s="317">
        <v>92.438528378628206</v>
      </c>
      <c r="L201" s="198">
        <f>+Perfils!$G$41</f>
        <v>54.09</v>
      </c>
      <c r="M201" s="199">
        <f t="shared" ref="M201:M219" si="44">+ROUND(K201*L201,2)</f>
        <v>5000</v>
      </c>
      <c r="N201" s="318"/>
      <c r="O201" s="197">
        <f t="shared" ref="O201:O219" si="45">+Q201/P201</f>
        <v>0</v>
      </c>
      <c r="P201" s="198">
        <f>+Perfils!$G$28</f>
        <v>50.23</v>
      </c>
      <c r="Q201" s="199">
        <v>0</v>
      </c>
      <c r="R201" s="318"/>
      <c r="S201" s="201"/>
      <c r="T201" s="201"/>
      <c r="U201" s="199"/>
      <c r="V201" s="203">
        <f t="shared" ref="V201:V219" si="46">+G201+J201+M201+N201+Q201</f>
        <v>50000</v>
      </c>
      <c r="W201" s="146"/>
      <c r="X201" s="184"/>
      <c r="Y201" s="184"/>
      <c r="Z201" s="135"/>
    </row>
    <row r="202" spans="1:26" s="205" customFormat="1" x14ac:dyDescent="0.25">
      <c r="A202" s="223" t="s">
        <v>386</v>
      </c>
      <c r="B202" s="224" t="s">
        <v>387</v>
      </c>
      <c r="C202" s="315" t="s">
        <v>388</v>
      </c>
      <c r="D202" s="222" t="s">
        <v>389</v>
      </c>
      <c r="E202" s="316">
        <v>262.66094420600859</v>
      </c>
      <c r="F202" s="198">
        <f>+Perfils!$G$15</f>
        <v>46.6</v>
      </c>
      <c r="G202" s="199">
        <f t="shared" si="42"/>
        <v>12240</v>
      </c>
      <c r="H202" s="317">
        <v>194.94326099940275</v>
      </c>
      <c r="I202" s="198">
        <f>+Perfils!$G$28</f>
        <v>50.23</v>
      </c>
      <c r="J202" s="199">
        <f t="shared" si="43"/>
        <v>9792</v>
      </c>
      <c r="K202" s="317">
        <v>45.257903494176368</v>
      </c>
      <c r="L202" s="198">
        <f>+Perfils!$G$41</f>
        <v>54.09</v>
      </c>
      <c r="M202" s="199">
        <f t="shared" si="44"/>
        <v>2448</v>
      </c>
      <c r="N202" s="318"/>
      <c r="O202" s="197">
        <f t="shared" si="45"/>
        <v>0</v>
      </c>
      <c r="P202" s="198">
        <f>+Perfils!$G$28</f>
        <v>50.23</v>
      </c>
      <c r="Q202" s="199">
        <v>0</v>
      </c>
      <c r="R202" s="318"/>
      <c r="S202" s="201"/>
      <c r="T202" s="201"/>
      <c r="U202" s="199"/>
      <c r="V202" s="203">
        <f t="shared" si="46"/>
        <v>24480</v>
      </c>
      <c r="W202" s="146"/>
      <c r="X202" s="184"/>
      <c r="Y202" s="184"/>
      <c r="Z202" s="135"/>
    </row>
    <row r="203" spans="1:26" s="205" customFormat="1" ht="30" x14ac:dyDescent="0.25">
      <c r="A203" s="223" t="s">
        <v>390</v>
      </c>
      <c r="B203" s="224" t="s">
        <v>391</v>
      </c>
      <c r="C203" s="315" t="s">
        <v>415</v>
      </c>
      <c r="D203" s="222" t="s">
        <v>392</v>
      </c>
      <c r="E203" s="316">
        <v>482.83261802575106</v>
      </c>
      <c r="F203" s="198">
        <f>+Perfils!$G$15</f>
        <v>46.6</v>
      </c>
      <c r="G203" s="199">
        <f t="shared" si="42"/>
        <v>22500</v>
      </c>
      <c r="H203" s="317">
        <v>1244.2763288871192</v>
      </c>
      <c r="I203" s="198">
        <f>+Perfils!$G$28</f>
        <v>50.23</v>
      </c>
      <c r="J203" s="199">
        <f t="shared" si="43"/>
        <v>62500</v>
      </c>
      <c r="K203" s="317">
        <v>739.50822702902565</v>
      </c>
      <c r="L203" s="198">
        <f>+Perfils!$G$41</f>
        <v>54.09</v>
      </c>
      <c r="M203" s="199">
        <f t="shared" si="44"/>
        <v>40000</v>
      </c>
      <c r="N203" s="318"/>
      <c r="O203" s="197">
        <f t="shared" si="45"/>
        <v>0</v>
      </c>
      <c r="P203" s="198">
        <f>+Perfils!$G$28</f>
        <v>50.23</v>
      </c>
      <c r="Q203" s="199">
        <v>0</v>
      </c>
      <c r="R203" s="318"/>
      <c r="S203" s="201"/>
      <c r="T203" s="201"/>
      <c r="U203" s="199"/>
      <c r="V203" s="203">
        <f t="shared" si="46"/>
        <v>125000</v>
      </c>
      <c r="W203" s="146"/>
      <c r="X203" s="184"/>
      <c r="Y203" s="184"/>
      <c r="Z203" s="135"/>
    </row>
    <row r="204" spans="1:26" s="205" customFormat="1" x14ac:dyDescent="0.25">
      <c r="A204" s="223" t="s">
        <v>357</v>
      </c>
      <c r="B204" s="224" t="s">
        <v>363</v>
      </c>
      <c r="C204" s="319"/>
      <c r="D204" s="222" t="str">
        <f>B204</f>
        <v>Registre d'activitats i tràmits (RAT)</v>
      </c>
      <c r="E204" s="197">
        <v>80.102360515021459</v>
      </c>
      <c r="F204" s="198">
        <f>+Perfils!$G$15</f>
        <v>46.6</v>
      </c>
      <c r="G204" s="199">
        <f t="shared" si="42"/>
        <v>3732.77</v>
      </c>
      <c r="H204" s="197">
        <v>229.61158670117459</v>
      </c>
      <c r="I204" s="198">
        <f>+Perfils!$G$28</f>
        <v>50.23</v>
      </c>
      <c r="J204" s="199">
        <f t="shared" si="43"/>
        <v>11533.39</v>
      </c>
      <c r="K204" s="197">
        <v>154.09853947125163</v>
      </c>
      <c r="L204" s="198">
        <f>+Perfils!$G$41</f>
        <v>54.09</v>
      </c>
      <c r="M204" s="199">
        <f t="shared" si="44"/>
        <v>8335.19</v>
      </c>
      <c r="N204" s="198"/>
      <c r="O204" s="197">
        <f t="shared" si="45"/>
        <v>0</v>
      </c>
      <c r="P204" s="198">
        <f>+Perfils!$G$28</f>
        <v>50.23</v>
      </c>
      <c r="Q204" s="199">
        <v>0</v>
      </c>
      <c r="R204" s="200"/>
      <c r="S204" s="200"/>
      <c r="T204" s="201"/>
      <c r="U204" s="199"/>
      <c r="V204" s="203">
        <f t="shared" si="46"/>
        <v>23601.35</v>
      </c>
      <c r="W204" s="146"/>
      <c r="X204" s="184"/>
      <c r="Y204" s="184"/>
      <c r="Z204" s="135"/>
    </row>
    <row r="205" spans="1:26" s="205" customFormat="1" x14ac:dyDescent="0.25">
      <c r="A205" s="223" t="s">
        <v>393</v>
      </c>
      <c r="B205" s="224" t="s">
        <v>394</v>
      </c>
      <c r="C205" s="315"/>
      <c r="D205" s="222" t="str">
        <f t="shared" ref="D205:D206" si="47">B205</f>
        <v>Troballes</v>
      </c>
      <c r="E205" s="316">
        <v>150.2145922746781</v>
      </c>
      <c r="F205" s="198">
        <f>+Perfils!$G$15</f>
        <v>46.6</v>
      </c>
      <c r="G205" s="199">
        <f t="shared" si="42"/>
        <v>7000</v>
      </c>
      <c r="H205" s="317">
        <v>258.80947640852082</v>
      </c>
      <c r="I205" s="198">
        <f>+Perfils!$G$28</f>
        <v>50.23</v>
      </c>
      <c r="J205" s="199">
        <f t="shared" si="43"/>
        <v>13000</v>
      </c>
      <c r="K205" s="317">
        <v>184.87705675725641</v>
      </c>
      <c r="L205" s="198">
        <f>+Perfils!$G$41</f>
        <v>54.09</v>
      </c>
      <c r="M205" s="199">
        <f t="shared" si="44"/>
        <v>10000</v>
      </c>
      <c r="N205" s="318"/>
      <c r="O205" s="197">
        <f t="shared" si="45"/>
        <v>0</v>
      </c>
      <c r="P205" s="198">
        <f>+Perfils!$G$28</f>
        <v>50.23</v>
      </c>
      <c r="Q205" s="199">
        <v>0</v>
      </c>
      <c r="R205" s="318"/>
      <c r="S205" s="199"/>
      <c r="T205" s="320"/>
      <c r="U205" s="320"/>
      <c r="V205" s="203">
        <f t="shared" si="46"/>
        <v>30000</v>
      </c>
      <c r="W205" s="146"/>
      <c r="X205" s="184"/>
      <c r="Y205" s="184"/>
      <c r="Z205" s="135"/>
    </row>
    <row r="206" spans="1:26" s="205" customFormat="1" ht="30" x14ac:dyDescent="0.25">
      <c r="A206" s="223" t="s">
        <v>395</v>
      </c>
      <c r="B206" s="224" t="s">
        <v>413</v>
      </c>
      <c r="C206" s="221" t="s">
        <v>427</v>
      </c>
      <c r="D206" s="222" t="str">
        <f t="shared" si="47"/>
        <v>Sistemes d'informació, tràmits i gestions (ITACA)</v>
      </c>
      <c r="E206" s="316">
        <v>314.49785407725324</v>
      </c>
      <c r="F206" s="198">
        <f>+Perfils!$G$15</f>
        <v>46.6</v>
      </c>
      <c r="G206" s="199">
        <f t="shared" si="42"/>
        <v>14655.6</v>
      </c>
      <c r="H206" s="317">
        <v>928.5090583316744</v>
      </c>
      <c r="I206" s="198">
        <f>+Perfils!$G$28</f>
        <v>50.23</v>
      </c>
      <c r="J206" s="199">
        <f t="shared" si="43"/>
        <v>46639.01</v>
      </c>
      <c r="K206" s="317">
        <v>406.42262895174707</v>
      </c>
      <c r="L206" s="198">
        <f>+Perfils!$G$41</f>
        <v>54.09</v>
      </c>
      <c r="M206" s="199">
        <f t="shared" si="44"/>
        <v>21983.4</v>
      </c>
      <c r="N206" s="318"/>
      <c r="O206" s="197">
        <f t="shared" si="45"/>
        <v>0</v>
      </c>
      <c r="P206" s="198">
        <f>+Perfils!$G$28</f>
        <v>50.23</v>
      </c>
      <c r="Q206" s="199">
        <v>0</v>
      </c>
      <c r="R206" s="318"/>
      <c r="S206" s="199"/>
      <c r="T206" s="320"/>
      <c r="U206" s="320"/>
      <c r="V206" s="203">
        <f t="shared" si="46"/>
        <v>83278.010000000009</v>
      </c>
      <c r="W206" s="146"/>
      <c r="X206" s="184"/>
      <c r="Y206" s="184"/>
      <c r="Z206" s="135"/>
    </row>
    <row r="207" spans="1:26" s="205" customFormat="1" x14ac:dyDescent="0.25">
      <c r="A207" s="223" t="s">
        <v>390</v>
      </c>
      <c r="B207" s="224" t="s">
        <v>391</v>
      </c>
      <c r="C207" s="221" t="s">
        <v>361</v>
      </c>
      <c r="D207" s="225" t="s">
        <v>396</v>
      </c>
      <c r="E207" s="316">
        <v>134.12017167381973</v>
      </c>
      <c r="F207" s="198">
        <f>+Perfils!$G$15</f>
        <v>46.6</v>
      </c>
      <c r="G207" s="199">
        <f t="shared" si="42"/>
        <v>6250</v>
      </c>
      <c r="H207" s="317">
        <v>273.74079235516626</v>
      </c>
      <c r="I207" s="198">
        <f>+Perfils!$G$28</f>
        <v>50.23</v>
      </c>
      <c r="J207" s="199">
        <f t="shared" si="43"/>
        <v>13750</v>
      </c>
      <c r="K207" s="317">
        <v>92.438528378628206</v>
      </c>
      <c r="L207" s="198">
        <f>+Perfils!$G$41</f>
        <v>54.09</v>
      </c>
      <c r="M207" s="199">
        <f t="shared" si="44"/>
        <v>5000</v>
      </c>
      <c r="N207" s="318"/>
      <c r="O207" s="197">
        <f t="shared" si="45"/>
        <v>0</v>
      </c>
      <c r="P207" s="198">
        <f>+Perfils!$G$28</f>
        <v>50.23</v>
      </c>
      <c r="Q207" s="199">
        <v>0</v>
      </c>
      <c r="R207" s="318"/>
      <c r="S207" s="199"/>
      <c r="T207" s="320"/>
      <c r="U207" s="320"/>
      <c r="V207" s="203">
        <f t="shared" si="46"/>
        <v>25000</v>
      </c>
      <c r="W207" s="146"/>
      <c r="X207" s="184"/>
      <c r="Y207" s="184"/>
      <c r="Z207" s="135"/>
    </row>
    <row r="208" spans="1:26" s="205" customFormat="1" x14ac:dyDescent="0.25">
      <c r="A208" s="223" t="s">
        <v>358</v>
      </c>
      <c r="B208" s="224" t="s">
        <v>364</v>
      </c>
      <c r="C208" s="319" t="s">
        <v>369</v>
      </c>
      <c r="D208" s="222" t="s">
        <v>364</v>
      </c>
      <c r="E208" s="197">
        <v>281.65236051502143</v>
      </c>
      <c r="F208" s="198">
        <f>+Perfils!$G$15</f>
        <v>46.6</v>
      </c>
      <c r="G208" s="199">
        <f t="shared" si="42"/>
        <v>13125</v>
      </c>
      <c r="H208" s="197">
        <v>470.3364523193311</v>
      </c>
      <c r="I208" s="198">
        <f>+Perfils!$G$28</f>
        <v>50.23</v>
      </c>
      <c r="J208" s="199">
        <f t="shared" si="43"/>
        <v>23625</v>
      </c>
      <c r="K208" s="197">
        <v>291.18136439267886</v>
      </c>
      <c r="L208" s="198">
        <f>+Perfils!$G$41</f>
        <v>54.09</v>
      </c>
      <c r="M208" s="199">
        <f t="shared" si="44"/>
        <v>15750</v>
      </c>
      <c r="N208" s="198"/>
      <c r="O208" s="197">
        <f t="shared" si="45"/>
        <v>0</v>
      </c>
      <c r="P208" s="198">
        <f>+Perfils!$G$28</f>
        <v>50.23</v>
      </c>
      <c r="Q208" s="199">
        <v>0</v>
      </c>
      <c r="R208" s="200"/>
      <c r="S208" s="200"/>
      <c r="T208" s="201"/>
      <c r="U208" s="199"/>
      <c r="V208" s="203">
        <f t="shared" si="46"/>
        <v>52500</v>
      </c>
      <c r="W208" s="146"/>
      <c r="X208" s="184"/>
      <c r="Y208" s="184"/>
      <c r="Z208" s="135"/>
    </row>
    <row r="209" spans="1:26" s="205" customFormat="1" x14ac:dyDescent="0.25">
      <c r="A209" s="223" t="s">
        <v>359</v>
      </c>
      <c r="B209" s="224" t="s">
        <v>365</v>
      </c>
      <c r="C209" s="319"/>
      <c r="D209" s="222" t="s">
        <v>370</v>
      </c>
      <c r="E209" s="197">
        <v>32.188841201716734</v>
      </c>
      <c r="F209" s="198">
        <f>+Perfils!$G$15</f>
        <v>46.6</v>
      </c>
      <c r="G209" s="199">
        <f t="shared" si="42"/>
        <v>1500</v>
      </c>
      <c r="H209" s="197">
        <v>53.752737407923554</v>
      </c>
      <c r="I209" s="198">
        <f>+Perfils!$G$28</f>
        <v>50.23</v>
      </c>
      <c r="J209" s="199">
        <f t="shared" si="43"/>
        <v>2700</v>
      </c>
      <c r="K209" s="197">
        <v>33.277870216306155</v>
      </c>
      <c r="L209" s="198">
        <f>+Perfils!$G$41</f>
        <v>54.09</v>
      </c>
      <c r="M209" s="199">
        <f t="shared" si="44"/>
        <v>1800</v>
      </c>
      <c r="N209" s="198"/>
      <c r="O209" s="197">
        <f t="shared" si="45"/>
        <v>0</v>
      </c>
      <c r="P209" s="198">
        <f>+Perfils!$G$28</f>
        <v>50.23</v>
      </c>
      <c r="Q209" s="199">
        <v>0</v>
      </c>
      <c r="R209" s="200"/>
      <c r="S209" s="200"/>
      <c r="T209" s="201"/>
      <c r="U209" s="290"/>
      <c r="V209" s="203">
        <f t="shared" si="46"/>
        <v>6000</v>
      </c>
      <c r="W209" s="146"/>
      <c r="X209" s="184"/>
      <c r="Y209" s="184"/>
      <c r="Z209" s="135"/>
    </row>
    <row r="210" spans="1:26" s="205" customFormat="1" x14ac:dyDescent="0.25">
      <c r="A210" s="223" t="s">
        <v>359</v>
      </c>
      <c r="B210" s="224" t="s">
        <v>365</v>
      </c>
      <c r="C210" s="319"/>
      <c r="D210" s="222" t="s">
        <v>371</v>
      </c>
      <c r="E210" s="197">
        <v>0</v>
      </c>
      <c r="F210" s="198">
        <f>+Perfils!$G$15</f>
        <v>46.6</v>
      </c>
      <c r="G210" s="199">
        <f t="shared" si="42"/>
        <v>0</v>
      </c>
      <c r="H210" s="197">
        <v>597.25263786581729</v>
      </c>
      <c r="I210" s="198">
        <f>+Perfils!$G$28</f>
        <v>50.23</v>
      </c>
      <c r="J210" s="199">
        <f t="shared" si="43"/>
        <v>30000</v>
      </c>
      <c r="K210" s="197">
        <v>0</v>
      </c>
      <c r="L210" s="198">
        <f>+Perfils!$G$41</f>
        <v>54.09</v>
      </c>
      <c r="M210" s="199">
        <f t="shared" si="44"/>
        <v>0</v>
      </c>
      <c r="N210" s="198"/>
      <c r="O210" s="197">
        <f t="shared" si="45"/>
        <v>0</v>
      </c>
      <c r="P210" s="198">
        <f>+Perfils!$G$28</f>
        <v>50.23</v>
      </c>
      <c r="Q210" s="199"/>
      <c r="R210" s="200"/>
      <c r="S210" s="200"/>
      <c r="T210" s="201"/>
      <c r="U210" s="199"/>
      <c r="V210" s="203">
        <f t="shared" si="46"/>
        <v>30000</v>
      </c>
      <c r="W210" s="146"/>
      <c r="X210" s="184"/>
      <c r="Y210" s="184"/>
      <c r="Z210" s="135"/>
    </row>
    <row r="211" spans="1:26" s="205" customFormat="1" x14ac:dyDescent="0.25">
      <c r="A211" s="223" t="s">
        <v>360</v>
      </c>
      <c r="B211" s="224" t="s">
        <v>366</v>
      </c>
      <c r="C211" s="319" t="s">
        <v>372</v>
      </c>
      <c r="D211" s="222" t="s">
        <v>373</v>
      </c>
      <c r="E211" s="197">
        <v>96.566523605150209</v>
      </c>
      <c r="F211" s="198">
        <f>+Perfils!$G$15</f>
        <v>46.6</v>
      </c>
      <c r="G211" s="199">
        <f t="shared" si="42"/>
        <v>4500</v>
      </c>
      <c r="H211" s="197">
        <v>161.25821222377067</v>
      </c>
      <c r="I211" s="198">
        <f>+Perfils!$G$28</f>
        <v>50.23</v>
      </c>
      <c r="J211" s="199">
        <f t="shared" si="43"/>
        <v>8100</v>
      </c>
      <c r="K211" s="197">
        <v>99.83361064891848</v>
      </c>
      <c r="L211" s="198">
        <f>+Perfils!$G$41</f>
        <v>54.09</v>
      </c>
      <c r="M211" s="199">
        <f t="shared" si="44"/>
        <v>5400</v>
      </c>
      <c r="N211" s="198"/>
      <c r="O211" s="197">
        <f t="shared" si="45"/>
        <v>0</v>
      </c>
      <c r="P211" s="198">
        <f>+Perfils!$G$28</f>
        <v>50.23</v>
      </c>
      <c r="Q211" s="199">
        <v>0</v>
      </c>
      <c r="R211" s="200"/>
      <c r="S211" s="200"/>
      <c r="T211" s="201"/>
      <c r="U211" s="290"/>
      <c r="V211" s="203">
        <f t="shared" si="46"/>
        <v>18000</v>
      </c>
      <c r="W211" s="146"/>
      <c r="X211" s="184"/>
      <c r="Y211" s="184"/>
      <c r="Z211" s="135"/>
    </row>
    <row r="212" spans="1:26" s="184" customFormat="1" x14ac:dyDescent="0.25">
      <c r="A212" s="223" t="s">
        <v>361</v>
      </c>
      <c r="B212" s="224" t="s">
        <v>367</v>
      </c>
      <c r="C212" s="319" t="s">
        <v>374</v>
      </c>
      <c r="D212" s="222" t="s">
        <v>367</v>
      </c>
      <c r="E212" s="197">
        <v>67.060085836909863</v>
      </c>
      <c r="F212" s="198">
        <f>+Perfils!$G$15</f>
        <v>46.6</v>
      </c>
      <c r="G212" s="199">
        <f t="shared" si="42"/>
        <v>3125</v>
      </c>
      <c r="H212" s="197">
        <v>111.98486959984074</v>
      </c>
      <c r="I212" s="198">
        <f>+Perfils!$G$28</f>
        <v>50.23</v>
      </c>
      <c r="J212" s="199">
        <f t="shared" si="43"/>
        <v>5625</v>
      </c>
      <c r="K212" s="197">
        <v>69.328896283971162</v>
      </c>
      <c r="L212" s="198">
        <f>+Perfils!$G$41</f>
        <v>54.09</v>
      </c>
      <c r="M212" s="199">
        <f t="shared" si="44"/>
        <v>3750</v>
      </c>
      <c r="N212" s="198"/>
      <c r="O212" s="197">
        <f t="shared" si="45"/>
        <v>0</v>
      </c>
      <c r="P212" s="198">
        <f>+Perfils!$G$28</f>
        <v>50.23</v>
      </c>
      <c r="Q212" s="199">
        <v>0</v>
      </c>
      <c r="R212" s="200"/>
      <c r="S212" s="200"/>
      <c r="T212" s="201"/>
      <c r="U212" s="199"/>
      <c r="V212" s="203">
        <f t="shared" si="46"/>
        <v>12500</v>
      </c>
    </row>
    <row r="213" spans="1:26" s="184" customFormat="1" x14ac:dyDescent="0.25">
      <c r="A213" s="223" t="s">
        <v>376</v>
      </c>
      <c r="B213" s="224" t="s">
        <v>377</v>
      </c>
      <c r="C213" s="319"/>
      <c r="D213" s="222" t="str">
        <f t="shared" ref="D213" si="48">B213</f>
        <v>QDOC. Normes ISO</v>
      </c>
      <c r="E213" s="197">
        <v>0</v>
      </c>
      <c r="F213" s="198">
        <f>+Perfils!$G$15</f>
        <v>46.6</v>
      </c>
      <c r="G213" s="199">
        <f t="shared" si="42"/>
        <v>0</v>
      </c>
      <c r="H213" s="197">
        <v>0</v>
      </c>
      <c r="I213" s="198">
        <f>+Perfils!$G$28</f>
        <v>50.23</v>
      </c>
      <c r="J213" s="199">
        <f t="shared" si="43"/>
        <v>0</v>
      </c>
      <c r="K213" s="197">
        <v>166.38935108153078</v>
      </c>
      <c r="L213" s="198">
        <f>+Perfils!$G$41</f>
        <v>54.09</v>
      </c>
      <c r="M213" s="199">
        <f t="shared" si="44"/>
        <v>9000</v>
      </c>
      <c r="N213" s="198"/>
      <c r="O213" s="197">
        <f t="shared" si="45"/>
        <v>0</v>
      </c>
      <c r="P213" s="198">
        <f>+Perfils!$G$28</f>
        <v>50.23</v>
      </c>
      <c r="Q213" s="199">
        <v>0</v>
      </c>
      <c r="R213" s="200"/>
      <c r="S213" s="200"/>
      <c r="T213" s="201"/>
      <c r="U213" s="290"/>
      <c r="V213" s="203">
        <f t="shared" si="46"/>
        <v>9000</v>
      </c>
    </row>
    <row r="214" spans="1:26" s="184" customFormat="1" x14ac:dyDescent="0.25">
      <c r="A214" s="223" t="s">
        <v>362</v>
      </c>
      <c r="B214" s="224" t="s">
        <v>368</v>
      </c>
      <c r="C214" s="225" t="s">
        <v>416</v>
      </c>
      <c r="D214" s="222" t="s">
        <v>375</v>
      </c>
      <c r="E214" s="197">
        <v>168.99141630901286</v>
      </c>
      <c r="F214" s="198">
        <f>+Perfils!$G$15</f>
        <v>46.6</v>
      </c>
      <c r="G214" s="199">
        <f t="shared" si="42"/>
        <v>7875</v>
      </c>
      <c r="H214" s="197">
        <v>111.98486959984074</v>
      </c>
      <c r="I214" s="198">
        <f>+Perfils!$G$28</f>
        <v>50.23</v>
      </c>
      <c r="J214" s="199">
        <f t="shared" si="43"/>
        <v>5625</v>
      </c>
      <c r="K214" s="197">
        <v>166.38935108153078</v>
      </c>
      <c r="L214" s="198">
        <f>+Perfils!$G$41</f>
        <v>54.09</v>
      </c>
      <c r="M214" s="199">
        <f t="shared" si="44"/>
        <v>9000</v>
      </c>
      <c r="N214" s="198"/>
      <c r="O214" s="197">
        <f t="shared" si="45"/>
        <v>0</v>
      </c>
      <c r="P214" s="198">
        <f>+Perfils!$G$28</f>
        <v>50.23</v>
      </c>
      <c r="Q214" s="199">
        <v>0</v>
      </c>
      <c r="R214" s="200"/>
      <c r="S214" s="200"/>
      <c r="T214" s="201"/>
      <c r="U214" s="199"/>
      <c r="V214" s="203">
        <f t="shared" si="46"/>
        <v>22500</v>
      </c>
    </row>
    <row r="215" spans="1:26" x14ac:dyDescent="0.25">
      <c r="A215" s="223" t="s">
        <v>397</v>
      </c>
      <c r="B215" s="224" t="s">
        <v>398</v>
      </c>
      <c r="C215" s="321" t="s">
        <v>399</v>
      </c>
      <c r="D215" s="222" t="s">
        <v>400</v>
      </c>
      <c r="E215" s="197">
        <v>151.07296137339054</v>
      </c>
      <c r="F215" s="198">
        <f>+Perfils!$G$15</f>
        <v>46.6</v>
      </c>
      <c r="G215" s="199">
        <f t="shared" si="42"/>
        <v>7040</v>
      </c>
      <c r="H215" s="197">
        <v>105.11646426438384</v>
      </c>
      <c r="I215" s="198">
        <f>+Perfils!$G$28</f>
        <v>50.23</v>
      </c>
      <c r="J215" s="199">
        <f t="shared" si="43"/>
        <v>5280</v>
      </c>
      <c r="K215" s="197">
        <v>97.615085967831391</v>
      </c>
      <c r="L215" s="198">
        <f>+Perfils!$G$41</f>
        <v>54.09</v>
      </c>
      <c r="M215" s="199">
        <f t="shared" si="44"/>
        <v>5280</v>
      </c>
      <c r="N215" s="198"/>
      <c r="O215" s="197">
        <f t="shared" si="45"/>
        <v>0</v>
      </c>
      <c r="P215" s="198">
        <f>+Perfils!$G$28</f>
        <v>50.23</v>
      </c>
      <c r="Q215" s="199">
        <v>0</v>
      </c>
      <c r="R215" s="200"/>
      <c r="S215" s="200"/>
      <c r="T215" s="201"/>
      <c r="U215" s="199"/>
      <c r="V215" s="203">
        <f t="shared" si="46"/>
        <v>17600</v>
      </c>
      <c r="X215" s="136"/>
      <c r="Z215" s="135"/>
    </row>
    <row r="216" spans="1:26" ht="30" x14ac:dyDescent="0.25">
      <c r="A216" s="223" t="s">
        <v>397</v>
      </c>
      <c r="B216" s="224" t="s">
        <v>398</v>
      </c>
      <c r="C216" s="321" t="s">
        <v>401</v>
      </c>
      <c r="D216" s="222" t="s">
        <v>402</v>
      </c>
      <c r="E216" s="197">
        <v>145.92274678111588</v>
      </c>
      <c r="F216" s="198">
        <f>+Perfils!$G$15</f>
        <v>46.6</v>
      </c>
      <c r="G216" s="199">
        <f t="shared" si="42"/>
        <v>6800</v>
      </c>
      <c r="H216" s="197">
        <v>135.37726458291857</v>
      </c>
      <c r="I216" s="198">
        <f>+Perfils!$G$28</f>
        <v>50.23</v>
      </c>
      <c r="J216" s="199">
        <f t="shared" si="43"/>
        <v>6800</v>
      </c>
      <c r="K216" s="197">
        <v>44.370493621741538</v>
      </c>
      <c r="L216" s="198">
        <f>+Perfils!$G$41</f>
        <v>54.09</v>
      </c>
      <c r="M216" s="199">
        <f t="shared" si="44"/>
        <v>2400</v>
      </c>
      <c r="N216" s="198"/>
      <c r="O216" s="197">
        <f t="shared" si="45"/>
        <v>0</v>
      </c>
      <c r="P216" s="198">
        <f>+Perfils!$G$28</f>
        <v>50.23</v>
      </c>
      <c r="Q216" s="199">
        <v>0</v>
      </c>
      <c r="R216" s="200"/>
      <c r="S216" s="200"/>
      <c r="T216" s="201"/>
      <c r="U216" s="199"/>
      <c r="V216" s="203">
        <f t="shared" si="46"/>
        <v>16000</v>
      </c>
      <c r="X216" s="136"/>
      <c r="Z216" s="135"/>
    </row>
    <row r="217" spans="1:26" ht="30" x14ac:dyDescent="0.25">
      <c r="A217" s="223" t="s">
        <v>397</v>
      </c>
      <c r="B217" s="224" t="s">
        <v>398</v>
      </c>
      <c r="C217" s="321" t="s">
        <v>401</v>
      </c>
      <c r="D217" s="222" t="s">
        <v>403</v>
      </c>
      <c r="E217" s="197">
        <v>72.961373390557938</v>
      </c>
      <c r="F217" s="198">
        <f>+Perfils!$G$15</f>
        <v>46.6</v>
      </c>
      <c r="G217" s="199">
        <f t="shared" si="42"/>
        <v>3400</v>
      </c>
      <c r="H217" s="197">
        <v>67.688632291459285</v>
      </c>
      <c r="I217" s="198">
        <f>+Perfils!$G$28</f>
        <v>50.23</v>
      </c>
      <c r="J217" s="199">
        <f t="shared" si="43"/>
        <v>3400</v>
      </c>
      <c r="K217" s="197">
        <v>22.185246810870769</v>
      </c>
      <c r="L217" s="198">
        <f>+Perfils!$G$41</f>
        <v>54.09</v>
      </c>
      <c r="M217" s="199">
        <f t="shared" si="44"/>
        <v>1200</v>
      </c>
      <c r="N217" s="198"/>
      <c r="O217" s="197">
        <f t="shared" si="45"/>
        <v>0</v>
      </c>
      <c r="P217" s="198">
        <f>+Perfils!$G$28</f>
        <v>50.23</v>
      </c>
      <c r="Q217" s="199">
        <v>0</v>
      </c>
      <c r="R217" s="200"/>
      <c r="S217" s="200"/>
      <c r="T217" s="201"/>
      <c r="U217" s="199"/>
      <c r="V217" s="203">
        <f t="shared" si="46"/>
        <v>8000</v>
      </c>
      <c r="W217" s="146"/>
      <c r="X217" s="184"/>
      <c r="Y217" s="184"/>
      <c r="Z217" s="135"/>
    </row>
    <row r="218" spans="1:26" s="205" customFormat="1" ht="30" x14ac:dyDescent="0.25">
      <c r="A218" s="227" t="s">
        <v>361</v>
      </c>
      <c r="B218" s="224" t="s">
        <v>418</v>
      </c>
      <c r="C218" s="226" t="s">
        <v>401</v>
      </c>
      <c r="D218" s="225" t="s">
        <v>418</v>
      </c>
      <c r="E218" s="197">
        <v>321.88841201716735</v>
      </c>
      <c r="F218" s="198">
        <f>+Perfils!$G$15</f>
        <v>46.6</v>
      </c>
      <c r="G218" s="199">
        <f t="shared" si="42"/>
        <v>15000</v>
      </c>
      <c r="H218" s="197">
        <v>199.08421262193909</v>
      </c>
      <c r="I218" s="198">
        <f>+Perfils!$G$28</f>
        <v>50.23</v>
      </c>
      <c r="J218" s="199">
        <f t="shared" si="43"/>
        <v>10000</v>
      </c>
      <c r="K218" s="197">
        <v>92.438528378628206</v>
      </c>
      <c r="L218" s="198">
        <f>+Perfils!$G$41</f>
        <v>54.09</v>
      </c>
      <c r="M218" s="199">
        <f t="shared" si="44"/>
        <v>5000</v>
      </c>
      <c r="N218" s="198"/>
      <c r="O218" s="197">
        <f t="shared" si="45"/>
        <v>0</v>
      </c>
      <c r="P218" s="198">
        <f>+Perfils!$G$28</f>
        <v>50.23</v>
      </c>
      <c r="Q218" s="199">
        <v>0</v>
      </c>
      <c r="R218" s="200"/>
      <c r="S218" s="200"/>
      <c r="T218" s="201"/>
      <c r="U218" s="203"/>
      <c r="V218" s="203">
        <f t="shared" si="46"/>
        <v>30000</v>
      </c>
      <c r="W218" s="203"/>
      <c r="X218" s="204"/>
      <c r="Y218" s="204"/>
      <c r="Z218" s="204"/>
    </row>
    <row r="219" spans="1:26" s="184" customFormat="1" x14ac:dyDescent="0.25">
      <c r="A219" s="223" t="s">
        <v>404</v>
      </c>
      <c r="B219" s="224" t="s">
        <v>405</v>
      </c>
      <c r="C219" s="321"/>
      <c r="D219" s="222" t="s">
        <v>406</v>
      </c>
      <c r="E219" s="197">
        <v>53.648068669527895</v>
      </c>
      <c r="F219" s="198">
        <f>+Perfils!$G$15</f>
        <v>46.6</v>
      </c>
      <c r="G219" s="199">
        <f t="shared" si="42"/>
        <v>2500</v>
      </c>
      <c r="H219" s="197">
        <v>885.924746167629</v>
      </c>
      <c r="I219" s="198">
        <f>+Perfils!$G$28</f>
        <v>50.23</v>
      </c>
      <c r="J219" s="199">
        <f t="shared" si="43"/>
        <v>44500</v>
      </c>
      <c r="K219" s="197">
        <v>55.463117027176921</v>
      </c>
      <c r="L219" s="198">
        <f>+Perfils!$G$41</f>
        <v>54.09</v>
      </c>
      <c r="M219" s="199">
        <f t="shared" si="44"/>
        <v>3000</v>
      </c>
      <c r="N219" s="198"/>
      <c r="O219" s="197">
        <f t="shared" si="45"/>
        <v>0</v>
      </c>
      <c r="P219" s="198">
        <f>+Perfils!$G$28</f>
        <v>50.23</v>
      </c>
      <c r="Q219" s="199">
        <v>0</v>
      </c>
      <c r="R219" s="200"/>
      <c r="S219" s="200"/>
      <c r="T219" s="201"/>
      <c r="U219" s="199"/>
      <c r="V219" s="203">
        <f t="shared" si="46"/>
        <v>50000</v>
      </c>
      <c r="W219" s="276"/>
    </row>
    <row r="220" spans="1:26" s="205" customFormat="1" ht="15.75" thickBot="1" x14ac:dyDescent="0.3">
      <c r="A220" s="209"/>
      <c r="B220" s="322"/>
      <c r="C220" s="322"/>
      <c r="D220" s="322"/>
      <c r="E220" s="207">
        <f>SUM(E201:E219)</f>
        <v>3460.1581545064373</v>
      </c>
      <c r="F220" s="317"/>
      <c r="G220" s="323">
        <f>SUM(G201:G219)</f>
        <v>161243.37</v>
      </c>
      <c r="H220" s="207">
        <f>SUM(H201:H219)</f>
        <v>6328.2779215608216</v>
      </c>
      <c r="I220" s="198"/>
      <c r="J220" s="323">
        <f>SUM(J201:J219)</f>
        <v>317869.40000000002</v>
      </c>
      <c r="K220" s="207">
        <f>SUM(K201:K219)</f>
        <v>2853.5143279718982</v>
      </c>
      <c r="L220" s="198"/>
      <c r="M220" s="323">
        <f>SUM(M201:M219)</f>
        <v>154346.59</v>
      </c>
      <c r="N220" s="198"/>
      <c r="O220" s="230">
        <f>SUM(O201:O219)</f>
        <v>0</v>
      </c>
      <c r="P220" s="231"/>
      <c r="Q220" s="293">
        <f>SUM(Q201:Q219)</f>
        <v>0</v>
      </c>
      <c r="R220" s="200"/>
      <c r="S220" s="200"/>
      <c r="T220" s="209"/>
      <c r="U220" s="323">
        <f>SUM(U204:U214)</f>
        <v>0</v>
      </c>
      <c r="V220" s="324">
        <f>SUM(V201:V219)</f>
        <v>633459.36</v>
      </c>
      <c r="W220" s="146"/>
      <c r="X220" s="184"/>
      <c r="Y220" s="184"/>
      <c r="Z220" s="135"/>
    </row>
    <row r="221" spans="1:26" s="205" customFormat="1" ht="15.75" thickBot="1" x14ac:dyDescent="0.3">
      <c r="A221" s="228"/>
      <c r="B221" s="229"/>
      <c r="C221" s="229"/>
      <c r="D221" s="325" t="s">
        <v>199</v>
      </c>
      <c r="E221" s="230">
        <f>(E220/12/8)/20</f>
        <v>1.802165705472103</v>
      </c>
      <c r="F221" s="231"/>
      <c r="G221" s="233"/>
      <c r="H221" s="230">
        <f>(H220/12/8)/20</f>
        <v>3.2959780841462609</v>
      </c>
      <c r="I221" s="233"/>
      <c r="J221" s="233"/>
      <c r="K221" s="230">
        <f>(K220/12/8)/20</f>
        <v>1.4862053791520302</v>
      </c>
      <c r="L221" s="233"/>
      <c r="M221" s="233"/>
      <c r="N221" s="233"/>
      <c r="O221" s="233"/>
      <c r="P221" s="233"/>
      <c r="Q221" s="233"/>
      <c r="R221" s="234"/>
      <c r="S221" s="234"/>
      <c r="T221" s="235"/>
      <c r="U221" s="326"/>
      <c r="V221" s="327"/>
      <c r="W221" s="146"/>
      <c r="X221" s="184"/>
      <c r="Y221" s="184"/>
      <c r="Z221" s="135"/>
    </row>
    <row r="222" spans="1:26" s="205" customFormat="1" x14ac:dyDescent="0.25">
      <c r="A222" s="196"/>
      <c r="B222" s="196"/>
      <c r="C222" s="195"/>
      <c r="D222" s="196"/>
      <c r="E222" s="197"/>
      <c r="F222" s="198"/>
      <c r="G222" s="199"/>
      <c r="H222" s="197"/>
      <c r="I222" s="198"/>
      <c r="J222" s="199"/>
      <c r="K222" s="197"/>
      <c r="L222" s="198"/>
      <c r="M222" s="199"/>
      <c r="N222" s="198"/>
      <c r="O222" s="198"/>
      <c r="P222" s="198"/>
      <c r="Q222" s="198"/>
      <c r="R222" s="200"/>
      <c r="S222" s="200"/>
      <c r="T222" s="201"/>
      <c r="U222" s="203"/>
      <c r="V222" s="203"/>
      <c r="W222" s="146"/>
      <c r="X222" s="184"/>
      <c r="Y222" s="184"/>
      <c r="Z222" s="135"/>
    </row>
    <row r="223" spans="1:26" s="205" customFormat="1" ht="15.75" x14ac:dyDescent="0.25">
      <c r="A223" s="189" t="s">
        <v>116</v>
      </c>
      <c r="B223" s="247"/>
      <c r="C223" s="248"/>
      <c r="D223" s="247"/>
      <c r="E223" s="207">
        <f>E198+E220</f>
        <v>10631.116666666663</v>
      </c>
      <c r="F223" s="207"/>
      <c r="G223" s="249">
        <f>G198+G220</f>
        <v>495410.04</v>
      </c>
      <c r="H223" s="207">
        <f>H198+H220</f>
        <v>23399.749153892102</v>
      </c>
      <c r="I223" s="207"/>
      <c r="J223" s="249">
        <f>J198+J220</f>
        <v>1175369.3999999999</v>
      </c>
      <c r="K223" s="207">
        <f>K198+K220</f>
        <v>7990.631478400197</v>
      </c>
      <c r="L223" s="207"/>
      <c r="M223" s="249">
        <f>M198+M220</f>
        <v>432213.26</v>
      </c>
      <c r="N223" s="249">
        <f>SUM(N158:N197)</f>
        <v>0</v>
      </c>
      <c r="O223" s="249"/>
      <c r="P223" s="249"/>
      <c r="Q223" s="249">
        <f>Q198+Q220</f>
        <v>0</v>
      </c>
      <c r="R223" s="207"/>
      <c r="S223" s="207"/>
      <c r="T223" s="207"/>
      <c r="U223" s="249">
        <f>U198+U220</f>
        <v>2321.4285714285716</v>
      </c>
      <c r="V223" s="249">
        <f>V198+V220</f>
        <v>2105314.1285714284</v>
      </c>
      <c r="W223" s="306"/>
      <c r="X223" s="184"/>
      <c r="Y223" s="184"/>
      <c r="Z223" s="135"/>
    </row>
    <row r="224" spans="1:26" s="205" customFormat="1" x14ac:dyDescent="0.25">
      <c r="A224" s="307"/>
      <c r="B224" s="308"/>
      <c r="C224" s="309"/>
      <c r="D224" s="310"/>
      <c r="E224" s="257"/>
      <c r="F224" s="257"/>
      <c r="G224" s="256">
        <f>G223/V223</f>
        <v>0.23531407179419966</v>
      </c>
      <c r="H224" s="257"/>
      <c r="I224" s="258"/>
      <c r="J224" s="256">
        <f>J223/V223</f>
        <v>0.55828694827481773</v>
      </c>
      <c r="K224" s="257"/>
      <c r="L224" s="258"/>
      <c r="M224" s="256">
        <f>M223/V223</f>
        <v>0.20529632805593745</v>
      </c>
      <c r="N224" s="271"/>
      <c r="O224" s="271"/>
      <c r="P224" s="271"/>
      <c r="Q224" s="271"/>
      <c r="R224" s="311"/>
      <c r="S224" s="311"/>
      <c r="T224" s="266"/>
      <c r="U224" s="312"/>
      <c r="V224" s="184"/>
      <c r="W224" s="146"/>
      <c r="X224" s="184"/>
      <c r="Y224" s="184"/>
      <c r="Z224" s="135"/>
    </row>
    <row r="225" spans="1:26" s="205" customFormat="1" x14ac:dyDescent="0.25">
      <c r="A225" s="259"/>
      <c r="B225" s="260"/>
      <c r="C225" s="261"/>
      <c r="D225" s="262" t="s">
        <v>199</v>
      </c>
      <c r="E225" s="263">
        <f>(E223/12/8)/20</f>
        <v>5.5370399305555535</v>
      </c>
      <c r="F225" s="263"/>
      <c r="G225" s="263"/>
      <c r="H225" s="263">
        <f>(H223/12/8)/20</f>
        <v>12.18736935098547</v>
      </c>
      <c r="I225" s="255"/>
      <c r="J225" s="264"/>
      <c r="K225" s="263">
        <f>(K223/12/8)/20</f>
        <v>4.1617872283334361</v>
      </c>
      <c r="L225" s="258"/>
      <c r="M225" s="257"/>
      <c r="N225" s="257"/>
      <c r="O225" s="257"/>
      <c r="P225" s="257"/>
      <c r="Q225" s="257"/>
      <c r="R225" s="265"/>
      <c r="S225" s="265"/>
      <c r="T225" s="266"/>
      <c r="U225" s="257"/>
      <c r="V225" s="184"/>
      <c r="W225" s="146"/>
      <c r="X225" s="184"/>
      <c r="Y225" s="184"/>
      <c r="Z225" s="135"/>
    </row>
    <row r="226" spans="1:26" s="205" customFormat="1" x14ac:dyDescent="0.25">
      <c r="A226" s="136"/>
      <c r="B226" s="139"/>
      <c r="C226" s="150"/>
      <c r="D226" s="136"/>
      <c r="E226" s="150"/>
      <c r="F226" s="151"/>
      <c r="G226" s="136"/>
      <c r="H226" s="136"/>
      <c r="I226" s="136"/>
      <c r="J226" s="136"/>
      <c r="K226" s="136"/>
      <c r="L226" s="136"/>
      <c r="M226" s="136"/>
      <c r="N226" s="136"/>
      <c r="O226" s="136"/>
      <c r="P226" s="136"/>
      <c r="Q226" s="136"/>
      <c r="R226" s="136"/>
      <c r="S226" s="136"/>
      <c r="T226" s="136"/>
      <c r="U226" s="136"/>
      <c r="V226" s="139"/>
      <c r="W226" s="146"/>
      <c r="X226" s="184"/>
      <c r="Y226" s="184"/>
      <c r="Z226" s="135"/>
    </row>
    <row r="227" spans="1:26" s="205" customFormat="1" ht="14.85" customHeight="1" x14ac:dyDescent="0.25">
      <c r="A227" s="136"/>
      <c r="B227" s="139"/>
      <c r="C227" s="150"/>
      <c r="D227" s="136"/>
      <c r="E227" s="150"/>
      <c r="F227" s="151"/>
      <c r="G227" s="136"/>
      <c r="H227" s="136"/>
      <c r="I227" s="136"/>
      <c r="J227" s="136"/>
      <c r="K227" s="136"/>
      <c r="L227" s="136"/>
      <c r="M227" s="136"/>
      <c r="N227" s="136"/>
      <c r="O227" s="136"/>
      <c r="P227" s="136"/>
      <c r="Q227" s="136"/>
      <c r="R227" s="136"/>
      <c r="S227" s="136"/>
      <c r="T227" s="136"/>
      <c r="U227" s="136"/>
      <c r="V227" s="139"/>
      <c r="W227" s="146"/>
      <c r="X227" s="184"/>
      <c r="Y227" s="184"/>
      <c r="Z227" s="135"/>
    </row>
    <row r="228" spans="1:26" s="205" customFormat="1" ht="15.75" x14ac:dyDescent="0.25">
      <c r="A228" s="181" t="s">
        <v>332</v>
      </c>
      <c r="B228" s="182"/>
      <c r="C228" s="173"/>
      <c r="D228" s="184" t="s">
        <v>206</v>
      </c>
      <c r="E228" s="328">
        <v>8.25</v>
      </c>
      <c r="F228" s="136"/>
      <c r="G228" s="136"/>
      <c r="H228" s="136"/>
      <c r="I228" s="136"/>
      <c r="J228" s="136"/>
      <c r="K228" s="136"/>
      <c r="L228" s="136"/>
      <c r="M228" s="136"/>
      <c r="N228" s="136"/>
      <c r="O228" s="136"/>
      <c r="P228" s="136"/>
      <c r="Q228" s="136"/>
      <c r="R228" s="136"/>
      <c r="S228" s="136"/>
      <c r="T228" s="187"/>
      <c r="U228" s="188"/>
      <c r="V228" s="187"/>
      <c r="W228" s="146"/>
      <c r="X228" s="184"/>
      <c r="Y228" s="184"/>
      <c r="Z228" s="135"/>
    </row>
    <row r="229" spans="1:26" s="205" customFormat="1" ht="63" x14ac:dyDescent="0.25">
      <c r="A229" s="275" t="s">
        <v>0</v>
      </c>
      <c r="B229" s="275" t="s">
        <v>144</v>
      </c>
      <c r="C229" s="190" t="s">
        <v>136</v>
      </c>
      <c r="D229" s="275" t="s">
        <v>138</v>
      </c>
      <c r="E229" s="160" t="s">
        <v>133</v>
      </c>
      <c r="F229" s="191" t="s">
        <v>108</v>
      </c>
      <c r="G229" s="191" t="s">
        <v>2</v>
      </c>
      <c r="H229" s="160" t="s">
        <v>146</v>
      </c>
      <c r="I229" s="191" t="s">
        <v>108</v>
      </c>
      <c r="J229" s="191" t="s">
        <v>15</v>
      </c>
      <c r="K229" s="160" t="s">
        <v>194</v>
      </c>
      <c r="L229" s="191" t="s">
        <v>108</v>
      </c>
      <c r="M229" s="191" t="s">
        <v>195</v>
      </c>
      <c r="N229" s="191" t="s">
        <v>190</v>
      </c>
      <c r="O229" s="191" t="s">
        <v>411</v>
      </c>
      <c r="P229" s="191" t="s">
        <v>108</v>
      </c>
      <c r="Q229" s="191" t="s">
        <v>412</v>
      </c>
      <c r="R229" s="275" t="s">
        <v>147</v>
      </c>
      <c r="S229" s="275" t="s">
        <v>137</v>
      </c>
      <c r="T229" s="189" t="s">
        <v>204</v>
      </c>
      <c r="U229" s="191" t="s">
        <v>198</v>
      </c>
      <c r="V229" s="191" t="s">
        <v>154</v>
      </c>
      <c r="W229" s="146"/>
      <c r="X229" s="184"/>
      <c r="Y229" s="184"/>
      <c r="Z229" s="135"/>
    </row>
    <row r="230" spans="1:26" s="205" customFormat="1" x14ac:dyDescent="0.25">
      <c r="A230" s="194" t="s">
        <v>210</v>
      </c>
      <c r="B230" s="194" t="s">
        <v>211</v>
      </c>
      <c r="C230" s="195" t="s">
        <v>212</v>
      </c>
      <c r="D230" s="196" t="s">
        <v>213</v>
      </c>
      <c r="E230" s="197">
        <v>191.79184549356222</v>
      </c>
      <c r="F230" s="198">
        <f>+Perfils!$G$15</f>
        <v>46.6</v>
      </c>
      <c r="G230" s="199">
        <f t="shared" ref="G230:G269" si="49">+ROUND(E230*F230,2)</f>
        <v>8937.5</v>
      </c>
      <c r="H230" s="197">
        <v>410.6111885327494</v>
      </c>
      <c r="I230" s="198">
        <f>+Perfils!$G$28</f>
        <v>50.23</v>
      </c>
      <c r="J230" s="199">
        <f t="shared" ref="J230:J269" si="50">+ROUND(H230*I230,2)</f>
        <v>20625</v>
      </c>
      <c r="K230" s="197">
        <v>165.23386947679791</v>
      </c>
      <c r="L230" s="198">
        <f>+Perfils!$G$41</f>
        <v>54.09</v>
      </c>
      <c r="M230" s="199">
        <f t="shared" ref="M230:M269" si="51">+ROUND(K230*L230,2)</f>
        <v>8937.5</v>
      </c>
      <c r="N230" s="198">
        <v>0</v>
      </c>
      <c r="O230" s="197">
        <f t="shared" ref="O230:O269" si="52">+Q230/P230</f>
        <v>0</v>
      </c>
      <c r="P230" s="198">
        <f>+Perfils!$G$28</f>
        <v>50.23</v>
      </c>
      <c r="Q230" s="199">
        <v>0</v>
      </c>
      <c r="R230" s="200"/>
      <c r="S230" s="200"/>
      <c r="T230" s="201"/>
      <c r="U230" s="203"/>
      <c r="V230" s="203">
        <f t="shared" ref="V230:V269" si="53">+G230+J230+M230+N230+Q230</f>
        <v>38500</v>
      </c>
      <c r="W230" s="146"/>
      <c r="X230" s="184"/>
      <c r="Y230" s="184"/>
      <c r="Z230" s="135"/>
    </row>
    <row r="231" spans="1:26" s="205" customFormat="1" x14ac:dyDescent="0.25">
      <c r="A231" s="194" t="s">
        <v>210</v>
      </c>
      <c r="B231" s="194" t="s">
        <v>211</v>
      </c>
      <c r="C231" s="195" t="s">
        <v>214</v>
      </c>
      <c r="D231" s="196" t="s">
        <v>215</v>
      </c>
      <c r="E231" s="197">
        <v>118.02575107296137</v>
      </c>
      <c r="F231" s="198">
        <f>+Perfils!$G$15</f>
        <v>46.6</v>
      </c>
      <c r="G231" s="199">
        <f t="shared" si="49"/>
        <v>5500</v>
      </c>
      <c r="H231" s="197">
        <v>342.1759904439578</v>
      </c>
      <c r="I231" s="198">
        <f>+Perfils!$G$28</f>
        <v>50.23</v>
      </c>
      <c r="J231" s="199">
        <f t="shared" si="50"/>
        <v>17187.5</v>
      </c>
      <c r="K231" s="197">
        <v>165.23386947679791</v>
      </c>
      <c r="L231" s="198">
        <f>+Perfils!$G$41</f>
        <v>54.09</v>
      </c>
      <c r="M231" s="199">
        <f t="shared" si="51"/>
        <v>8937.5</v>
      </c>
      <c r="N231" s="198">
        <v>0</v>
      </c>
      <c r="O231" s="197">
        <f t="shared" si="52"/>
        <v>0</v>
      </c>
      <c r="P231" s="198">
        <f>+Perfils!$G$28</f>
        <v>50.23</v>
      </c>
      <c r="Q231" s="199">
        <v>0</v>
      </c>
      <c r="R231" s="200"/>
      <c r="S231" s="200"/>
      <c r="T231" s="201"/>
      <c r="U231" s="203"/>
      <c r="V231" s="203">
        <f t="shared" si="53"/>
        <v>31625</v>
      </c>
      <c r="W231" s="146"/>
      <c r="X231" s="184"/>
      <c r="Y231" s="184"/>
      <c r="Z231" s="135"/>
    </row>
    <row r="232" spans="1:26" s="205" customFormat="1" x14ac:dyDescent="0.25">
      <c r="A232" s="194" t="s">
        <v>210</v>
      </c>
      <c r="B232" s="194" t="s">
        <v>211</v>
      </c>
      <c r="C232" s="195" t="s">
        <v>216</v>
      </c>
      <c r="D232" s="196" t="s">
        <v>217</v>
      </c>
      <c r="E232" s="197">
        <v>147.5321888412017</v>
      </c>
      <c r="F232" s="198">
        <f>+Perfils!$G$15</f>
        <v>46.6</v>
      </c>
      <c r="G232" s="199">
        <f t="shared" si="49"/>
        <v>6875</v>
      </c>
      <c r="H232" s="197">
        <v>410.6111885327494</v>
      </c>
      <c r="I232" s="198">
        <f>+Perfils!$G$28</f>
        <v>50.23</v>
      </c>
      <c r="J232" s="199">
        <f t="shared" si="50"/>
        <v>20625</v>
      </c>
      <c r="K232" s="197">
        <v>279.62654834535033</v>
      </c>
      <c r="L232" s="198">
        <f>+Perfils!$G$41</f>
        <v>54.09</v>
      </c>
      <c r="M232" s="199">
        <f t="shared" si="51"/>
        <v>15125</v>
      </c>
      <c r="N232" s="198">
        <v>0</v>
      </c>
      <c r="O232" s="197">
        <f t="shared" si="52"/>
        <v>0</v>
      </c>
      <c r="P232" s="198">
        <f>+Perfils!$G$28</f>
        <v>50.23</v>
      </c>
      <c r="Q232" s="199">
        <v>0</v>
      </c>
      <c r="R232" s="200"/>
      <c r="S232" s="200"/>
      <c r="T232" s="201"/>
      <c r="U232" s="203"/>
      <c r="V232" s="203">
        <f t="shared" si="53"/>
        <v>42625</v>
      </c>
      <c r="W232" s="146"/>
      <c r="X232" s="184"/>
      <c r="Y232" s="184"/>
      <c r="Z232" s="135"/>
    </row>
    <row r="233" spans="1:26" s="205" customFormat="1" x14ac:dyDescent="0.25">
      <c r="A233" s="194" t="s">
        <v>218</v>
      </c>
      <c r="B233" s="194" t="s">
        <v>219</v>
      </c>
      <c r="C233" s="195" t="s">
        <v>220</v>
      </c>
      <c r="D233" s="196" t="s">
        <v>221</v>
      </c>
      <c r="E233" s="197">
        <v>118.02575107296137</v>
      </c>
      <c r="F233" s="198">
        <f>+Perfils!$G$15</f>
        <v>46.6</v>
      </c>
      <c r="G233" s="199">
        <f t="shared" si="49"/>
        <v>5500</v>
      </c>
      <c r="H233" s="197">
        <v>82.122237706549882</v>
      </c>
      <c r="I233" s="198">
        <f>+Perfils!$G$28</f>
        <v>50.23</v>
      </c>
      <c r="J233" s="199">
        <f t="shared" si="50"/>
        <v>4125</v>
      </c>
      <c r="K233" s="197">
        <v>50.841190608245512</v>
      </c>
      <c r="L233" s="198">
        <f>+Perfils!$G$41</f>
        <v>54.09</v>
      </c>
      <c r="M233" s="199">
        <f t="shared" si="51"/>
        <v>2750</v>
      </c>
      <c r="N233" s="198">
        <v>0</v>
      </c>
      <c r="O233" s="197">
        <f t="shared" si="52"/>
        <v>0</v>
      </c>
      <c r="P233" s="198">
        <f>+Perfils!$G$28</f>
        <v>50.23</v>
      </c>
      <c r="Q233" s="199">
        <v>0</v>
      </c>
      <c r="R233" s="200"/>
      <c r="S233" s="200"/>
      <c r="T233" s="201"/>
      <c r="U233" s="203"/>
      <c r="V233" s="203">
        <f t="shared" si="53"/>
        <v>12375</v>
      </c>
      <c r="W233" s="146"/>
      <c r="X233" s="184"/>
      <c r="Y233" s="184"/>
      <c r="Z233" s="135"/>
    </row>
    <row r="234" spans="1:26" s="205" customFormat="1" x14ac:dyDescent="0.25">
      <c r="A234" s="194" t="s">
        <v>222</v>
      </c>
      <c r="B234" s="194" t="s">
        <v>223</v>
      </c>
      <c r="C234" s="195" t="s">
        <v>224</v>
      </c>
      <c r="D234" s="196" t="s">
        <v>225</v>
      </c>
      <c r="E234" s="197">
        <v>59.012875536480685</v>
      </c>
      <c r="F234" s="198">
        <f>+Perfils!$G$15</f>
        <v>46.6</v>
      </c>
      <c r="G234" s="199">
        <f t="shared" si="49"/>
        <v>2750</v>
      </c>
      <c r="H234" s="197">
        <v>41.061118853274941</v>
      </c>
      <c r="I234" s="198">
        <f>+Perfils!$G$28</f>
        <v>50.23</v>
      </c>
      <c r="J234" s="199">
        <f t="shared" si="50"/>
        <v>2062.5</v>
      </c>
      <c r="K234" s="197">
        <v>25.420595304122756</v>
      </c>
      <c r="L234" s="198">
        <f>+Perfils!$G$41</f>
        <v>54.09</v>
      </c>
      <c r="M234" s="199">
        <f t="shared" si="51"/>
        <v>1375</v>
      </c>
      <c r="N234" s="198">
        <v>0</v>
      </c>
      <c r="O234" s="197">
        <f t="shared" si="52"/>
        <v>0</v>
      </c>
      <c r="P234" s="198">
        <f>+Perfils!$G$28</f>
        <v>50.23</v>
      </c>
      <c r="Q234" s="199">
        <v>0</v>
      </c>
      <c r="R234" s="200"/>
      <c r="S234" s="200"/>
      <c r="T234" s="201"/>
      <c r="U234" s="203"/>
      <c r="V234" s="203">
        <f t="shared" si="53"/>
        <v>6187.5</v>
      </c>
      <c r="W234" s="146"/>
      <c r="X234" s="184"/>
      <c r="Y234" s="184"/>
      <c r="Z234" s="135"/>
    </row>
    <row r="235" spans="1:26" s="205" customFormat="1" x14ac:dyDescent="0.25">
      <c r="A235" s="194" t="s">
        <v>222</v>
      </c>
      <c r="B235" s="194" t="s">
        <v>223</v>
      </c>
      <c r="C235" s="195" t="s">
        <v>226</v>
      </c>
      <c r="D235" s="196" t="s">
        <v>227</v>
      </c>
      <c r="E235" s="197">
        <v>14.753218884120171</v>
      </c>
      <c r="F235" s="198">
        <f>+Perfils!$G$15</f>
        <v>46.6</v>
      </c>
      <c r="G235" s="199">
        <f t="shared" si="49"/>
        <v>687.5</v>
      </c>
      <c r="H235" s="197">
        <v>13.687039617758312</v>
      </c>
      <c r="I235" s="198">
        <f>+Perfils!$G$28</f>
        <v>50.23</v>
      </c>
      <c r="J235" s="199">
        <f t="shared" si="50"/>
        <v>687.5</v>
      </c>
      <c r="K235" s="197">
        <v>6.355148826030689</v>
      </c>
      <c r="L235" s="198">
        <f>+Perfils!$G$41</f>
        <v>54.09</v>
      </c>
      <c r="M235" s="199">
        <f t="shared" si="51"/>
        <v>343.75</v>
      </c>
      <c r="N235" s="198">
        <v>0</v>
      </c>
      <c r="O235" s="197">
        <f t="shared" si="52"/>
        <v>0</v>
      </c>
      <c r="P235" s="198">
        <f>+Perfils!$G$28</f>
        <v>50.23</v>
      </c>
      <c r="Q235" s="199">
        <v>0</v>
      </c>
      <c r="R235" s="200"/>
      <c r="S235" s="200"/>
      <c r="T235" s="201"/>
      <c r="U235" s="203"/>
      <c r="V235" s="203">
        <f t="shared" si="53"/>
        <v>1718.75</v>
      </c>
      <c r="W235" s="146"/>
      <c r="X235" s="184"/>
      <c r="Y235" s="184"/>
      <c r="Z235" s="135"/>
    </row>
    <row r="236" spans="1:26" s="206" customFormat="1" x14ac:dyDescent="0.25">
      <c r="A236" s="194" t="s">
        <v>222</v>
      </c>
      <c r="B236" s="194" t="s">
        <v>223</v>
      </c>
      <c r="C236" s="195" t="s">
        <v>228</v>
      </c>
      <c r="D236" s="196" t="s">
        <v>229</v>
      </c>
      <c r="E236" s="197">
        <v>14.753218884120171</v>
      </c>
      <c r="F236" s="198">
        <f>+Perfils!$G$15</f>
        <v>46.6</v>
      </c>
      <c r="G236" s="199">
        <f t="shared" si="49"/>
        <v>687.5</v>
      </c>
      <c r="H236" s="197">
        <v>13.687039617758312</v>
      </c>
      <c r="I236" s="198">
        <f>+Perfils!$G$28</f>
        <v>50.23</v>
      </c>
      <c r="J236" s="199">
        <f t="shared" si="50"/>
        <v>687.5</v>
      </c>
      <c r="K236" s="197">
        <v>6.355148826030689</v>
      </c>
      <c r="L236" s="198">
        <f>+Perfils!$G$41</f>
        <v>54.09</v>
      </c>
      <c r="M236" s="199">
        <f t="shared" si="51"/>
        <v>343.75</v>
      </c>
      <c r="N236" s="198">
        <v>0</v>
      </c>
      <c r="O236" s="197">
        <f t="shared" si="52"/>
        <v>0</v>
      </c>
      <c r="P236" s="198">
        <f>+Perfils!$G$28</f>
        <v>50.23</v>
      </c>
      <c r="Q236" s="199">
        <v>0</v>
      </c>
      <c r="R236" s="200"/>
      <c r="S236" s="200"/>
      <c r="T236" s="201"/>
      <c r="U236" s="203"/>
      <c r="V236" s="203">
        <f t="shared" si="53"/>
        <v>1718.75</v>
      </c>
      <c r="W236" s="146"/>
      <c r="X236" s="184"/>
      <c r="Y236" s="184"/>
      <c r="Z236" s="135"/>
    </row>
    <row r="237" spans="1:26" s="205" customFormat="1" x14ac:dyDescent="0.25">
      <c r="A237" s="194" t="s">
        <v>230</v>
      </c>
      <c r="B237" s="194" t="s">
        <v>231</v>
      </c>
      <c r="C237" s="195" t="s">
        <v>232</v>
      </c>
      <c r="D237" s="196" t="s">
        <v>233</v>
      </c>
      <c r="E237" s="197">
        <v>59.012875536480685</v>
      </c>
      <c r="F237" s="198">
        <f>+Perfils!$G$15</f>
        <v>46.6</v>
      </c>
      <c r="G237" s="199">
        <f t="shared" si="49"/>
        <v>2750</v>
      </c>
      <c r="H237" s="197">
        <v>410.6111885327494</v>
      </c>
      <c r="I237" s="198">
        <f>+Perfils!$G$28</f>
        <v>50.23</v>
      </c>
      <c r="J237" s="199">
        <f t="shared" si="50"/>
        <v>20625</v>
      </c>
      <c r="K237" s="197">
        <v>38.130892956184134</v>
      </c>
      <c r="L237" s="198">
        <f>+Perfils!$G$41</f>
        <v>54.09</v>
      </c>
      <c r="M237" s="199">
        <f t="shared" si="51"/>
        <v>2062.5</v>
      </c>
      <c r="N237" s="198">
        <v>0</v>
      </c>
      <c r="O237" s="197">
        <f t="shared" si="52"/>
        <v>0</v>
      </c>
      <c r="P237" s="198">
        <f>+Perfils!$G$28</f>
        <v>50.23</v>
      </c>
      <c r="Q237" s="199">
        <v>0</v>
      </c>
      <c r="R237" s="200"/>
      <c r="S237" s="200"/>
      <c r="T237" s="201"/>
      <c r="U237" s="203"/>
      <c r="V237" s="203">
        <f t="shared" si="53"/>
        <v>25437.5</v>
      </c>
      <c r="W237" s="146"/>
      <c r="X237" s="184"/>
      <c r="Y237" s="184"/>
      <c r="Z237" s="135"/>
    </row>
    <row r="238" spans="1:26" s="205" customFormat="1" x14ac:dyDescent="0.25">
      <c r="A238" s="194" t="s">
        <v>234</v>
      </c>
      <c r="B238" s="194" t="s">
        <v>235</v>
      </c>
      <c r="C238" s="195" t="s">
        <v>306</v>
      </c>
      <c r="D238" s="196" t="s">
        <v>307</v>
      </c>
      <c r="E238" s="197">
        <v>59.012875536480685</v>
      </c>
      <c r="F238" s="198">
        <f>+Perfils!$G$15</f>
        <v>46.6</v>
      </c>
      <c r="G238" s="199">
        <f t="shared" si="49"/>
        <v>2750</v>
      </c>
      <c r="H238" s="197">
        <v>82.122237706549882</v>
      </c>
      <c r="I238" s="198">
        <f>+Perfils!$G$28</f>
        <v>50.23</v>
      </c>
      <c r="J238" s="199">
        <f t="shared" si="50"/>
        <v>4125</v>
      </c>
      <c r="K238" s="197">
        <v>25.420595304122756</v>
      </c>
      <c r="L238" s="198">
        <f>+Perfils!$G$41</f>
        <v>54.09</v>
      </c>
      <c r="M238" s="199">
        <f t="shared" si="51"/>
        <v>1375</v>
      </c>
      <c r="N238" s="198">
        <v>0</v>
      </c>
      <c r="O238" s="197">
        <f t="shared" si="52"/>
        <v>0</v>
      </c>
      <c r="P238" s="198">
        <f>+Perfils!$G$28</f>
        <v>50.23</v>
      </c>
      <c r="Q238" s="199">
        <v>0</v>
      </c>
      <c r="R238" s="200"/>
      <c r="S238" s="200"/>
      <c r="T238" s="201"/>
      <c r="U238" s="203"/>
      <c r="V238" s="203">
        <f t="shared" si="53"/>
        <v>8250</v>
      </c>
      <c r="W238" s="146"/>
      <c r="X238" s="184"/>
      <c r="Y238" s="184"/>
      <c r="Z238" s="135"/>
    </row>
    <row r="239" spans="1:26" s="205" customFormat="1" x14ac:dyDescent="0.25">
      <c r="A239" s="194" t="s">
        <v>234</v>
      </c>
      <c r="B239" s="194" t="s">
        <v>235</v>
      </c>
      <c r="C239" s="195" t="s">
        <v>236</v>
      </c>
      <c r="D239" s="196" t="s">
        <v>237</v>
      </c>
      <c r="E239" s="197">
        <v>59.012875536480685</v>
      </c>
      <c r="F239" s="198">
        <f>+Perfils!$G$15</f>
        <v>46.6</v>
      </c>
      <c r="G239" s="199">
        <f t="shared" si="49"/>
        <v>2750</v>
      </c>
      <c r="H239" s="197">
        <v>82.122237706549882</v>
      </c>
      <c r="I239" s="198">
        <f>+Perfils!$G$28</f>
        <v>50.23</v>
      </c>
      <c r="J239" s="199">
        <f t="shared" si="50"/>
        <v>4125</v>
      </c>
      <c r="K239" s="197">
        <v>38.130892956184134</v>
      </c>
      <c r="L239" s="198">
        <f>+Perfils!$G$41</f>
        <v>54.09</v>
      </c>
      <c r="M239" s="199">
        <f t="shared" si="51"/>
        <v>2062.5</v>
      </c>
      <c r="N239" s="198">
        <v>0</v>
      </c>
      <c r="O239" s="197">
        <f t="shared" si="52"/>
        <v>0</v>
      </c>
      <c r="P239" s="198">
        <f>+Perfils!$G$28</f>
        <v>50.23</v>
      </c>
      <c r="Q239" s="199">
        <v>0</v>
      </c>
      <c r="R239" s="200"/>
      <c r="S239" s="200"/>
      <c r="T239" s="201"/>
      <c r="U239" s="203"/>
      <c r="V239" s="203">
        <f t="shared" si="53"/>
        <v>8937.5</v>
      </c>
      <c r="W239" s="146"/>
      <c r="X239" s="184"/>
      <c r="Y239" s="184"/>
      <c r="Z239" s="135"/>
    </row>
    <row r="240" spans="1:26" s="205" customFormat="1" x14ac:dyDescent="0.25">
      <c r="A240" s="194" t="s">
        <v>238</v>
      </c>
      <c r="B240" s="194" t="s">
        <v>239</v>
      </c>
      <c r="C240" s="195" t="s">
        <v>240</v>
      </c>
      <c r="D240" s="196" t="s">
        <v>241</v>
      </c>
      <c r="E240" s="197">
        <v>73.766094420600851</v>
      </c>
      <c r="F240" s="198">
        <f>+Perfils!$G$15</f>
        <v>46.6</v>
      </c>
      <c r="G240" s="199">
        <f t="shared" si="49"/>
        <v>3437.5</v>
      </c>
      <c r="H240" s="197">
        <v>479.04638662154093</v>
      </c>
      <c r="I240" s="198">
        <f>+Perfils!$G$28</f>
        <v>50.23</v>
      </c>
      <c r="J240" s="199">
        <f t="shared" si="50"/>
        <v>24062.5</v>
      </c>
      <c r="K240" s="197">
        <v>76.261785912368268</v>
      </c>
      <c r="L240" s="198">
        <f>+Perfils!$G$41</f>
        <v>54.09</v>
      </c>
      <c r="M240" s="199">
        <f t="shared" si="51"/>
        <v>4125</v>
      </c>
      <c r="N240" s="198">
        <v>0</v>
      </c>
      <c r="O240" s="197">
        <f t="shared" si="52"/>
        <v>0</v>
      </c>
      <c r="P240" s="198">
        <f>+Perfils!$G$28</f>
        <v>50.23</v>
      </c>
      <c r="Q240" s="199">
        <v>0</v>
      </c>
      <c r="R240" s="200"/>
      <c r="S240" s="200"/>
      <c r="T240" s="201"/>
      <c r="U240" s="203"/>
      <c r="V240" s="203">
        <f t="shared" si="53"/>
        <v>31625</v>
      </c>
      <c r="W240" s="146"/>
      <c r="X240" s="184"/>
      <c r="Y240" s="184"/>
      <c r="Z240" s="135"/>
    </row>
    <row r="241" spans="1:26" s="206" customFormat="1" x14ac:dyDescent="0.25">
      <c r="A241" s="194" t="s">
        <v>242</v>
      </c>
      <c r="B241" s="194" t="s">
        <v>243</v>
      </c>
      <c r="C241" s="195" t="s">
        <v>244</v>
      </c>
      <c r="D241" s="196" t="s">
        <v>245</v>
      </c>
      <c r="E241" s="197">
        <v>118.02575107296137</v>
      </c>
      <c r="F241" s="198">
        <f>+Perfils!$G$15</f>
        <v>46.6</v>
      </c>
      <c r="G241" s="199">
        <f t="shared" si="49"/>
        <v>5500</v>
      </c>
      <c r="H241" s="197">
        <v>273.74079235516626</v>
      </c>
      <c r="I241" s="198">
        <f>+Perfils!$G$28</f>
        <v>50.23</v>
      </c>
      <c r="J241" s="199">
        <f t="shared" si="50"/>
        <v>13750</v>
      </c>
      <c r="K241" s="197">
        <v>76.261785912368268</v>
      </c>
      <c r="L241" s="198">
        <f>+Perfils!$G$41</f>
        <v>54.09</v>
      </c>
      <c r="M241" s="199">
        <f t="shared" si="51"/>
        <v>4125</v>
      </c>
      <c r="N241" s="198">
        <v>0</v>
      </c>
      <c r="O241" s="197">
        <f t="shared" si="52"/>
        <v>0</v>
      </c>
      <c r="P241" s="198">
        <f>+Perfils!$G$28</f>
        <v>50.23</v>
      </c>
      <c r="Q241" s="199">
        <v>0</v>
      </c>
      <c r="R241" s="200"/>
      <c r="S241" s="200"/>
      <c r="T241" s="201"/>
      <c r="U241" s="203"/>
      <c r="V241" s="203">
        <f t="shared" si="53"/>
        <v>23375</v>
      </c>
      <c r="W241" s="146"/>
      <c r="X241" s="184"/>
      <c r="Y241" s="184"/>
      <c r="Z241" s="135"/>
    </row>
    <row r="242" spans="1:26" s="206" customFormat="1" x14ac:dyDescent="0.25">
      <c r="A242" s="194" t="s">
        <v>238</v>
      </c>
      <c r="B242" s="194" t="s">
        <v>239</v>
      </c>
      <c r="C242" s="195" t="s">
        <v>246</v>
      </c>
      <c r="D242" s="196" t="s">
        <v>247</v>
      </c>
      <c r="E242" s="197">
        <v>73.766094420600851</v>
      </c>
      <c r="F242" s="198">
        <f>+Perfils!$G$15</f>
        <v>46.6</v>
      </c>
      <c r="G242" s="199">
        <f t="shared" si="49"/>
        <v>3437.5</v>
      </c>
      <c r="H242" s="197">
        <v>82.122237706549882</v>
      </c>
      <c r="I242" s="198">
        <f>+Perfils!$G$28</f>
        <v>50.23</v>
      </c>
      <c r="J242" s="199">
        <f t="shared" si="50"/>
        <v>4125</v>
      </c>
      <c r="K242" s="197">
        <v>50.841190608245512</v>
      </c>
      <c r="L242" s="198">
        <f>+Perfils!$G$41</f>
        <v>54.09</v>
      </c>
      <c r="M242" s="199">
        <f t="shared" si="51"/>
        <v>2750</v>
      </c>
      <c r="N242" s="198">
        <v>0</v>
      </c>
      <c r="O242" s="197">
        <f t="shared" si="52"/>
        <v>0</v>
      </c>
      <c r="P242" s="198">
        <f>+Perfils!$G$28</f>
        <v>50.23</v>
      </c>
      <c r="Q242" s="199">
        <v>0</v>
      </c>
      <c r="R242" s="200"/>
      <c r="S242" s="200"/>
      <c r="T242" s="201"/>
      <c r="U242" s="203"/>
      <c r="V242" s="203">
        <f t="shared" si="53"/>
        <v>10312.5</v>
      </c>
      <c r="W242" s="146"/>
      <c r="X242" s="184"/>
      <c r="Y242" s="184"/>
      <c r="Z242" s="135"/>
    </row>
    <row r="243" spans="1:26" s="205" customFormat="1" x14ac:dyDescent="0.25">
      <c r="A243" s="194" t="s">
        <v>248</v>
      </c>
      <c r="B243" s="194" t="s">
        <v>249</v>
      </c>
      <c r="C243" s="195" t="s">
        <v>250</v>
      </c>
      <c r="D243" s="196" t="s">
        <v>251</v>
      </c>
      <c r="E243" s="197">
        <v>59.012875536480685</v>
      </c>
      <c r="F243" s="198">
        <f>+Perfils!$G$15</f>
        <v>46.6</v>
      </c>
      <c r="G243" s="199">
        <f t="shared" si="49"/>
        <v>2750</v>
      </c>
      <c r="H243" s="197">
        <v>273.74079235516626</v>
      </c>
      <c r="I243" s="198">
        <f>+Perfils!$G$28</f>
        <v>50.23</v>
      </c>
      <c r="J243" s="199">
        <f t="shared" si="50"/>
        <v>13750</v>
      </c>
      <c r="K243" s="197">
        <v>127.10297652061378</v>
      </c>
      <c r="L243" s="198">
        <f>+Perfils!$G$41</f>
        <v>54.09</v>
      </c>
      <c r="M243" s="199">
        <f t="shared" si="51"/>
        <v>6875</v>
      </c>
      <c r="N243" s="198">
        <v>0</v>
      </c>
      <c r="O243" s="197">
        <f t="shared" si="52"/>
        <v>0</v>
      </c>
      <c r="P243" s="198">
        <f>+Perfils!$G$28</f>
        <v>50.23</v>
      </c>
      <c r="Q243" s="199">
        <v>0</v>
      </c>
      <c r="R243" s="200"/>
      <c r="S243" s="200"/>
      <c r="T243" s="201"/>
      <c r="U243" s="203"/>
      <c r="V243" s="203">
        <f t="shared" si="53"/>
        <v>23375</v>
      </c>
      <c r="W243" s="146"/>
      <c r="X243" s="184"/>
      <c r="Y243" s="184"/>
      <c r="Z243" s="135"/>
    </row>
    <row r="244" spans="1:26" s="205" customFormat="1" x14ac:dyDescent="0.25">
      <c r="A244" s="194" t="s">
        <v>286</v>
      </c>
      <c r="B244" s="194" t="s">
        <v>287</v>
      </c>
      <c r="C244" s="195" t="s">
        <v>312</v>
      </c>
      <c r="D244" s="196" t="s">
        <v>313</v>
      </c>
      <c r="E244" s="197">
        <v>29.506437768240342</v>
      </c>
      <c r="F244" s="198">
        <f>+Perfils!$G$15</f>
        <v>46.6</v>
      </c>
      <c r="G244" s="199">
        <f t="shared" si="49"/>
        <v>1375</v>
      </c>
      <c r="H244" s="197">
        <v>54.74815847103325</v>
      </c>
      <c r="I244" s="198">
        <f>+Perfils!$G$28</f>
        <v>50.23</v>
      </c>
      <c r="J244" s="199">
        <f t="shared" si="50"/>
        <v>2750</v>
      </c>
      <c r="K244" s="197">
        <v>88.972083564429653</v>
      </c>
      <c r="L244" s="198">
        <f>+Perfils!$G$41</f>
        <v>54.09</v>
      </c>
      <c r="M244" s="199">
        <f t="shared" si="51"/>
        <v>4812.5</v>
      </c>
      <c r="N244" s="198">
        <v>0</v>
      </c>
      <c r="O244" s="197">
        <f t="shared" si="52"/>
        <v>0</v>
      </c>
      <c r="P244" s="198">
        <f>+Perfils!$G$28</f>
        <v>50.23</v>
      </c>
      <c r="Q244" s="199">
        <v>0</v>
      </c>
      <c r="R244" s="200"/>
      <c r="S244" s="200"/>
      <c r="T244" s="201"/>
      <c r="U244" s="203"/>
      <c r="V244" s="203">
        <f t="shared" si="53"/>
        <v>8937.5</v>
      </c>
      <c r="W244" s="146"/>
      <c r="X244" s="184"/>
      <c r="Y244" s="184"/>
      <c r="Z244" s="135"/>
    </row>
    <row r="245" spans="1:26" s="117" customFormat="1" x14ac:dyDescent="0.25">
      <c r="A245" s="194" t="s">
        <v>230</v>
      </c>
      <c r="B245" s="194" t="s">
        <v>231</v>
      </c>
      <c r="C245" s="195" t="s">
        <v>252</v>
      </c>
      <c r="D245" s="196" t="s">
        <v>253</v>
      </c>
      <c r="E245" s="197">
        <v>73.766094420600851</v>
      </c>
      <c r="F245" s="198">
        <f>+Perfils!$G$15</f>
        <v>46.6</v>
      </c>
      <c r="G245" s="199">
        <f t="shared" si="49"/>
        <v>3437.5</v>
      </c>
      <c r="H245" s="197">
        <v>68.435198088791566</v>
      </c>
      <c r="I245" s="198">
        <f>+Perfils!$G$28</f>
        <v>50.23</v>
      </c>
      <c r="J245" s="199">
        <f t="shared" si="50"/>
        <v>3437.5</v>
      </c>
      <c r="K245" s="197">
        <v>25.420595304122756</v>
      </c>
      <c r="L245" s="198">
        <f>+Perfils!$G$41</f>
        <v>54.09</v>
      </c>
      <c r="M245" s="199">
        <f t="shared" si="51"/>
        <v>1375</v>
      </c>
      <c r="N245" s="198">
        <v>0</v>
      </c>
      <c r="O245" s="197">
        <f t="shared" si="52"/>
        <v>0</v>
      </c>
      <c r="P245" s="198">
        <f>+Perfils!$G$28</f>
        <v>50.23</v>
      </c>
      <c r="Q245" s="199">
        <v>0</v>
      </c>
      <c r="R245" s="200"/>
      <c r="S245" s="200"/>
      <c r="T245" s="201"/>
      <c r="U245" s="203"/>
      <c r="V245" s="203">
        <f t="shared" si="53"/>
        <v>8250</v>
      </c>
      <c r="W245" s="146"/>
      <c r="X245" s="184"/>
      <c r="Y245" s="184"/>
      <c r="Z245" s="135"/>
    </row>
    <row r="246" spans="1:26" s="117" customFormat="1" x14ac:dyDescent="0.25">
      <c r="A246" s="194" t="s">
        <v>230</v>
      </c>
      <c r="B246" s="194" t="s">
        <v>231</v>
      </c>
      <c r="C246" s="195" t="s">
        <v>254</v>
      </c>
      <c r="D246" s="196" t="s">
        <v>255</v>
      </c>
      <c r="E246" s="197">
        <v>73.766094420600851</v>
      </c>
      <c r="F246" s="198">
        <f>+Perfils!$G$15</f>
        <v>46.6</v>
      </c>
      <c r="G246" s="199">
        <f t="shared" si="49"/>
        <v>3437.5</v>
      </c>
      <c r="H246" s="197">
        <v>68.435198088791566</v>
      </c>
      <c r="I246" s="198">
        <f>+Perfils!$G$28</f>
        <v>50.23</v>
      </c>
      <c r="J246" s="199">
        <f t="shared" si="50"/>
        <v>3437.5</v>
      </c>
      <c r="K246" s="197">
        <v>25.420595304122756</v>
      </c>
      <c r="L246" s="198">
        <f>+Perfils!$G$41</f>
        <v>54.09</v>
      </c>
      <c r="M246" s="199">
        <f t="shared" si="51"/>
        <v>1375</v>
      </c>
      <c r="N246" s="198">
        <v>0</v>
      </c>
      <c r="O246" s="197">
        <f t="shared" si="52"/>
        <v>0</v>
      </c>
      <c r="P246" s="198">
        <f>+Perfils!$G$28</f>
        <v>50.23</v>
      </c>
      <c r="Q246" s="199">
        <v>0</v>
      </c>
      <c r="R246" s="200"/>
      <c r="S246" s="200"/>
      <c r="T246" s="201"/>
      <c r="U246" s="203"/>
      <c r="V246" s="203">
        <f t="shared" si="53"/>
        <v>8250</v>
      </c>
      <c r="W246" s="146"/>
      <c r="X246" s="184"/>
      <c r="Y246" s="184"/>
      <c r="Z246" s="135"/>
    </row>
    <row r="247" spans="1:26" s="117" customFormat="1" x14ac:dyDescent="0.25">
      <c r="A247" s="194" t="s">
        <v>230</v>
      </c>
      <c r="B247" s="194" t="s">
        <v>231</v>
      </c>
      <c r="C247" s="195" t="s">
        <v>256</v>
      </c>
      <c r="D247" s="196" t="s">
        <v>257</v>
      </c>
      <c r="E247" s="197">
        <v>29.506437768240342</v>
      </c>
      <c r="F247" s="198">
        <f>+Perfils!$G$15</f>
        <v>46.6</v>
      </c>
      <c r="G247" s="199">
        <f t="shared" si="49"/>
        <v>1375</v>
      </c>
      <c r="H247" s="197">
        <v>27.374079235516625</v>
      </c>
      <c r="I247" s="198">
        <f>+Perfils!$G$28</f>
        <v>50.23</v>
      </c>
      <c r="J247" s="199">
        <f t="shared" si="50"/>
        <v>1375</v>
      </c>
      <c r="K247" s="197">
        <v>13.981327417267517</v>
      </c>
      <c r="L247" s="198">
        <f>+Perfils!$G$41</f>
        <v>54.09</v>
      </c>
      <c r="M247" s="199">
        <f t="shared" si="51"/>
        <v>756.25</v>
      </c>
      <c r="N247" s="198">
        <v>0</v>
      </c>
      <c r="O247" s="197">
        <f t="shared" si="52"/>
        <v>0</v>
      </c>
      <c r="P247" s="198">
        <f>+Perfils!$G$28</f>
        <v>50.23</v>
      </c>
      <c r="Q247" s="199">
        <v>0</v>
      </c>
      <c r="R247" s="200"/>
      <c r="S247" s="200"/>
      <c r="T247" s="201"/>
      <c r="U247" s="203"/>
      <c r="V247" s="203">
        <f t="shared" si="53"/>
        <v>3506.25</v>
      </c>
      <c r="W247" s="146"/>
      <c r="X247" s="184"/>
      <c r="Y247" s="184"/>
      <c r="Z247" s="135"/>
    </row>
    <row r="248" spans="1:26" s="117" customFormat="1" x14ac:dyDescent="0.25">
      <c r="A248" s="194" t="s">
        <v>258</v>
      </c>
      <c r="B248" s="194" t="s">
        <v>259</v>
      </c>
      <c r="C248" s="195" t="s">
        <v>260</v>
      </c>
      <c r="D248" s="196" t="s">
        <v>309</v>
      </c>
      <c r="E248" s="197">
        <v>442.59656652360513</v>
      </c>
      <c r="F248" s="198">
        <f>+Perfils!$G$15</f>
        <v>46.6</v>
      </c>
      <c r="G248" s="199">
        <f t="shared" si="49"/>
        <v>20625</v>
      </c>
      <c r="H248" s="197">
        <v>547.48158471033253</v>
      </c>
      <c r="I248" s="198">
        <f>+Perfils!$G$28</f>
        <v>50.23</v>
      </c>
      <c r="J248" s="199">
        <f t="shared" si="50"/>
        <v>27500</v>
      </c>
      <c r="K248" s="197">
        <v>266.91625069328893</v>
      </c>
      <c r="L248" s="198">
        <f>+Perfils!$G$41</f>
        <v>54.09</v>
      </c>
      <c r="M248" s="199">
        <f t="shared" si="51"/>
        <v>14437.5</v>
      </c>
      <c r="N248" s="198">
        <v>0</v>
      </c>
      <c r="O248" s="197">
        <f t="shared" si="52"/>
        <v>0</v>
      </c>
      <c r="P248" s="198">
        <f>+Perfils!$G$28</f>
        <v>50.23</v>
      </c>
      <c r="Q248" s="199">
        <v>0</v>
      </c>
      <c r="R248" s="200"/>
      <c r="S248" s="200"/>
      <c r="T248" s="201"/>
      <c r="U248" s="203"/>
      <c r="V248" s="203">
        <f t="shared" si="53"/>
        <v>62562.5</v>
      </c>
      <c r="W248" s="146"/>
      <c r="X248" s="184"/>
      <c r="Y248" s="184"/>
      <c r="Z248" s="135"/>
    </row>
    <row r="249" spans="1:26" s="117" customFormat="1" x14ac:dyDescent="0.25">
      <c r="A249" s="194" t="s">
        <v>261</v>
      </c>
      <c r="B249" s="194" t="s">
        <v>262</v>
      </c>
      <c r="C249" s="195" t="s">
        <v>263</v>
      </c>
      <c r="D249" s="196" t="s">
        <v>264</v>
      </c>
      <c r="E249" s="197">
        <v>118.02575107296137</v>
      </c>
      <c r="F249" s="198">
        <f>+Perfils!$G$15</f>
        <v>46.6</v>
      </c>
      <c r="G249" s="199">
        <f t="shared" si="49"/>
        <v>5500</v>
      </c>
      <c r="H249" s="197">
        <v>123.18335655982482</v>
      </c>
      <c r="I249" s="198">
        <f>+Perfils!$G$28</f>
        <v>50.23</v>
      </c>
      <c r="J249" s="199">
        <f t="shared" si="50"/>
        <v>6187.5</v>
      </c>
      <c r="K249" s="197">
        <v>63.55148826030689</v>
      </c>
      <c r="L249" s="198">
        <f>+Perfils!$G$41</f>
        <v>54.09</v>
      </c>
      <c r="M249" s="199">
        <f t="shared" si="51"/>
        <v>3437.5</v>
      </c>
      <c r="N249" s="198">
        <v>0</v>
      </c>
      <c r="O249" s="197">
        <f t="shared" si="52"/>
        <v>0</v>
      </c>
      <c r="P249" s="198">
        <f>+Perfils!$G$28</f>
        <v>50.23</v>
      </c>
      <c r="Q249" s="199">
        <v>0</v>
      </c>
      <c r="R249" s="200"/>
      <c r="S249" s="200"/>
      <c r="T249" s="201"/>
      <c r="U249" s="203"/>
      <c r="V249" s="203">
        <f t="shared" si="53"/>
        <v>15125</v>
      </c>
      <c r="W249" s="186" t="s">
        <v>342</v>
      </c>
      <c r="X249" s="184"/>
      <c r="Y249" s="184"/>
      <c r="Z249" s="184">
        <v>20000</v>
      </c>
    </row>
    <row r="250" spans="1:26" s="117" customFormat="1" x14ac:dyDescent="0.25">
      <c r="A250" s="194" t="s">
        <v>261</v>
      </c>
      <c r="B250" s="194" t="s">
        <v>262</v>
      </c>
      <c r="C250" s="195" t="s">
        <v>265</v>
      </c>
      <c r="D250" s="196" t="s">
        <v>266</v>
      </c>
      <c r="E250" s="197">
        <v>59.012875536480685</v>
      </c>
      <c r="F250" s="198">
        <f>+Perfils!$G$15</f>
        <v>46.6</v>
      </c>
      <c r="G250" s="199">
        <f t="shared" si="49"/>
        <v>2750</v>
      </c>
      <c r="H250" s="197">
        <v>54.74815847103325</v>
      </c>
      <c r="I250" s="198">
        <f>+Perfils!$G$28</f>
        <v>50.23</v>
      </c>
      <c r="J250" s="199">
        <f t="shared" si="50"/>
        <v>2750</v>
      </c>
      <c r="K250" s="197">
        <v>63.55148826030689</v>
      </c>
      <c r="L250" s="198">
        <f>+Perfils!$G$41</f>
        <v>54.09</v>
      </c>
      <c r="M250" s="199">
        <f t="shared" si="51"/>
        <v>3437.5</v>
      </c>
      <c r="N250" s="198">
        <v>0</v>
      </c>
      <c r="O250" s="197">
        <f t="shared" si="52"/>
        <v>0</v>
      </c>
      <c r="P250" s="198">
        <f>+Perfils!$G$28</f>
        <v>50.23</v>
      </c>
      <c r="Q250" s="199">
        <v>0</v>
      </c>
      <c r="R250" s="200"/>
      <c r="S250" s="200"/>
      <c r="T250" s="201"/>
      <c r="U250" s="203"/>
      <c r="V250" s="203">
        <f t="shared" si="53"/>
        <v>8937.5</v>
      </c>
      <c r="W250" s="146"/>
      <c r="X250" s="184"/>
      <c r="Y250" s="184"/>
      <c r="Z250" s="135"/>
    </row>
    <row r="251" spans="1:26" s="117" customFormat="1" x14ac:dyDescent="0.25">
      <c r="A251" s="194" t="s">
        <v>267</v>
      </c>
      <c r="B251" s="194" t="s">
        <v>268</v>
      </c>
      <c r="C251" s="195" t="s">
        <v>269</v>
      </c>
      <c r="D251" s="196" t="s">
        <v>270</v>
      </c>
      <c r="E251" s="197">
        <v>14.753218884120171</v>
      </c>
      <c r="F251" s="198">
        <f>+Perfils!$G$15</f>
        <v>46.6</v>
      </c>
      <c r="G251" s="199">
        <f t="shared" si="49"/>
        <v>687.5</v>
      </c>
      <c r="H251" s="197">
        <v>13.687039617758312</v>
      </c>
      <c r="I251" s="198">
        <f>+Perfils!$G$28</f>
        <v>50.23</v>
      </c>
      <c r="J251" s="199">
        <f t="shared" si="50"/>
        <v>687.5</v>
      </c>
      <c r="K251" s="197">
        <v>7.626178591236827</v>
      </c>
      <c r="L251" s="198">
        <f>+Perfils!$G$41</f>
        <v>54.09</v>
      </c>
      <c r="M251" s="199">
        <f t="shared" si="51"/>
        <v>412.5</v>
      </c>
      <c r="N251" s="198">
        <v>0</v>
      </c>
      <c r="O251" s="197">
        <f t="shared" si="52"/>
        <v>0</v>
      </c>
      <c r="P251" s="198">
        <f>+Perfils!$G$28</f>
        <v>50.23</v>
      </c>
      <c r="Q251" s="199">
        <v>0</v>
      </c>
      <c r="R251" s="200"/>
      <c r="S251" s="200"/>
      <c r="T251" s="201"/>
      <c r="U251" s="203"/>
      <c r="V251" s="203">
        <f t="shared" si="53"/>
        <v>1787.5</v>
      </c>
      <c r="W251" s="146"/>
      <c r="X251" s="184"/>
      <c r="Y251" s="184"/>
      <c r="Z251" s="135"/>
    </row>
    <row r="252" spans="1:26" s="117" customFormat="1" x14ac:dyDescent="0.25">
      <c r="A252" s="194" t="s">
        <v>271</v>
      </c>
      <c r="B252" s="194" t="s">
        <v>272</v>
      </c>
      <c r="C252" s="195" t="s">
        <v>273</v>
      </c>
      <c r="D252" s="196" t="s">
        <v>274</v>
      </c>
      <c r="E252" s="197">
        <v>368.8304721030043</v>
      </c>
      <c r="F252" s="198">
        <f>+Perfils!$G$15</f>
        <v>46.6</v>
      </c>
      <c r="G252" s="199">
        <f t="shared" si="49"/>
        <v>17187.5</v>
      </c>
      <c r="H252" s="197">
        <v>547.48158471033253</v>
      </c>
      <c r="I252" s="198">
        <f>+Perfils!$G$28</f>
        <v>50.23</v>
      </c>
      <c r="J252" s="199">
        <f t="shared" si="50"/>
        <v>27500</v>
      </c>
      <c r="K252" s="197">
        <v>139.81327417267516</v>
      </c>
      <c r="L252" s="198">
        <f>+Perfils!$G$41</f>
        <v>54.09</v>
      </c>
      <c r="M252" s="199">
        <f t="shared" si="51"/>
        <v>7562.5</v>
      </c>
      <c r="N252" s="198">
        <v>0</v>
      </c>
      <c r="O252" s="197">
        <f t="shared" si="52"/>
        <v>0</v>
      </c>
      <c r="P252" s="198">
        <f>+Perfils!$G$28</f>
        <v>50.23</v>
      </c>
      <c r="Q252" s="199">
        <v>0</v>
      </c>
      <c r="R252" s="200"/>
      <c r="S252" s="200"/>
      <c r="T252" s="201"/>
      <c r="U252" s="203"/>
      <c r="V252" s="203">
        <f t="shared" si="53"/>
        <v>52250</v>
      </c>
      <c r="W252" s="146"/>
      <c r="X252" s="184"/>
      <c r="Y252" s="184"/>
      <c r="Z252" s="135"/>
    </row>
    <row r="253" spans="1:26" s="117" customFormat="1" x14ac:dyDescent="0.25">
      <c r="A253" s="194" t="s">
        <v>271</v>
      </c>
      <c r="B253" s="194" t="s">
        <v>272</v>
      </c>
      <c r="C253" s="195" t="s">
        <v>275</v>
      </c>
      <c r="D253" s="196" t="s">
        <v>314</v>
      </c>
      <c r="E253" s="197">
        <v>442.59656652360513</v>
      </c>
      <c r="F253" s="198">
        <f>+Perfils!$G$15</f>
        <v>46.6</v>
      </c>
      <c r="G253" s="199">
        <f t="shared" si="49"/>
        <v>20625</v>
      </c>
      <c r="H253" s="197">
        <v>479.04638662154093</v>
      </c>
      <c r="I253" s="198">
        <f>+Perfils!$G$28</f>
        <v>50.23</v>
      </c>
      <c r="J253" s="199">
        <f t="shared" si="50"/>
        <v>24062.5</v>
      </c>
      <c r="K253" s="197">
        <v>165.23386947679791</v>
      </c>
      <c r="L253" s="198">
        <f>+Perfils!$G$41</f>
        <v>54.09</v>
      </c>
      <c r="M253" s="199">
        <f t="shared" si="51"/>
        <v>8937.5</v>
      </c>
      <c r="N253" s="198">
        <v>0</v>
      </c>
      <c r="O253" s="197">
        <f t="shared" si="52"/>
        <v>0</v>
      </c>
      <c r="P253" s="198">
        <f>+Perfils!$G$28</f>
        <v>50.23</v>
      </c>
      <c r="Q253" s="199">
        <v>0</v>
      </c>
      <c r="R253" s="200"/>
      <c r="S253" s="200"/>
      <c r="T253" s="201"/>
      <c r="U253" s="203"/>
      <c r="V253" s="203">
        <f t="shared" si="53"/>
        <v>53625</v>
      </c>
      <c r="W253" s="146"/>
      <c r="X253" s="184"/>
      <c r="Y253" s="184"/>
      <c r="Z253" s="135"/>
    </row>
    <row r="254" spans="1:26" s="205" customFormat="1" x14ac:dyDescent="0.25">
      <c r="A254" s="194" t="s">
        <v>276</v>
      </c>
      <c r="B254" s="194" t="s">
        <v>277</v>
      </c>
      <c r="C254" s="195" t="s">
        <v>278</v>
      </c>
      <c r="D254" s="196" t="s">
        <v>279</v>
      </c>
      <c r="E254" s="197">
        <v>442.59656652360513</v>
      </c>
      <c r="F254" s="198">
        <f>+Perfils!$G$15</f>
        <v>46.6</v>
      </c>
      <c r="G254" s="199">
        <f t="shared" si="49"/>
        <v>20625</v>
      </c>
      <c r="H254" s="197">
        <v>1231.8335655982482</v>
      </c>
      <c r="I254" s="198">
        <f>+Perfils!$G$28</f>
        <v>50.23</v>
      </c>
      <c r="J254" s="199">
        <f t="shared" si="50"/>
        <v>61875</v>
      </c>
      <c r="K254" s="197">
        <v>317.75744130153447</v>
      </c>
      <c r="L254" s="198">
        <f>+Perfils!$G$41</f>
        <v>54.09</v>
      </c>
      <c r="M254" s="199">
        <f t="shared" si="51"/>
        <v>17187.5</v>
      </c>
      <c r="N254" s="198">
        <v>0</v>
      </c>
      <c r="O254" s="197">
        <f t="shared" si="52"/>
        <v>0</v>
      </c>
      <c r="P254" s="198">
        <f>+Perfils!$G$28</f>
        <v>50.23</v>
      </c>
      <c r="Q254" s="199">
        <v>0</v>
      </c>
      <c r="R254" s="200"/>
      <c r="S254" s="200"/>
      <c r="T254" s="201"/>
      <c r="U254" s="203"/>
      <c r="V254" s="203">
        <f t="shared" si="53"/>
        <v>99687.5</v>
      </c>
      <c r="W254" s="146"/>
      <c r="X254" s="184"/>
      <c r="Y254" s="184"/>
      <c r="Z254" s="135"/>
    </row>
    <row r="255" spans="1:26" s="205" customFormat="1" x14ac:dyDescent="0.25">
      <c r="A255" s="194" t="s">
        <v>276</v>
      </c>
      <c r="B255" s="194" t="s">
        <v>277</v>
      </c>
      <c r="C255" s="195" t="s">
        <v>280</v>
      </c>
      <c r="D255" s="196" t="s">
        <v>281</v>
      </c>
      <c r="E255" s="197">
        <v>103.2725321888412</v>
      </c>
      <c r="F255" s="198">
        <f>+Perfils!$G$15</f>
        <v>46.6</v>
      </c>
      <c r="G255" s="199">
        <f t="shared" si="49"/>
        <v>4812.5</v>
      </c>
      <c r="H255" s="197">
        <v>273.74079235516626</v>
      </c>
      <c r="I255" s="198">
        <f>+Perfils!$G$28</f>
        <v>50.23</v>
      </c>
      <c r="J255" s="199">
        <f t="shared" si="50"/>
        <v>13750</v>
      </c>
      <c r="K255" s="197">
        <v>63.55148826030689</v>
      </c>
      <c r="L255" s="198">
        <f>+Perfils!$G$41</f>
        <v>54.09</v>
      </c>
      <c r="M255" s="199">
        <f t="shared" si="51"/>
        <v>3437.5</v>
      </c>
      <c r="N255" s="198">
        <v>0</v>
      </c>
      <c r="O255" s="197">
        <f t="shared" si="52"/>
        <v>0</v>
      </c>
      <c r="P255" s="198">
        <f>+Perfils!$G$28</f>
        <v>50.23</v>
      </c>
      <c r="Q255" s="199">
        <v>0</v>
      </c>
      <c r="R255" s="200"/>
      <c r="S255" s="200"/>
      <c r="T255" s="201"/>
      <c r="U255" s="203"/>
      <c r="V255" s="203">
        <f t="shared" si="53"/>
        <v>22000</v>
      </c>
      <c r="W255" s="146"/>
      <c r="X255" s="184"/>
      <c r="Y255" s="184"/>
      <c r="Z255" s="135"/>
    </row>
    <row r="256" spans="1:26" s="205" customFormat="1" x14ac:dyDescent="0.25">
      <c r="A256" s="194" t="s">
        <v>276</v>
      </c>
      <c r="B256" s="194" t="s">
        <v>277</v>
      </c>
      <c r="C256" s="195" t="s">
        <v>282</v>
      </c>
      <c r="D256" s="196" t="s">
        <v>283</v>
      </c>
      <c r="E256" s="197">
        <v>368.8304721030043</v>
      </c>
      <c r="F256" s="198">
        <f>+Perfils!$G$15</f>
        <v>46.6</v>
      </c>
      <c r="G256" s="199">
        <f t="shared" si="49"/>
        <v>17187.5</v>
      </c>
      <c r="H256" s="197">
        <v>821.22237706549879</v>
      </c>
      <c r="I256" s="198">
        <f>+Perfils!$G$28</f>
        <v>50.23</v>
      </c>
      <c r="J256" s="199">
        <f t="shared" si="50"/>
        <v>41250</v>
      </c>
      <c r="K256" s="197">
        <v>38.130892956184134</v>
      </c>
      <c r="L256" s="198">
        <f>+Perfils!$G$41</f>
        <v>54.09</v>
      </c>
      <c r="M256" s="199">
        <f t="shared" si="51"/>
        <v>2062.5</v>
      </c>
      <c r="N256" s="198">
        <v>0</v>
      </c>
      <c r="O256" s="197">
        <f t="shared" si="52"/>
        <v>0</v>
      </c>
      <c r="P256" s="198">
        <f>+Perfils!$G$28</f>
        <v>50.23</v>
      </c>
      <c r="Q256" s="199">
        <v>0</v>
      </c>
      <c r="R256" s="200"/>
      <c r="S256" s="200"/>
      <c r="T256" s="201"/>
      <c r="U256" s="203"/>
      <c r="V256" s="203">
        <f t="shared" si="53"/>
        <v>60500</v>
      </c>
      <c r="W256" s="146"/>
      <c r="X256" s="184"/>
      <c r="Y256" s="184"/>
      <c r="Z256" s="135"/>
    </row>
    <row r="257" spans="1:26" s="205" customFormat="1" x14ac:dyDescent="0.25">
      <c r="A257" s="194" t="s">
        <v>276</v>
      </c>
      <c r="B257" s="194" t="s">
        <v>277</v>
      </c>
      <c r="C257" s="195" t="s">
        <v>284</v>
      </c>
      <c r="D257" s="196" t="s">
        <v>285</v>
      </c>
      <c r="E257" s="197">
        <v>0</v>
      </c>
      <c r="F257" s="198">
        <f>+Perfils!$G$15</f>
        <v>46.6</v>
      </c>
      <c r="G257" s="199">
        <f t="shared" si="49"/>
        <v>0</v>
      </c>
      <c r="H257" s="197">
        <v>1094.9631694206651</v>
      </c>
      <c r="I257" s="198">
        <f>+Perfils!$G$28</f>
        <v>50.23</v>
      </c>
      <c r="J257" s="199">
        <f t="shared" si="50"/>
        <v>55000</v>
      </c>
      <c r="K257" s="197">
        <v>38.130892956184134</v>
      </c>
      <c r="L257" s="198">
        <f>+Perfils!$G$41</f>
        <v>54.09</v>
      </c>
      <c r="M257" s="199">
        <f t="shared" si="51"/>
        <v>2062.5</v>
      </c>
      <c r="N257" s="198">
        <v>0</v>
      </c>
      <c r="O257" s="197">
        <f t="shared" si="52"/>
        <v>0</v>
      </c>
      <c r="P257" s="198">
        <f>+Perfils!$G$28</f>
        <v>50.23</v>
      </c>
      <c r="Q257" s="199">
        <v>0</v>
      </c>
      <c r="R257" s="200"/>
      <c r="S257" s="200"/>
      <c r="T257" s="201"/>
      <c r="U257" s="203"/>
      <c r="V257" s="203">
        <f t="shared" si="53"/>
        <v>57062.5</v>
      </c>
      <c r="W257" s="146"/>
      <c r="X257" s="184"/>
      <c r="Y257" s="184"/>
      <c r="Z257" s="135"/>
    </row>
    <row r="258" spans="1:26" s="205" customFormat="1" x14ac:dyDescent="0.25">
      <c r="A258" s="194" t="s">
        <v>286</v>
      </c>
      <c r="B258" s="194" t="s">
        <v>287</v>
      </c>
      <c r="C258" s="195" t="s">
        <v>288</v>
      </c>
      <c r="D258" s="196" t="s">
        <v>289</v>
      </c>
      <c r="E258" s="197">
        <v>147.5321888412017</v>
      </c>
      <c r="F258" s="198">
        <f>+Perfils!$G$15</f>
        <v>46.6</v>
      </c>
      <c r="G258" s="199">
        <f t="shared" si="49"/>
        <v>6875</v>
      </c>
      <c r="H258" s="197">
        <v>547.48158471033253</v>
      </c>
      <c r="I258" s="198">
        <f>+Perfils!$G$28</f>
        <v>50.23</v>
      </c>
      <c r="J258" s="199">
        <f t="shared" si="50"/>
        <v>27500</v>
      </c>
      <c r="K258" s="197">
        <v>139.81327417267516</v>
      </c>
      <c r="L258" s="198">
        <f>+Perfils!$G$41</f>
        <v>54.09</v>
      </c>
      <c r="M258" s="199">
        <f t="shared" si="51"/>
        <v>7562.5</v>
      </c>
      <c r="N258" s="198">
        <v>0</v>
      </c>
      <c r="O258" s="197">
        <f t="shared" si="52"/>
        <v>0</v>
      </c>
      <c r="P258" s="198">
        <f>+Perfils!$G$28</f>
        <v>50.23</v>
      </c>
      <c r="Q258" s="199">
        <v>0</v>
      </c>
      <c r="R258" s="200"/>
      <c r="S258" s="200"/>
      <c r="T258" s="201"/>
      <c r="U258" s="203"/>
      <c r="V258" s="203">
        <f t="shared" si="53"/>
        <v>41937.5</v>
      </c>
      <c r="W258" s="146"/>
      <c r="X258" s="184"/>
      <c r="Y258" s="184"/>
      <c r="Z258" s="135"/>
    </row>
    <row r="259" spans="1:26" s="205" customFormat="1" x14ac:dyDescent="0.25">
      <c r="A259" s="194" t="s">
        <v>290</v>
      </c>
      <c r="B259" s="194" t="s">
        <v>291</v>
      </c>
      <c r="C259" s="195" t="s">
        <v>324</v>
      </c>
      <c r="D259" s="196" t="s">
        <v>292</v>
      </c>
      <c r="E259" s="197">
        <v>147.5321888412017</v>
      </c>
      <c r="F259" s="198">
        <f>+Perfils!$G$15</f>
        <v>46.6</v>
      </c>
      <c r="G259" s="199">
        <f t="shared" si="49"/>
        <v>6875</v>
      </c>
      <c r="H259" s="197">
        <v>218.992633884133</v>
      </c>
      <c r="I259" s="198">
        <f>+Perfils!$G$28</f>
        <v>50.23</v>
      </c>
      <c r="J259" s="199">
        <f t="shared" si="50"/>
        <v>11000</v>
      </c>
      <c r="K259" s="197">
        <v>139.81327417267516</v>
      </c>
      <c r="L259" s="198">
        <f>+Perfils!$G$41</f>
        <v>54.09</v>
      </c>
      <c r="M259" s="199">
        <f t="shared" si="51"/>
        <v>7562.5</v>
      </c>
      <c r="N259" s="198">
        <v>0</v>
      </c>
      <c r="O259" s="197">
        <f t="shared" si="52"/>
        <v>0</v>
      </c>
      <c r="P259" s="198">
        <f>+Perfils!$G$28</f>
        <v>50.23</v>
      </c>
      <c r="Q259" s="199">
        <v>0</v>
      </c>
      <c r="R259" s="200"/>
      <c r="S259" s="200"/>
      <c r="T259" s="201"/>
      <c r="U259" s="203"/>
      <c r="V259" s="203">
        <f t="shared" si="53"/>
        <v>25437.5</v>
      </c>
      <c r="W259" s="146"/>
      <c r="X259" s="184"/>
      <c r="Y259" s="184"/>
      <c r="Z259" s="135"/>
    </row>
    <row r="260" spans="1:26" s="205" customFormat="1" x14ac:dyDescent="0.25">
      <c r="A260" s="194" t="s">
        <v>293</v>
      </c>
      <c r="B260" s="194" t="s">
        <v>294</v>
      </c>
      <c r="C260" s="195" t="s">
        <v>325</v>
      </c>
      <c r="D260" s="196" t="s">
        <v>295</v>
      </c>
      <c r="E260" s="197">
        <v>147.5321888412017</v>
      </c>
      <c r="F260" s="198">
        <f>+Perfils!$G$15</f>
        <v>46.6</v>
      </c>
      <c r="G260" s="199">
        <f t="shared" si="49"/>
        <v>6875</v>
      </c>
      <c r="H260" s="197">
        <v>1313.9558033047981</v>
      </c>
      <c r="I260" s="198">
        <f>+Perfils!$G$28</f>
        <v>50.23</v>
      </c>
      <c r="J260" s="199">
        <f t="shared" si="50"/>
        <v>66000</v>
      </c>
      <c r="K260" s="197">
        <v>254.20595304122756</v>
      </c>
      <c r="L260" s="198">
        <f>+Perfils!$G$41</f>
        <v>54.09</v>
      </c>
      <c r="M260" s="199">
        <f t="shared" si="51"/>
        <v>13750</v>
      </c>
      <c r="N260" s="198">
        <v>0</v>
      </c>
      <c r="O260" s="197">
        <f t="shared" si="52"/>
        <v>0</v>
      </c>
      <c r="P260" s="198">
        <f>+Perfils!$G$28</f>
        <v>50.23</v>
      </c>
      <c r="Q260" s="199">
        <v>0</v>
      </c>
      <c r="R260" s="200">
        <v>45658</v>
      </c>
      <c r="S260" s="200">
        <v>45717</v>
      </c>
      <c r="T260" s="201">
        <v>2</v>
      </c>
      <c r="U260" s="203">
        <v>833.33333333333337</v>
      </c>
      <c r="V260" s="203">
        <f>+G260+J260+M260+N260+U260+Q260</f>
        <v>87458.333333333328</v>
      </c>
      <c r="W260" s="146"/>
      <c r="X260" s="184"/>
      <c r="Y260" s="184"/>
      <c r="Z260" s="135"/>
    </row>
    <row r="261" spans="1:26" s="205" customFormat="1" x14ac:dyDescent="0.25">
      <c r="A261" s="194" t="s">
        <v>276</v>
      </c>
      <c r="B261" s="194" t="s">
        <v>277</v>
      </c>
      <c r="C261" s="195" t="s">
        <v>296</v>
      </c>
      <c r="D261" s="196" t="s">
        <v>315</v>
      </c>
      <c r="E261" s="197">
        <v>132.77896995708153</v>
      </c>
      <c r="F261" s="198">
        <f>+Perfils!$G$15</f>
        <v>46.6</v>
      </c>
      <c r="G261" s="199">
        <f t="shared" si="49"/>
        <v>6187.5</v>
      </c>
      <c r="H261" s="197">
        <v>273.74079235516626</v>
      </c>
      <c r="I261" s="198">
        <f>+Perfils!$G$28</f>
        <v>50.23</v>
      </c>
      <c r="J261" s="199">
        <f t="shared" si="50"/>
        <v>13750</v>
      </c>
      <c r="K261" s="197">
        <v>127.10297652061378</v>
      </c>
      <c r="L261" s="198">
        <f>+Perfils!$G$41</f>
        <v>54.09</v>
      </c>
      <c r="M261" s="199">
        <f t="shared" si="51"/>
        <v>6875</v>
      </c>
      <c r="N261" s="198">
        <v>0</v>
      </c>
      <c r="O261" s="197">
        <f t="shared" si="52"/>
        <v>0</v>
      </c>
      <c r="P261" s="198">
        <f>+Perfils!$G$28</f>
        <v>50.23</v>
      </c>
      <c r="Q261" s="199">
        <v>0</v>
      </c>
      <c r="R261" s="200"/>
      <c r="S261" s="200"/>
      <c r="T261" s="201"/>
      <c r="U261" s="203"/>
      <c r="V261" s="203">
        <f t="shared" si="53"/>
        <v>26812.5</v>
      </c>
      <c r="W261" s="146"/>
      <c r="X261" s="184"/>
      <c r="Y261" s="184"/>
      <c r="Z261" s="135"/>
    </row>
    <row r="262" spans="1:26" s="205" customFormat="1" x14ac:dyDescent="0.25">
      <c r="A262" s="194" t="s">
        <v>276</v>
      </c>
      <c r="B262" s="194" t="s">
        <v>277</v>
      </c>
      <c r="C262" s="195" t="s">
        <v>297</v>
      </c>
      <c r="D262" s="196" t="s">
        <v>298</v>
      </c>
      <c r="E262" s="197">
        <v>44.259656652360512</v>
      </c>
      <c r="F262" s="198">
        <f>+Perfils!$G$15</f>
        <v>46.6</v>
      </c>
      <c r="G262" s="199">
        <f t="shared" si="49"/>
        <v>2062.5</v>
      </c>
      <c r="H262" s="197">
        <v>136.87039617758313</v>
      </c>
      <c r="I262" s="198">
        <f>+Perfils!$G$28</f>
        <v>50.23</v>
      </c>
      <c r="J262" s="199">
        <f t="shared" si="50"/>
        <v>6875</v>
      </c>
      <c r="K262" s="197">
        <v>38.130892956184134</v>
      </c>
      <c r="L262" s="198">
        <f>+Perfils!$G$41</f>
        <v>54.09</v>
      </c>
      <c r="M262" s="199">
        <f t="shared" si="51"/>
        <v>2062.5</v>
      </c>
      <c r="N262" s="198">
        <v>0</v>
      </c>
      <c r="O262" s="197">
        <f t="shared" si="52"/>
        <v>0</v>
      </c>
      <c r="P262" s="198">
        <f>+Perfils!$G$28</f>
        <v>50.23</v>
      </c>
      <c r="Q262" s="199">
        <v>0</v>
      </c>
      <c r="R262" s="200"/>
      <c r="S262" s="200"/>
      <c r="T262" s="201"/>
      <c r="U262" s="203"/>
      <c r="V262" s="203">
        <f t="shared" si="53"/>
        <v>11000</v>
      </c>
      <c r="W262" s="146"/>
      <c r="X262" s="184"/>
      <c r="Y262" s="184"/>
      <c r="Z262" s="135"/>
    </row>
    <row r="263" spans="1:26" s="205" customFormat="1" x14ac:dyDescent="0.25">
      <c r="A263" s="194" t="s">
        <v>276</v>
      </c>
      <c r="B263" s="194" t="s">
        <v>277</v>
      </c>
      <c r="C263" s="195" t="s">
        <v>299</v>
      </c>
      <c r="D263" s="196" t="s">
        <v>300</v>
      </c>
      <c r="E263" s="197">
        <v>73.766094420600851</v>
      </c>
      <c r="F263" s="198">
        <f>+Perfils!$G$15</f>
        <v>46.6</v>
      </c>
      <c r="G263" s="199">
        <f t="shared" si="49"/>
        <v>3437.5</v>
      </c>
      <c r="H263" s="197">
        <v>205.3055942663747</v>
      </c>
      <c r="I263" s="198">
        <f>+Perfils!$G$28</f>
        <v>50.23</v>
      </c>
      <c r="J263" s="199">
        <f t="shared" si="50"/>
        <v>10312.5</v>
      </c>
      <c r="K263" s="197">
        <v>38.130892956184134</v>
      </c>
      <c r="L263" s="198">
        <f>+Perfils!$G$41</f>
        <v>54.09</v>
      </c>
      <c r="M263" s="199">
        <f t="shared" si="51"/>
        <v>2062.5</v>
      </c>
      <c r="N263" s="198">
        <v>0</v>
      </c>
      <c r="O263" s="197">
        <f t="shared" si="52"/>
        <v>0</v>
      </c>
      <c r="P263" s="198">
        <f>+Perfils!$G$28</f>
        <v>50.23</v>
      </c>
      <c r="Q263" s="199">
        <v>0</v>
      </c>
      <c r="R263" s="200"/>
      <c r="S263" s="200"/>
      <c r="T263" s="201"/>
      <c r="U263" s="203"/>
      <c r="V263" s="203">
        <f t="shared" si="53"/>
        <v>15812.5</v>
      </c>
      <c r="W263" s="146"/>
      <c r="X263" s="184"/>
      <c r="Y263" s="184"/>
      <c r="Z263" s="135"/>
    </row>
    <row r="264" spans="1:26" s="205" customFormat="1" x14ac:dyDescent="0.25">
      <c r="A264" s="194" t="s">
        <v>276</v>
      </c>
      <c r="B264" s="194" t="s">
        <v>277</v>
      </c>
      <c r="C264" s="195" t="s">
        <v>316</v>
      </c>
      <c r="D264" s="196" t="s">
        <v>318</v>
      </c>
      <c r="E264" s="197">
        <v>132.77896995708153</v>
      </c>
      <c r="F264" s="198">
        <f>+Perfils!$G$15</f>
        <v>46.6</v>
      </c>
      <c r="G264" s="199">
        <f t="shared" si="49"/>
        <v>6187.5</v>
      </c>
      <c r="H264" s="197">
        <v>123.18335655982482</v>
      </c>
      <c r="I264" s="198">
        <f>+Perfils!$G$28</f>
        <v>50.23</v>
      </c>
      <c r="J264" s="199">
        <f t="shared" si="50"/>
        <v>6187.5</v>
      </c>
      <c r="K264" s="197">
        <v>76.261785912368268</v>
      </c>
      <c r="L264" s="198">
        <f>+Perfils!$G$41</f>
        <v>54.09</v>
      </c>
      <c r="M264" s="199">
        <f t="shared" si="51"/>
        <v>4125</v>
      </c>
      <c r="N264" s="198">
        <v>0</v>
      </c>
      <c r="O264" s="197">
        <f t="shared" si="52"/>
        <v>0</v>
      </c>
      <c r="P264" s="198">
        <f>+Perfils!$G$28</f>
        <v>50.23</v>
      </c>
      <c r="Q264" s="199">
        <v>0</v>
      </c>
      <c r="R264" s="200"/>
      <c r="S264" s="200"/>
      <c r="T264" s="201"/>
      <c r="U264" s="203"/>
      <c r="V264" s="203">
        <f t="shared" si="53"/>
        <v>16500</v>
      </c>
      <c r="W264" s="146"/>
      <c r="X264" s="184"/>
      <c r="Y264" s="184"/>
      <c r="Z264" s="135"/>
    </row>
    <row r="265" spans="1:26" s="205" customFormat="1" x14ac:dyDescent="0.25">
      <c r="A265" s="194" t="s">
        <v>234</v>
      </c>
      <c r="B265" s="194" t="s">
        <v>235</v>
      </c>
      <c r="C265" s="195" t="s">
        <v>317</v>
      </c>
      <c r="D265" s="196" t="s">
        <v>319</v>
      </c>
      <c r="E265" s="197">
        <v>73.766094420600851</v>
      </c>
      <c r="F265" s="198">
        <f>+Perfils!$G$15</f>
        <v>46.6</v>
      </c>
      <c r="G265" s="199">
        <f t="shared" si="49"/>
        <v>3437.5</v>
      </c>
      <c r="H265" s="197">
        <v>68.435198088791566</v>
      </c>
      <c r="I265" s="198">
        <f>+Perfils!$G$28</f>
        <v>50.23</v>
      </c>
      <c r="J265" s="199">
        <f t="shared" si="50"/>
        <v>3437.5</v>
      </c>
      <c r="K265" s="197">
        <v>38.130892956184134</v>
      </c>
      <c r="L265" s="198">
        <f>+Perfils!$G$41</f>
        <v>54.09</v>
      </c>
      <c r="M265" s="199">
        <f t="shared" si="51"/>
        <v>2062.5</v>
      </c>
      <c r="N265" s="198">
        <v>0</v>
      </c>
      <c r="O265" s="197">
        <f t="shared" si="52"/>
        <v>0</v>
      </c>
      <c r="P265" s="198">
        <f>+Perfils!$G$28</f>
        <v>50.23</v>
      </c>
      <c r="Q265" s="199">
        <v>0</v>
      </c>
      <c r="R265" s="200"/>
      <c r="S265" s="200"/>
      <c r="T265" s="201"/>
      <c r="U265" s="203"/>
      <c r="V265" s="203">
        <f t="shared" si="53"/>
        <v>8937.5</v>
      </c>
      <c r="W265" s="146"/>
      <c r="X265" s="184"/>
      <c r="Y265" s="184"/>
      <c r="Z265" s="135"/>
    </row>
    <row r="266" spans="1:26" s="205" customFormat="1" x14ac:dyDescent="0.25">
      <c r="A266" s="194" t="s">
        <v>334</v>
      </c>
      <c r="B266" s="194" t="s">
        <v>333</v>
      </c>
      <c r="C266" s="195" t="s">
        <v>335</v>
      </c>
      <c r="D266" s="196" t="s">
        <v>336</v>
      </c>
      <c r="E266" s="197">
        <v>59.012875536480685</v>
      </c>
      <c r="F266" s="198">
        <f>+Perfils!$G$15</f>
        <v>46.6</v>
      </c>
      <c r="G266" s="199">
        <f t="shared" si="49"/>
        <v>2750</v>
      </c>
      <c r="H266" s="197">
        <v>109.4963169420665</v>
      </c>
      <c r="I266" s="198">
        <f>+Perfils!$G$28</f>
        <v>50.23</v>
      </c>
      <c r="J266" s="199">
        <f t="shared" si="50"/>
        <v>5500</v>
      </c>
      <c r="K266" s="197">
        <v>38.130892956184134</v>
      </c>
      <c r="L266" s="198">
        <f>+Perfils!$G$41</f>
        <v>54.09</v>
      </c>
      <c r="M266" s="199">
        <f t="shared" si="51"/>
        <v>2062.5</v>
      </c>
      <c r="N266" s="198">
        <v>0</v>
      </c>
      <c r="O266" s="197">
        <f t="shared" si="52"/>
        <v>0</v>
      </c>
      <c r="P266" s="198">
        <f>+Perfils!$G$28</f>
        <v>50.23</v>
      </c>
      <c r="Q266" s="199">
        <v>0</v>
      </c>
      <c r="R266" s="200"/>
      <c r="S266" s="200"/>
      <c r="T266" s="201"/>
      <c r="U266" s="203"/>
      <c r="V266" s="203">
        <f t="shared" si="53"/>
        <v>10312.5</v>
      </c>
      <c r="W266" s="146"/>
      <c r="X266" s="184"/>
      <c r="Y266" s="184"/>
      <c r="Z266" s="135"/>
    </row>
    <row r="267" spans="1:26" s="205" customFormat="1" x14ac:dyDescent="0.25">
      <c r="A267" s="194" t="s">
        <v>210</v>
      </c>
      <c r="B267" s="194" t="s">
        <v>211</v>
      </c>
      <c r="C267" s="195" t="s">
        <v>335</v>
      </c>
      <c r="D267" s="196" t="s">
        <v>337</v>
      </c>
      <c r="E267" s="197">
        <v>59.012875536480685</v>
      </c>
      <c r="F267" s="198">
        <f>+Perfils!$G$15</f>
        <v>46.6</v>
      </c>
      <c r="G267" s="199">
        <f t="shared" si="49"/>
        <v>2750</v>
      </c>
      <c r="H267" s="197">
        <v>109.4963169420665</v>
      </c>
      <c r="I267" s="198">
        <f>+Perfils!$G$28</f>
        <v>50.23</v>
      </c>
      <c r="J267" s="199">
        <f t="shared" si="50"/>
        <v>5500</v>
      </c>
      <c r="K267" s="197">
        <v>38.130892956184134</v>
      </c>
      <c r="L267" s="198">
        <f>+Perfils!$G$41</f>
        <v>54.09</v>
      </c>
      <c r="M267" s="199">
        <f t="shared" si="51"/>
        <v>2062.5</v>
      </c>
      <c r="N267" s="198">
        <v>0</v>
      </c>
      <c r="O267" s="197">
        <f t="shared" si="52"/>
        <v>0</v>
      </c>
      <c r="P267" s="198">
        <f>+Perfils!$G$28</f>
        <v>50.23</v>
      </c>
      <c r="Q267" s="199">
        <v>0</v>
      </c>
      <c r="R267" s="200"/>
      <c r="S267" s="200"/>
      <c r="T267" s="201"/>
      <c r="U267" s="203"/>
      <c r="V267" s="203">
        <f t="shared" si="53"/>
        <v>10312.5</v>
      </c>
      <c r="W267" s="146"/>
      <c r="X267" s="184"/>
      <c r="Y267" s="184"/>
      <c r="Z267" s="135"/>
    </row>
    <row r="268" spans="1:26" s="205" customFormat="1" x14ac:dyDescent="0.25">
      <c r="A268" s="194" t="s">
        <v>210</v>
      </c>
      <c r="B268" s="194" t="s">
        <v>235</v>
      </c>
      <c r="C268" s="195" t="s">
        <v>335</v>
      </c>
      <c r="D268" s="196" t="s">
        <v>346</v>
      </c>
      <c r="E268" s="197">
        <v>147.5321888412017</v>
      </c>
      <c r="F268" s="198">
        <f>+Perfils!$G$15</f>
        <v>46.6</v>
      </c>
      <c r="G268" s="199">
        <f t="shared" si="49"/>
        <v>6875</v>
      </c>
      <c r="H268" s="197">
        <v>410.6111885327494</v>
      </c>
      <c r="I268" s="198">
        <f>+Perfils!$G$28</f>
        <v>50.23</v>
      </c>
      <c r="J268" s="199">
        <f t="shared" si="50"/>
        <v>20625</v>
      </c>
      <c r="K268" s="197">
        <v>127.10297652061378</v>
      </c>
      <c r="L268" s="198">
        <f>+Perfils!$G$41</f>
        <v>54.09</v>
      </c>
      <c r="M268" s="199">
        <f t="shared" si="51"/>
        <v>6875</v>
      </c>
      <c r="N268" s="198">
        <v>0</v>
      </c>
      <c r="O268" s="197">
        <f t="shared" si="52"/>
        <v>0</v>
      </c>
      <c r="P268" s="198">
        <f>+Perfils!$G$28</f>
        <v>50.23</v>
      </c>
      <c r="Q268" s="199">
        <v>0</v>
      </c>
      <c r="R268" s="200"/>
      <c r="S268" s="200"/>
      <c r="T268" s="201"/>
      <c r="U268" s="203">
        <f>+(G268+J268+M268)/7*T268*0.25</f>
        <v>0</v>
      </c>
      <c r="V268" s="203">
        <f t="shared" si="53"/>
        <v>34375</v>
      </c>
      <c r="W268" s="146"/>
      <c r="X268" s="184"/>
      <c r="Y268" s="184"/>
      <c r="Z268" s="135"/>
    </row>
    <row r="269" spans="1:26" s="205" customFormat="1" x14ac:dyDescent="0.25">
      <c r="A269" s="194" t="s">
        <v>222</v>
      </c>
      <c r="B269" s="194" t="s">
        <v>223</v>
      </c>
      <c r="C269" s="195" t="s">
        <v>335</v>
      </c>
      <c r="D269" s="196" t="s">
        <v>347</v>
      </c>
      <c r="E269" s="197">
        <v>118.02575107296137</v>
      </c>
      <c r="F269" s="198">
        <f>+Perfils!$G$15</f>
        <v>46.6</v>
      </c>
      <c r="G269" s="199">
        <f t="shared" si="49"/>
        <v>5500</v>
      </c>
      <c r="H269" s="197">
        <v>328.48895082619953</v>
      </c>
      <c r="I269" s="198">
        <f>+Perfils!$G$28</f>
        <v>50.23</v>
      </c>
      <c r="J269" s="199">
        <f t="shared" si="50"/>
        <v>16500</v>
      </c>
      <c r="K269" s="197">
        <v>101.68238121649102</v>
      </c>
      <c r="L269" s="198">
        <f>+Perfils!$G$41</f>
        <v>54.09</v>
      </c>
      <c r="M269" s="199">
        <f t="shared" si="51"/>
        <v>5500</v>
      </c>
      <c r="N269" s="198">
        <v>0</v>
      </c>
      <c r="O269" s="197">
        <f t="shared" si="52"/>
        <v>0</v>
      </c>
      <c r="P269" s="198">
        <f>+Perfils!$G$28</f>
        <v>50.23</v>
      </c>
      <c r="Q269" s="199"/>
      <c r="R269" s="200"/>
      <c r="S269" s="200"/>
      <c r="T269" s="201"/>
      <c r="U269" s="203"/>
      <c r="V269" s="203">
        <f t="shared" si="53"/>
        <v>27500</v>
      </c>
      <c r="W269" s="146"/>
      <c r="X269" s="184"/>
      <c r="Y269" s="184"/>
      <c r="Z269" s="135"/>
    </row>
    <row r="270" spans="1:26" s="205" customFormat="1" x14ac:dyDescent="0.25">
      <c r="A270" s="196"/>
      <c r="B270" s="196"/>
      <c r="C270" s="195"/>
      <c r="D270" s="196"/>
      <c r="E270" s="207">
        <f>SUM(E230:E269)</f>
        <v>5016.094420600858</v>
      </c>
      <c r="F270" s="198"/>
      <c r="G270" s="208">
        <f>SUM(G230:G269)</f>
        <v>233750</v>
      </c>
      <c r="H270" s="207">
        <f>SUM(H230:H269)</f>
        <v>12249.900457893689</v>
      </c>
      <c r="I270" s="198"/>
      <c r="J270" s="208">
        <f>SUM(J230:J269)</f>
        <v>615312.5</v>
      </c>
      <c r="K270" s="207">
        <f>SUM(K230:K269)</f>
        <v>3605.9114438898141</v>
      </c>
      <c r="L270" s="198"/>
      <c r="M270" s="208">
        <f>SUM(M230:M269)</f>
        <v>195043.75</v>
      </c>
      <c r="N270" s="198"/>
      <c r="O270" s="207">
        <f>SUM(O230:O269)</f>
        <v>0</v>
      </c>
      <c r="P270" s="198"/>
      <c r="Q270" s="208">
        <f>SUM(Q230:Q269)</f>
        <v>0</v>
      </c>
      <c r="R270" s="200"/>
      <c r="S270" s="200"/>
      <c r="T270" s="209"/>
      <c r="U270" s="208">
        <f>SUM(U230:U269)</f>
        <v>833.33333333333337</v>
      </c>
      <c r="V270" s="210">
        <f>SUM(V230:V269)</f>
        <v>1044939.5833333334</v>
      </c>
      <c r="W270" s="146"/>
      <c r="X270" s="184"/>
      <c r="Y270" s="184"/>
      <c r="Z270" s="135"/>
    </row>
    <row r="271" spans="1:26" s="205" customFormat="1" x14ac:dyDescent="0.25">
      <c r="A271" s="196"/>
      <c r="B271" s="196"/>
      <c r="C271" s="195"/>
      <c r="D271" s="196" t="s">
        <v>199</v>
      </c>
      <c r="E271" s="207">
        <f>(E270/12/8)/20</f>
        <v>2.6125491773962803</v>
      </c>
      <c r="F271" s="198"/>
      <c r="G271" s="198"/>
      <c r="H271" s="207">
        <f>(H270/12/8)/20</f>
        <v>6.3801564884862962</v>
      </c>
      <c r="I271" s="198"/>
      <c r="J271" s="198"/>
      <c r="K271" s="207">
        <f>(K270/12/8)/20</f>
        <v>1.8780788770259449</v>
      </c>
      <c r="L271" s="198"/>
      <c r="M271" s="198"/>
      <c r="N271" s="198"/>
      <c r="O271" s="198"/>
      <c r="P271" s="198"/>
      <c r="Q271" s="198"/>
      <c r="R271" s="200"/>
      <c r="S271" s="200"/>
      <c r="T271" s="209"/>
      <c r="U271" s="203"/>
      <c r="V271" s="203"/>
      <c r="W271" s="146"/>
      <c r="X271" s="184"/>
      <c r="Y271" s="184"/>
      <c r="Z271" s="135"/>
    </row>
    <row r="272" spans="1:26" s="205" customFormat="1" ht="15.75" thickBot="1" x14ac:dyDescent="0.3">
      <c r="A272" s="211"/>
      <c r="B272" s="211"/>
      <c r="C272" s="212"/>
      <c r="D272" s="211"/>
      <c r="E272" s="213"/>
      <c r="F272" s="214"/>
      <c r="G272" s="215"/>
      <c r="H272" s="213"/>
      <c r="I272" s="214"/>
      <c r="J272" s="215"/>
      <c r="K272" s="213"/>
      <c r="L272" s="214"/>
      <c r="M272" s="215"/>
      <c r="N272" s="214"/>
      <c r="O272" s="214"/>
      <c r="P272" s="214"/>
      <c r="Q272" s="214"/>
      <c r="R272" s="216"/>
      <c r="S272" s="216"/>
      <c r="T272" s="217"/>
      <c r="U272" s="218"/>
      <c r="V272" s="218"/>
      <c r="W272" s="146"/>
      <c r="X272" s="184"/>
      <c r="Y272" s="184"/>
      <c r="Z272" s="135"/>
    </row>
    <row r="273" spans="1:26" s="205" customFormat="1" x14ac:dyDescent="0.25">
      <c r="A273" s="219" t="s">
        <v>383</v>
      </c>
      <c r="B273" s="220" t="s">
        <v>384</v>
      </c>
      <c r="C273" s="329" t="s">
        <v>417</v>
      </c>
      <c r="D273" s="282" t="s">
        <v>385</v>
      </c>
      <c r="E273" s="283">
        <v>442.59656652360513</v>
      </c>
      <c r="F273" s="198">
        <f>+Perfils!$G$15</f>
        <v>46.6</v>
      </c>
      <c r="G273" s="199">
        <f t="shared" ref="G273:G291" si="54">+ROUND(E273*F273,2)</f>
        <v>20625</v>
      </c>
      <c r="H273" s="283">
        <v>205.3055942663747</v>
      </c>
      <c r="I273" s="198">
        <f>+Perfils!$G$28</f>
        <v>50.23</v>
      </c>
      <c r="J273" s="199">
        <f t="shared" ref="J273:J291" si="55">+ROUND(H273*I273,2)</f>
        <v>10312.5</v>
      </c>
      <c r="K273" s="197">
        <v>63.55148826030689</v>
      </c>
      <c r="L273" s="198">
        <f>+Perfils!$G$41</f>
        <v>54.09</v>
      </c>
      <c r="M273" s="199">
        <f t="shared" ref="M273:M291" si="56">+ROUND(K273*L273,2)</f>
        <v>3437.5</v>
      </c>
      <c r="N273" s="284"/>
      <c r="O273" s="197">
        <f t="shared" ref="O273:O291" si="57">+Q273/P273</f>
        <v>0</v>
      </c>
      <c r="P273" s="198">
        <f>+Perfils!$G$28</f>
        <v>50.23</v>
      </c>
      <c r="Q273" s="199">
        <v>0</v>
      </c>
      <c r="R273" s="285"/>
      <c r="S273" s="285"/>
      <c r="T273" s="286"/>
      <c r="U273" s="330"/>
      <c r="V273" s="203">
        <f t="shared" ref="V273:V291" si="58">+G273+J273+M273+N273+Q273</f>
        <v>34375</v>
      </c>
      <c r="W273" s="146"/>
      <c r="X273" s="184"/>
      <c r="Y273" s="184"/>
      <c r="Z273" s="135"/>
    </row>
    <row r="274" spans="1:26" s="205" customFormat="1" x14ac:dyDescent="0.25">
      <c r="A274" s="223" t="s">
        <v>386</v>
      </c>
      <c r="B274" s="224" t="s">
        <v>387</v>
      </c>
      <c r="C274" s="315" t="s">
        <v>388</v>
      </c>
      <c r="D274" s="222" t="s">
        <v>389</v>
      </c>
      <c r="E274" s="197">
        <v>135.43454935622316</v>
      </c>
      <c r="F274" s="198">
        <f>+Perfils!$G$15</f>
        <v>46.6</v>
      </c>
      <c r="G274" s="199">
        <f t="shared" si="54"/>
        <v>6311.25</v>
      </c>
      <c r="H274" s="197">
        <v>100.51761895281705</v>
      </c>
      <c r="I274" s="198">
        <f>+Perfils!$G$28</f>
        <v>50.23</v>
      </c>
      <c r="J274" s="199">
        <f t="shared" si="55"/>
        <v>5049</v>
      </c>
      <c r="K274" s="197">
        <v>23.33610648918469</v>
      </c>
      <c r="L274" s="198">
        <f>+Perfils!$G$41</f>
        <v>54.09</v>
      </c>
      <c r="M274" s="199">
        <f t="shared" si="56"/>
        <v>1262.25</v>
      </c>
      <c r="N274" s="198"/>
      <c r="O274" s="197">
        <f t="shared" si="57"/>
        <v>0</v>
      </c>
      <c r="P274" s="198">
        <f>+Perfils!$G$28</f>
        <v>50.23</v>
      </c>
      <c r="Q274" s="199">
        <v>0</v>
      </c>
      <c r="R274" s="200"/>
      <c r="S274" s="200"/>
      <c r="T274" s="201"/>
      <c r="U274" s="199"/>
      <c r="V274" s="203">
        <f t="shared" si="58"/>
        <v>12622.5</v>
      </c>
      <c r="W274" s="146"/>
      <c r="X274" s="184"/>
      <c r="Y274" s="184"/>
      <c r="Z274" s="135"/>
    </row>
    <row r="275" spans="1:26" s="205" customFormat="1" ht="30" x14ac:dyDescent="0.25">
      <c r="A275" s="223" t="s">
        <v>390</v>
      </c>
      <c r="B275" s="224" t="s">
        <v>391</v>
      </c>
      <c r="C275" s="315" t="s">
        <v>415</v>
      </c>
      <c r="D275" s="222" t="s">
        <v>392</v>
      </c>
      <c r="E275" s="197">
        <v>331.94742489270385</v>
      </c>
      <c r="F275" s="198">
        <f>+Perfils!$G$15</f>
        <v>46.6</v>
      </c>
      <c r="G275" s="199">
        <f t="shared" si="54"/>
        <v>15468.75</v>
      </c>
      <c r="H275" s="197">
        <v>855.43997610989459</v>
      </c>
      <c r="I275" s="198">
        <f>+Perfils!$G$28</f>
        <v>50.23</v>
      </c>
      <c r="J275" s="199">
        <f t="shared" si="55"/>
        <v>42968.75</v>
      </c>
      <c r="K275" s="197">
        <v>508.41190608245512</v>
      </c>
      <c r="L275" s="198">
        <f>+Perfils!$G$41</f>
        <v>54.09</v>
      </c>
      <c r="M275" s="199">
        <f t="shared" si="56"/>
        <v>27500</v>
      </c>
      <c r="N275" s="198"/>
      <c r="O275" s="197">
        <f t="shared" si="57"/>
        <v>0</v>
      </c>
      <c r="P275" s="198">
        <f>+Perfils!$G$28</f>
        <v>50.23</v>
      </c>
      <c r="Q275" s="199">
        <v>0</v>
      </c>
      <c r="R275" s="200"/>
      <c r="S275" s="200"/>
      <c r="T275" s="201"/>
      <c r="U275" s="199"/>
      <c r="V275" s="203">
        <f t="shared" si="58"/>
        <v>85937.5</v>
      </c>
      <c r="W275" s="146"/>
      <c r="X275" s="184"/>
      <c r="Y275" s="184"/>
      <c r="Z275" s="135"/>
    </row>
    <row r="276" spans="1:26" s="205" customFormat="1" x14ac:dyDescent="0.25">
      <c r="A276" s="223" t="s">
        <v>357</v>
      </c>
      <c r="B276" s="224" t="s">
        <v>363</v>
      </c>
      <c r="C276" s="315"/>
      <c r="D276" s="222" t="str">
        <f>B276</f>
        <v>Registre d'activitats i tràmits (RAT)</v>
      </c>
      <c r="E276" s="197">
        <v>55.070372854077256</v>
      </c>
      <c r="F276" s="198">
        <f>+Perfils!$G$15</f>
        <v>46.6</v>
      </c>
      <c r="G276" s="199">
        <f t="shared" si="54"/>
        <v>2566.2800000000002</v>
      </c>
      <c r="H276" s="197">
        <v>157.85796585705754</v>
      </c>
      <c r="I276" s="198">
        <f>+Perfils!$G$28</f>
        <v>50.23</v>
      </c>
      <c r="J276" s="199">
        <f t="shared" si="55"/>
        <v>7929.21</v>
      </c>
      <c r="K276" s="197">
        <v>105.9427458864855</v>
      </c>
      <c r="L276" s="198">
        <f>+Perfils!$G$41</f>
        <v>54.09</v>
      </c>
      <c r="M276" s="199">
        <f t="shared" si="56"/>
        <v>5730.44</v>
      </c>
      <c r="N276" s="198"/>
      <c r="O276" s="197">
        <f t="shared" si="57"/>
        <v>0</v>
      </c>
      <c r="P276" s="198">
        <f>+Perfils!$G$28</f>
        <v>50.23</v>
      </c>
      <c r="Q276" s="199">
        <v>0</v>
      </c>
      <c r="R276" s="200"/>
      <c r="S276" s="200"/>
      <c r="T276" s="201"/>
      <c r="U276" s="199"/>
      <c r="V276" s="203">
        <f t="shared" si="58"/>
        <v>16225.93</v>
      </c>
      <c r="W276" s="146"/>
      <c r="X276" s="184"/>
      <c r="Y276" s="184"/>
      <c r="Z276" s="135"/>
    </row>
    <row r="277" spans="1:26" s="205" customFormat="1" x14ac:dyDescent="0.25">
      <c r="A277" s="223" t="s">
        <v>393</v>
      </c>
      <c r="B277" s="224" t="s">
        <v>394</v>
      </c>
      <c r="C277" s="315"/>
      <c r="D277" s="222" t="str">
        <f t="shared" ref="D277:D278" si="59">B277</f>
        <v>Troballes</v>
      </c>
      <c r="E277" s="197">
        <v>125.40236051502146</v>
      </c>
      <c r="F277" s="198">
        <f>+Perfils!$G$15</f>
        <v>46.6</v>
      </c>
      <c r="G277" s="199">
        <f t="shared" si="54"/>
        <v>5843.75</v>
      </c>
      <c r="H277" s="197">
        <v>212.14911407525383</v>
      </c>
      <c r="I277" s="198">
        <f>+Perfils!$G$28</f>
        <v>50.23</v>
      </c>
      <c r="J277" s="199">
        <f t="shared" si="55"/>
        <v>10656.25</v>
      </c>
      <c r="K277" s="197">
        <v>139.81327417267516</v>
      </c>
      <c r="L277" s="198">
        <f>+Perfils!$G$41</f>
        <v>54.09</v>
      </c>
      <c r="M277" s="199">
        <f t="shared" si="56"/>
        <v>7562.5</v>
      </c>
      <c r="N277" s="198"/>
      <c r="O277" s="197">
        <f t="shared" si="57"/>
        <v>0</v>
      </c>
      <c r="P277" s="198">
        <f>+Perfils!$G$28</f>
        <v>50.23</v>
      </c>
      <c r="Q277" s="199">
        <v>0</v>
      </c>
      <c r="R277" s="200"/>
      <c r="S277" s="200"/>
      <c r="T277" s="201"/>
      <c r="U277" s="199"/>
      <c r="V277" s="203">
        <f t="shared" si="58"/>
        <v>24062.5</v>
      </c>
      <c r="W277" s="146"/>
      <c r="X277" s="184"/>
      <c r="Y277" s="184"/>
      <c r="Z277" s="135"/>
    </row>
    <row r="278" spans="1:26" s="205" customFormat="1" x14ac:dyDescent="0.25">
      <c r="A278" s="223" t="s">
        <v>395</v>
      </c>
      <c r="B278" s="224" t="s">
        <v>428</v>
      </c>
      <c r="C278" s="221" t="s">
        <v>427</v>
      </c>
      <c r="D278" s="222" t="str">
        <f t="shared" si="59"/>
        <v>Sistemes d'informació, tràmits i gestions(ITACA)</v>
      </c>
      <c r="E278" s="197">
        <v>368.8304721030043</v>
      </c>
      <c r="F278" s="198">
        <f>+Perfils!$G$15</f>
        <v>46.6</v>
      </c>
      <c r="G278" s="199">
        <f t="shared" si="54"/>
        <v>17187.5</v>
      </c>
      <c r="H278" s="197">
        <v>855.43997610989459</v>
      </c>
      <c r="I278" s="198">
        <f>+Perfils!$G$28</f>
        <v>50.23</v>
      </c>
      <c r="J278" s="199">
        <f t="shared" si="55"/>
        <v>42968.75</v>
      </c>
      <c r="K278" s="197">
        <v>476.63616195230168</v>
      </c>
      <c r="L278" s="198">
        <f>+Perfils!$G$41</f>
        <v>54.09</v>
      </c>
      <c r="M278" s="199">
        <f t="shared" si="56"/>
        <v>25781.25</v>
      </c>
      <c r="N278" s="198"/>
      <c r="O278" s="197">
        <f t="shared" si="57"/>
        <v>0</v>
      </c>
      <c r="P278" s="198">
        <f>+Perfils!$G$28</f>
        <v>50.23</v>
      </c>
      <c r="Q278" s="199">
        <v>0</v>
      </c>
      <c r="R278" s="200"/>
      <c r="S278" s="200"/>
      <c r="T278" s="201"/>
      <c r="U278" s="199"/>
      <c r="V278" s="203">
        <f t="shared" si="58"/>
        <v>85937.5</v>
      </c>
      <c r="W278" s="146"/>
      <c r="X278" s="184"/>
      <c r="Y278" s="184"/>
      <c r="Z278" s="135"/>
    </row>
    <row r="279" spans="1:26" s="205" customFormat="1" x14ac:dyDescent="0.25">
      <c r="A279" s="223" t="s">
        <v>390</v>
      </c>
      <c r="B279" s="224" t="s">
        <v>391</v>
      </c>
      <c r="C279" s="221" t="s">
        <v>361</v>
      </c>
      <c r="D279" s="225" t="s">
        <v>396</v>
      </c>
      <c r="E279" s="197">
        <v>55.324570815450642</v>
      </c>
      <c r="F279" s="198">
        <f>+Perfils!$G$15</f>
        <v>46.6</v>
      </c>
      <c r="G279" s="199">
        <f t="shared" si="54"/>
        <v>2578.13</v>
      </c>
      <c r="H279" s="197">
        <v>112.91807684650608</v>
      </c>
      <c r="I279" s="198">
        <f>+Perfils!$G$28</f>
        <v>50.23</v>
      </c>
      <c r="J279" s="199">
        <f t="shared" si="55"/>
        <v>5671.88</v>
      </c>
      <c r="K279" s="197">
        <v>38.130892956184134</v>
      </c>
      <c r="L279" s="198">
        <f>+Perfils!$G$41</f>
        <v>54.09</v>
      </c>
      <c r="M279" s="199">
        <f t="shared" si="56"/>
        <v>2062.5</v>
      </c>
      <c r="N279" s="198"/>
      <c r="O279" s="197">
        <f t="shared" si="57"/>
        <v>0</v>
      </c>
      <c r="P279" s="198">
        <f>+Perfils!$G$28</f>
        <v>50.23</v>
      </c>
      <c r="Q279" s="199">
        <v>0</v>
      </c>
      <c r="R279" s="200"/>
      <c r="S279" s="200"/>
      <c r="T279" s="201"/>
      <c r="U279" s="199"/>
      <c r="V279" s="203">
        <f t="shared" si="58"/>
        <v>10312.51</v>
      </c>
      <c r="W279" s="146"/>
      <c r="X279" s="184"/>
      <c r="Y279" s="184"/>
      <c r="Z279" s="135"/>
    </row>
    <row r="280" spans="1:26" s="205" customFormat="1" x14ac:dyDescent="0.25">
      <c r="A280" s="223" t="s">
        <v>358</v>
      </c>
      <c r="B280" s="224" t="s">
        <v>364</v>
      </c>
      <c r="C280" s="315" t="s">
        <v>369</v>
      </c>
      <c r="D280" s="222" t="s">
        <v>364</v>
      </c>
      <c r="E280" s="197">
        <v>193.63599785407726</v>
      </c>
      <c r="F280" s="198">
        <f>+Perfils!$G$15</f>
        <v>46.6</v>
      </c>
      <c r="G280" s="199">
        <f t="shared" si="54"/>
        <v>9023.44</v>
      </c>
      <c r="H280" s="197">
        <v>323.35631096954012</v>
      </c>
      <c r="I280" s="198">
        <f>+Perfils!$G$28</f>
        <v>50.23</v>
      </c>
      <c r="J280" s="199">
        <f t="shared" si="55"/>
        <v>16242.19</v>
      </c>
      <c r="K280" s="197">
        <v>200.1871880199667</v>
      </c>
      <c r="L280" s="198">
        <f>+Perfils!$G$41</f>
        <v>54.09</v>
      </c>
      <c r="M280" s="199">
        <f t="shared" si="56"/>
        <v>10828.13</v>
      </c>
      <c r="N280" s="198"/>
      <c r="O280" s="197">
        <f t="shared" si="57"/>
        <v>0</v>
      </c>
      <c r="P280" s="198">
        <f>+Perfils!$G$28</f>
        <v>50.23</v>
      </c>
      <c r="Q280" s="199">
        <v>0</v>
      </c>
      <c r="R280" s="200"/>
      <c r="S280" s="200"/>
      <c r="T280" s="201"/>
      <c r="U280" s="199"/>
      <c r="V280" s="203">
        <f t="shared" si="58"/>
        <v>36093.760000000002</v>
      </c>
      <c r="W280" s="146"/>
      <c r="X280" s="184"/>
      <c r="Y280" s="184"/>
      <c r="Z280" s="135"/>
    </row>
    <row r="281" spans="1:26" s="205" customFormat="1" x14ac:dyDescent="0.25">
      <c r="A281" s="223" t="s">
        <v>359</v>
      </c>
      <c r="B281" s="224" t="s">
        <v>365</v>
      </c>
      <c r="C281" s="315"/>
      <c r="D281" s="222" t="s">
        <v>370</v>
      </c>
      <c r="E281" s="197">
        <v>22.129828326180256</v>
      </c>
      <c r="F281" s="198">
        <f>+Perfils!$G$15</f>
        <v>46.6</v>
      </c>
      <c r="G281" s="199">
        <f t="shared" si="54"/>
        <v>1031.25</v>
      </c>
      <c r="H281" s="197">
        <v>36.955006967947448</v>
      </c>
      <c r="I281" s="198">
        <f>+Perfils!$G$28</f>
        <v>50.23</v>
      </c>
      <c r="J281" s="199">
        <f t="shared" si="55"/>
        <v>1856.25</v>
      </c>
      <c r="K281" s="197">
        <v>22.878535773710482</v>
      </c>
      <c r="L281" s="198">
        <f>+Perfils!$G$41</f>
        <v>54.09</v>
      </c>
      <c r="M281" s="199">
        <f t="shared" si="56"/>
        <v>1237.5</v>
      </c>
      <c r="N281" s="198"/>
      <c r="O281" s="197">
        <f t="shared" si="57"/>
        <v>0</v>
      </c>
      <c r="P281" s="198">
        <f>+Perfils!$G$28</f>
        <v>50.23</v>
      </c>
      <c r="Q281" s="199">
        <v>0</v>
      </c>
      <c r="R281" s="200"/>
      <c r="S281" s="200"/>
      <c r="T281" s="201"/>
      <c r="U281" s="199"/>
      <c r="V281" s="203">
        <f t="shared" si="58"/>
        <v>4125</v>
      </c>
      <c r="W281" s="146"/>
      <c r="X281" s="184"/>
      <c r="Y281" s="184"/>
      <c r="Z281" s="135"/>
    </row>
    <row r="282" spans="1:26" s="205" customFormat="1" x14ac:dyDescent="0.25">
      <c r="A282" s="223" t="s">
        <v>359</v>
      </c>
      <c r="B282" s="224" t="s">
        <v>365</v>
      </c>
      <c r="C282" s="315"/>
      <c r="D282" s="222" t="s">
        <v>371</v>
      </c>
      <c r="E282" s="197">
        <v>0</v>
      </c>
      <c r="F282" s="198">
        <f>+Perfils!$G$15</f>
        <v>46.6</v>
      </c>
      <c r="G282" s="199">
        <f t="shared" si="54"/>
        <v>0</v>
      </c>
      <c r="H282" s="197">
        <v>0</v>
      </c>
      <c r="I282" s="198">
        <f>+Perfils!$G$28</f>
        <v>50.23</v>
      </c>
      <c r="J282" s="199">
        <f t="shared" si="55"/>
        <v>0</v>
      </c>
      <c r="K282" s="197">
        <v>0</v>
      </c>
      <c r="L282" s="198">
        <f>+Perfils!$G$41</f>
        <v>54.09</v>
      </c>
      <c r="M282" s="199">
        <f t="shared" si="56"/>
        <v>0</v>
      </c>
      <c r="N282" s="198"/>
      <c r="O282" s="197">
        <f t="shared" si="57"/>
        <v>0</v>
      </c>
      <c r="P282" s="198">
        <f>+Perfils!$G$28</f>
        <v>50.23</v>
      </c>
      <c r="Q282" s="199">
        <v>0</v>
      </c>
      <c r="R282" s="200"/>
      <c r="S282" s="200"/>
      <c r="T282" s="201"/>
      <c r="U282" s="199"/>
      <c r="V282" s="203">
        <f t="shared" si="58"/>
        <v>0</v>
      </c>
      <c r="W282" s="146"/>
      <c r="X282" s="184"/>
      <c r="Y282" s="184"/>
      <c r="Z282" s="135"/>
    </row>
    <row r="283" spans="1:26" s="205" customFormat="1" x14ac:dyDescent="0.25">
      <c r="A283" s="223" t="s">
        <v>360</v>
      </c>
      <c r="B283" s="224" t="s">
        <v>366</v>
      </c>
      <c r="C283" s="315" t="s">
        <v>372</v>
      </c>
      <c r="D283" s="222" t="s">
        <v>373</v>
      </c>
      <c r="E283" s="197">
        <v>66.389484978540764</v>
      </c>
      <c r="F283" s="198">
        <f>+Perfils!$G$15</f>
        <v>46.6</v>
      </c>
      <c r="G283" s="199">
        <f t="shared" si="54"/>
        <v>3093.75</v>
      </c>
      <c r="H283" s="197">
        <v>110.86502090384234</v>
      </c>
      <c r="I283" s="198">
        <f>+Perfils!$G$28</f>
        <v>50.23</v>
      </c>
      <c r="J283" s="199">
        <f t="shared" si="55"/>
        <v>5568.75</v>
      </c>
      <c r="K283" s="197">
        <v>68.635607321131445</v>
      </c>
      <c r="L283" s="198">
        <f>+Perfils!$G$41</f>
        <v>54.09</v>
      </c>
      <c r="M283" s="199">
        <f t="shared" si="56"/>
        <v>3712.5</v>
      </c>
      <c r="N283" s="198"/>
      <c r="O283" s="197">
        <f t="shared" si="57"/>
        <v>0</v>
      </c>
      <c r="P283" s="198">
        <f>+Perfils!$G$28</f>
        <v>50.23</v>
      </c>
      <c r="Q283" s="199">
        <v>0</v>
      </c>
      <c r="R283" s="200"/>
      <c r="S283" s="200"/>
      <c r="T283" s="201"/>
      <c r="U283" s="199"/>
      <c r="V283" s="203">
        <f t="shared" si="58"/>
        <v>12375</v>
      </c>
      <c r="W283" s="146"/>
      <c r="X283" s="184"/>
      <c r="Y283" s="184"/>
      <c r="Z283" s="135"/>
    </row>
    <row r="284" spans="1:26" s="205" customFormat="1" x14ac:dyDescent="0.25">
      <c r="A284" s="223" t="s">
        <v>361</v>
      </c>
      <c r="B284" s="224" t="s">
        <v>367</v>
      </c>
      <c r="C284" s="315" t="s">
        <v>374</v>
      </c>
      <c r="D284" s="222" t="s">
        <v>367</v>
      </c>
      <c r="E284" s="197">
        <v>46.103809012875537</v>
      </c>
      <c r="F284" s="198">
        <f>+Perfils!$G$15</f>
        <v>46.6</v>
      </c>
      <c r="G284" s="199">
        <f t="shared" si="54"/>
        <v>2148.44</v>
      </c>
      <c r="H284" s="197">
        <v>76.989597849890515</v>
      </c>
      <c r="I284" s="198">
        <f>+Perfils!$G$28</f>
        <v>50.23</v>
      </c>
      <c r="J284" s="199">
        <f t="shared" si="55"/>
        <v>3867.19</v>
      </c>
      <c r="K284" s="197">
        <v>47.663616195230169</v>
      </c>
      <c r="L284" s="198">
        <f>+Perfils!$G$41</f>
        <v>54.09</v>
      </c>
      <c r="M284" s="199">
        <f t="shared" si="56"/>
        <v>2578.13</v>
      </c>
      <c r="N284" s="198"/>
      <c r="O284" s="197">
        <f t="shared" si="57"/>
        <v>0</v>
      </c>
      <c r="P284" s="198">
        <f>+Perfils!$G$28</f>
        <v>50.23</v>
      </c>
      <c r="Q284" s="199">
        <v>0</v>
      </c>
      <c r="R284" s="200"/>
      <c r="S284" s="200"/>
      <c r="T284" s="201"/>
      <c r="U284" s="199"/>
      <c r="V284" s="203">
        <f t="shared" si="58"/>
        <v>8593.76</v>
      </c>
      <c r="W284" s="146"/>
      <c r="X284" s="184"/>
      <c r="Y284" s="184"/>
      <c r="Z284" s="135"/>
    </row>
    <row r="285" spans="1:26" s="205" customFormat="1" x14ac:dyDescent="0.25">
      <c r="A285" s="223" t="s">
        <v>376</v>
      </c>
      <c r="B285" s="224" t="s">
        <v>377</v>
      </c>
      <c r="C285" s="315"/>
      <c r="D285" s="222" t="str">
        <f t="shared" ref="D285" si="60">B285</f>
        <v>QDOC. Normes ISO</v>
      </c>
      <c r="E285" s="197">
        <v>0</v>
      </c>
      <c r="F285" s="198">
        <f>+Perfils!$G$15</f>
        <v>46.6</v>
      </c>
      <c r="G285" s="199">
        <f t="shared" si="54"/>
        <v>0</v>
      </c>
      <c r="H285" s="197">
        <v>0</v>
      </c>
      <c r="I285" s="198">
        <f>+Perfils!$G$28</f>
        <v>50.23</v>
      </c>
      <c r="J285" s="199">
        <f t="shared" si="55"/>
        <v>0</v>
      </c>
      <c r="K285" s="197">
        <v>114.39267886855241</v>
      </c>
      <c r="L285" s="198">
        <f>+Perfils!$G$41</f>
        <v>54.09</v>
      </c>
      <c r="M285" s="199">
        <f t="shared" si="56"/>
        <v>6187.5</v>
      </c>
      <c r="N285" s="198"/>
      <c r="O285" s="197">
        <f t="shared" si="57"/>
        <v>0</v>
      </c>
      <c r="P285" s="198">
        <f>+Perfils!$G$28</f>
        <v>50.23</v>
      </c>
      <c r="Q285" s="199">
        <v>0</v>
      </c>
      <c r="R285" s="200"/>
      <c r="S285" s="200"/>
      <c r="T285" s="201"/>
      <c r="U285" s="199"/>
      <c r="V285" s="203">
        <f t="shared" si="58"/>
        <v>6187.5</v>
      </c>
      <c r="W285" s="146"/>
      <c r="X285" s="184"/>
      <c r="Y285" s="184"/>
      <c r="Z285" s="135"/>
    </row>
    <row r="286" spans="1:26" s="184" customFormat="1" x14ac:dyDescent="0.25">
      <c r="A286" s="223" t="s">
        <v>362</v>
      </c>
      <c r="B286" s="224" t="s">
        <v>368</v>
      </c>
      <c r="C286" s="225" t="s">
        <v>416</v>
      </c>
      <c r="D286" s="225" t="s">
        <v>375</v>
      </c>
      <c r="E286" s="197">
        <v>116.18159871244634</v>
      </c>
      <c r="F286" s="198">
        <f>+Perfils!$G$15</f>
        <v>46.6</v>
      </c>
      <c r="G286" s="199">
        <f t="shared" si="54"/>
        <v>5414.06</v>
      </c>
      <c r="H286" s="197">
        <v>76.989597849890515</v>
      </c>
      <c r="I286" s="198">
        <f>+Perfils!$G$28</f>
        <v>50.23</v>
      </c>
      <c r="J286" s="199">
        <f t="shared" si="55"/>
        <v>3867.19</v>
      </c>
      <c r="K286" s="197">
        <v>114.39267886855241</v>
      </c>
      <c r="L286" s="198">
        <f>+Perfils!$G$41</f>
        <v>54.09</v>
      </c>
      <c r="M286" s="199">
        <f t="shared" si="56"/>
        <v>6187.5</v>
      </c>
      <c r="N286" s="198"/>
      <c r="O286" s="197">
        <f t="shared" si="57"/>
        <v>0</v>
      </c>
      <c r="P286" s="198">
        <f>+Perfils!$G$28</f>
        <v>50.23</v>
      </c>
      <c r="Q286" s="199">
        <v>0</v>
      </c>
      <c r="R286" s="200"/>
      <c r="S286" s="200"/>
      <c r="T286" s="201"/>
      <c r="U286" s="199"/>
      <c r="V286" s="203">
        <f t="shared" si="58"/>
        <v>15468.75</v>
      </c>
    </row>
    <row r="287" spans="1:26" s="184" customFormat="1" x14ac:dyDescent="0.25">
      <c r="A287" s="223" t="s">
        <v>397</v>
      </c>
      <c r="B287" s="224" t="s">
        <v>398</v>
      </c>
      <c r="C287" s="225" t="s">
        <v>399</v>
      </c>
      <c r="D287" s="225" t="s">
        <v>400</v>
      </c>
      <c r="E287" s="197">
        <v>103.862660944206</v>
      </c>
      <c r="F287" s="198">
        <f>+Perfils!$G$15</f>
        <v>46.6</v>
      </c>
      <c r="G287" s="199">
        <f t="shared" si="54"/>
        <v>4840</v>
      </c>
      <c r="H287" s="197">
        <v>72.267569181763889</v>
      </c>
      <c r="I287" s="198">
        <f>+Perfils!$G$28</f>
        <v>50.23</v>
      </c>
      <c r="J287" s="199">
        <f t="shared" si="55"/>
        <v>3630</v>
      </c>
      <c r="K287" s="197">
        <v>67.110371602884072</v>
      </c>
      <c r="L287" s="198">
        <f>+Perfils!$G$41</f>
        <v>54.09</v>
      </c>
      <c r="M287" s="199">
        <f t="shared" si="56"/>
        <v>3630</v>
      </c>
      <c r="N287" s="198"/>
      <c r="O287" s="197">
        <f t="shared" si="57"/>
        <v>0</v>
      </c>
      <c r="P287" s="198">
        <f>+Perfils!$G$28</f>
        <v>50.23</v>
      </c>
      <c r="Q287" s="199">
        <v>0</v>
      </c>
      <c r="R287" s="200"/>
      <c r="S287" s="200"/>
      <c r="T287" s="201"/>
      <c r="U287" s="199"/>
      <c r="V287" s="203">
        <f t="shared" si="58"/>
        <v>12100</v>
      </c>
    </row>
    <row r="288" spans="1:26" s="184" customFormat="1" ht="30" x14ac:dyDescent="0.25">
      <c r="A288" s="223" t="s">
        <v>397</v>
      </c>
      <c r="B288" s="224" t="s">
        <v>398</v>
      </c>
      <c r="C288" s="225" t="s">
        <v>401</v>
      </c>
      <c r="D288" s="225" t="s">
        <v>402</v>
      </c>
      <c r="E288" s="197">
        <v>100.32188841201716</v>
      </c>
      <c r="F288" s="198">
        <f>+Perfils!$G$15</f>
        <v>46.6</v>
      </c>
      <c r="G288" s="199">
        <f t="shared" si="54"/>
        <v>4675</v>
      </c>
      <c r="H288" s="197">
        <v>93.071869400756526</v>
      </c>
      <c r="I288" s="198">
        <f>+Perfils!$G$28</f>
        <v>50.23</v>
      </c>
      <c r="J288" s="199">
        <f t="shared" si="55"/>
        <v>4675</v>
      </c>
      <c r="K288" s="197">
        <v>30.504714364947308</v>
      </c>
      <c r="L288" s="198">
        <f>+Perfils!$G$41</f>
        <v>54.09</v>
      </c>
      <c r="M288" s="199">
        <f t="shared" si="56"/>
        <v>1650</v>
      </c>
      <c r="N288" s="198"/>
      <c r="O288" s="197">
        <f t="shared" si="57"/>
        <v>0</v>
      </c>
      <c r="P288" s="198">
        <f>+Perfils!$G$28</f>
        <v>50.23</v>
      </c>
      <c r="Q288" s="199">
        <v>0</v>
      </c>
      <c r="R288" s="200"/>
      <c r="S288" s="200"/>
      <c r="T288" s="201"/>
      <c r="U288" s="290"/>
      <c r="V288" s="203">
        <f t="shared" si="58"/>
        <v>11000</v>
      </c>
    </row>
    <row r="289" spans="1:26" ht="30" x14ac:dyDescent="0.25">
      <c r="A289" s="223" t="s">
        <v>397</v>
      </c>
      <c r="B289" s="224" t="s">
        <v>398</v>
      </c>
      <c r="C289" s="225" t="s">
        <v>401</v>
      </c>
      <c r="D289" s="225" t="s">
        <v>403</v>
      </c>
      <c r="E289" s="197">
        <v>50.16094420600858</v>
      </c>
      <c r="F289" s="198">
        <f>+Perfils!$G$15</f>
        <v>46.6</v>
      </c>
      <c r="G289" s="199">
        <f t="shared" si="54"/>
        <v>2337.5</v>
      </c>
      <c r="H289" s="197">
        <v>46.535934700378263</v>
      </c>
      <c r="I289" s="198">
        <f>+Perfils!$G$28</f>
        <v>50.23</v>
      </c>
      <c r="J289" s="199">
        <f t="shared" si="55"/>
        <v>2337.5</v>
      </c>
      <c r="K289" s="197">
        <v>15.252357182473654</v>
      </c>
      <c r="L289" s="198">
        <f>+Perfils!$G$41</f>
        <v>54.09</v>
      </c>
      <c r="M289" s="199">
        <f t="shared" si="56"/>
        <v>825</v>
      </c>
      <c r="N289" s="198"/>
      <c r="O289" s="197">
        <f t="shared" si="57"/>
        <v>0</v>
      </c>
      <c r="P289" s="198">
        <f>+Perfils!$G$28</f>
        <v>50.23</v>
      </c>
      <c r="Q289" s="199">
        <v>0</v>
      </c>
      <c r="R289" s="200"/>
      <c r="S289" s="200"/>
      <c r="T289" s="201"/>
      <c r="U289" s="199"/>
      <c r="V289" s="203">
        <f t="shared" si="58"/>
        <v>5500</v>
      </c>
    </row>
    <row r="290" spans="1:26" s="205" customFormat="1" ht="30" x14ac:dyDescent="0.25">
      <c r="A290" s="227" t="s">
        <v>361</v>
      </c>
      <c r="B290" s="224" t="s">
        <v>418</v>
      </c>
      <c r="C290" s="226" t="s">
        <v>401</v>
      </c>
      <c r="D290" s="225" t="s">
        <v>418</v>
      </c>
      <c r="E290" s="197">
        <v>321.88841201716735</v>
      </c>
      <c r="F290" s="198">
        <f>+Perfils!$G$15</f>
        <v>46.6</v>
      </c>
      <c r="G290" s="199">
        <f t="shared" si="54"/>
        <v>15000</v>
      </c>
      <c r="H290" s="197">
        <v>199.08421262193909</v>
      </c>
      <c r="I290" s="198">
        <f>+Perfils!$G$28</f>
        <v>50.23</v>
      </c>
      <c r="J290" s="199">
        <f t="shared" si="55"/>
        <v>10000</v>
      </c>
      <c r="K290" s="197">
        <v>92.438528378628206</v>
      </c>
      <c r="L290" s="198">
        <f>+Perfils!$G$41</f>
        <v>54.09</v>
      </c>
      <c r="M290" s="199">
        <f t="shared" si="56"/>
        <v>5000</v>
      </c>
      <c r="N290" s="198"/>
      <c r="O290" s="197">
        <f t="shared" si="57"/>
        <v>0</v>
      </c>
      <c r="P290" s="198">
        <f>+Perfils!$G$28</f>
        <v>50.23</v>
      </c>
      <c r="Q290" s="199">
        <v>0</v>
      </c>
      <c r="R290" s="200"/>
      <c r="S290" s="200"/>
      <c r="T290" s="201"/>
      <c r="U290" s="203"/>
      <c r="V290" s="203">
        <f t="shared" si="58"/>
        <v>30000</v>
      </c>
      <c r="W290" s="203"/>
      <c r="X290" s="204"/>
      <c r="Y290" s="204"/>
      <c r="Z290" s="204"/>
    </row>
    <row r="291" spans="1:26" x14ac:dyDescent="0.25">
      <c r="A291" s="223" t="s">
        <v>404</v>
      </c>
      <c r="B291" s="224" t="s">
        <v>405</v>
      </c>
      <c r="C291" s="225"/>
      <c r="D291" s="225" t="s">
        <v>406</v>
      </c>
      <c r="E291" s="197">
        <v>36.883047210300425</v>
      </c>
      <c r="F291" s="198">
        <f>+Perfils!$G$15</f>
        <v>46.6</v>
      </c>
      <c r="G291" s="199">
        <f t="shared" si="54"/>
        <v>1718.75</v>
      </c>
      <c r="H291" s="197">
        <v>609.07326299024487</v>
      </c>
      <c r="I291" s="198">
        <f>+Perfils!$G$28</f>
        <v>50.23</v>
      </c>
      <c r="J291" s="199">
        <f t="shared" si="55"/>
        <v>30593.75</v>
      </c>
      <c r="K291" s="197">
        <v>38.130892956184134</v>
      </c>
      <c r="L291" s="198">
        <f>+Perfils!$G$41</f>
        <v>54.09</v>
      </c>
      <c r="M291" s="199">
        <f t="shared" si="56"/>
        <v>2062.5</v>
      </c>
      <c r="N291" s="198"/>
      <c r="O291" s="197">
        <f t="shared" si="57"/>
        <v>0</v>
      </c>
      <c r="P291" s="198">
        <f>+Perfils!$G$28</f>
        <v>50.23</v>
      </c>
      <c r="Q291" s="199">
        <v>0</v>
      </c>
      <c r="R291" s="200"/>
      <c r="S291" s="200"/>
      <c r="T291" s="201"/>
      <c r="U291" s="290"/>
      <c r="V291" s="203">
        <f t="shared" si="58"/>
        <v>34375</v>
      </c>
    </row>
    <row r="292" spans="1:26" s="146" customFormat="1" ht="15.75" thickBot="1" x14ac:dyDescent="0.3">
      <c r="A292" s="228"/>
      <c r="B292" s="229"/>
      <c r="C292" s="229"/>
      <c r="D292" s="229"/>
      <c r="E292" s="230">
        <f>SUM(E273:E291)</f>
        <v>2572.1639887339052</v>
      </c>
      <c r="F292" s="231"/>
      <c r="G292" s="232">
        <f>SUM(G273:G291)</f>
        <v>119862.85</v>
      </c>
      <c r="H292" s="230">
        <f>SUM(H273:H291)</f>
        <v>4144.8167056539924</v>
      </c>
      <c r="I292" s="231"/>
      <c r="J292" s="232">
        <f>SUM(J273:J291)</f>
        <v>208194.16</v>
      </c>
      <c r="K292" s="230">
        <f>SUM(K273:K291)</f>
        <v>2167.4097453318541</v>
      </c>
      <c r="L292" s="231"/>
      <c r="M292" s="232">
        <f>SUM(M273:M291)</f>
        <v>117235.20000000001</v>
      </c>
      <c r="N292" s="233"/>
      <c r="O292" s="230">
        <f>SUM(O273:O291)</f>
        <v>0</v>
      </c>
      <c r="P292" s="231"/>
      <c r="Q292" s="293">
        <f>SUM(Q273:Q291)</f>
        <v>0</v>
      </c>
      <c r="R292" s="234"/>
      <c r="S292" s="234"/>
      <c r="T292" s="235"/>
      <c r="U292" s="293">
        <f>SUM(U273:U291)</f>
        <v>0</v>
      </c>
      <c r="V292" s="294">
        <f>SUM(V273:V291)</f>
        <v>445292.21</v>
      </c>
      <c r="W292" s="331"/>
    </row>
    <row r="293" spans="1:26" s="146" customFormat="1" ht="15.75" thickBot="1" x14ac:dyDescent="0.3">
      <c r="A293" s="332"/>
      <c r="B293" s="333"/>
      <c r="C293" s="333"/>
      <c r="D293" s="334" t="s">
        <v>199</v>
      </c>
      <c r="E293" s="335">
        <f>(E292/12/8)/20</f>
        <v>1.3396687441322421</v>
      </c>
      <c r="F293" s="336"/>
      <c r="G293" s="337"/>
      <c r="H293" s="335">
        <f>(H292/12/8)/20</f>
        <v>2.1587587008614544</v>
      </c>
      <c r="I293" s="337"/>
      <c r="J293" s="337"/>
      <c r="K293" s="335">
        <f>(K292/12/8)/20</f>
        <v>1.1288592423603405</v>
      </c>
      <c r="L293" s="337"/>
      <c r="M293" s="337"/>
      <c r="N293" s="337"/>
      <c r="O293" s="337"/>
      <c r="P293" s="337"/>
      <c r="Q293" s="337"/>
      <c r="R293" s="338"/>
      <c r="S293" s="338"/>
      <c r="T293" s="339"/>
      <c r="U293" s="340"/>
      <c r="V293" s="341"/>
      <c r="W293" s="331"/>
    </row>
    <row r="294" spans="1:26" s="146" customFormat="1" x14ac:dyDescent="0.25">
      <c r="A294" s="196"/>
      <c r="B294" s="196"/>
      <c r="C294" s="195"/>
      <c r="D294" s="196"/>
      <c r="E294" s="197"/>
      <c r="F294" s="198"/>
      <c r="G294" s="199"/>
      <c r="H294" s="197"/>
      <c r="I294" s="198"/>
      <c r="J294" s="199"/>
      <c r="K294" s="197"/>
      <c r="L294" s="198"/>
      <c r="M294" s="199"/>
      <c r="N294" s="198"/>
      <c r="O294" s="198"/>
      <c r="P294" s="198"/>
      <c r="Q294" s="198"/>
      <c r="R294" s="200"/>
      <c r="S294" s="200"/>
      <c r="T294" s="201"/>
      <c r="U294" s="203"/>
      <c r="V294" s="203"/>
      <c r="W294" s="331"/>
    </row>
    <row r="295" spans="1:26" s="146" customFormat="1" ht="15.75" x14ac:dyDescent="0.25">
      <c r="A295" s="189" t="s">
        <v>116</v>
      </c>
      <c r="B295" s="247"/>
      <c r="C295" s="248"/>
      <c r="D295" s="247"/>
      <c r="E295" s="207">
        <f>E270+E292</f>
        <v>7588.2584093347632</v>
      </c>
      <c r="F295" s="207"/>
      <c r="G295" s="249">
        <f>G270+G292</f>
        <v>353612.85</v>
      </c>
      <c r="H295" s="207">
        <f>H270+H292</f>
        <v>16394.717163547681</v>
      </c>
      <c r="I295" s="207"/>
      <c r="J295" s="249">
        <f>J270+J292</f>
        <v>823506.66</v>
      </c>
      <c r="K295" s="207">
        <f>K270+K292</f>
        <v>5773.3211892216677</v>
      </c>
      <c r="L295" s="207"/>
      <c r="M295" s="249">
        <f>M270+M292</f>
        <v>312278.95</v>
      </c>
      <c r="N295" s="249">
        <f>SUM(N230:N269)</f>
        <v>0</v>
      </c>
      <c r="O295" s="249"/>
      <c r="P295" s="249"/>
      <c r="Q295" s="249">
        <f>Q270+Q292</f>
        <v>0</v>
      </c>
      <c r="R295" s="207"/>
      <c r="S295" s="207"/>
      <c r="T295" s="207"/>
      <c r="U295" s="249">
        <f>U270+U292</f>
        <v>833.33333333333337</v>
      </c>
      <c r="V295" s="249">
        <f>V270+V292</f>
        <v>1490231.7933333335</v>
      </c>
      <c r="W295" s="331"/>
    </row>
    <row r="296" spans="1:26" s="343" customFormat="1" x14ac:dyDescent="0.25">
      <c r="A296" s="307"/>
      <c r="B296" s="308"/>
      <c r="C296" s="309"/>
      <c r="D296" s="310"/>
      <c r="E296" s="257"/>
      <c r="F296" s="257"/>
      <c r="G296" s="256">
        <f>G295/V295</f>
        <v>0.23728714659149958</v>
      </c>
      <c r="H296" s="257"/>
      <c r="I296" s="258"/>
      <c r="J296" s="256">
        <f>J295/V295</f>
        <v>0.55260306731075015</v>
      </c>
      <c r="K296" s="257"/>
      <c r="L296" s="258"/>
      <c r="M296" s="256">
        <f>M295/V295</f>
        <v>0.20955058897347642</v>
      </c>
      <c r="N296" s="271"/>
      <c r="O296" s="271"/>
      <c r="P296" s="271"/>
      <c r="Q296" s="271"/>
      <c r="R296" s="311"/>
      <c r="S296" s="311"/>
      <c r="T296" s="266"/>
      <c r="U296" s="312"/>
      <c r="V296" s="184"/>
      <c r="W296" s="342"/>
    </row>
    <row r="297" spans="1:26" s="343" customFormat="1" x14ac:dyDescent="0.25">
      <c r="A297" s="259"/>
      <c r="B297" s="260"/>
      <c r="C297" s="261"/>
      <c r="D297" s="262" t="s">
        <v>199</v>
      </c>
      <c r="E297" s="263">
        <f>(E295/12/8)/20</f>
        <v>3.9522179215285229</v>
      </c>
      <c r="F297" s="263"/>
      <c r="G297" s="263"/>
      <c r="H297" s="263">
        <f>(H295/12/8)/20</f>
        <v>8.5389151893477511</v>
      </c>
      <c r="I297" s="255"/>
      <c r="J297" s="264"/>
      <c r="K297" s="263">
        <f>(K295/12/8)/20</f>
        <v>3.0069381193862852</v>
      </c>
      <c r="L297" s="258"/>
      <c r="M297" s="257"/>
      <c r="N297" s="257"/>
      <c r="O297" s="257"/>
      <c r="P297" s="257"/>
      <c r="Q297" s="257"/>
      <c r="R297" s="265"/>
      <c r="S297" s="265"/>
      <c r="T297" s="266"/>
      <c r="U297" s="257"/>
      <c r="V297" s="184"/>
      <c r="W297" s="342"/>
    </row>
    <row r="298" spans="1:26" s="343" customFormat="1" x14ac:dyDescent="0.25">
      <c r="A298" s="139"/>
      <c r="B298" s="150"/>
      <c r="C298" s="173"/>
      <c r="D298" s="150"/>
      <c r="E298" s="151"/>
      <c r="F298" s="136"/>
      <c r="G298" s="136"/>
      <c r="H298" s="136"/>
      <c r="I298" s="136"/>
      <c r="J298" s="136"/>
      <c r="K298" s="136"/>
      <c r="L298" s="136"/>
      <c r="M298" s="136"/>
      <c r="N298" s="136"/>
      <c r="O298" s="136"/>
      <c r="P298" s="136"/>
      <c r="Q298" s="136"/>
      <c r="R298" s="136"/>
      <c r="S298" s="136"/>
      <c r="T298" s="136"/>
      <c r="U298" s="139"/>
      <c r="V298" s="136"/>
      <c r="W298" s="342"/>
    </row>
    <row r="299" spans="1:26" s="146" customFormat="1" x14ac:dyDescent="0.25">
      <c r="A299" s="139"/>
      <c r="B299" s="150"/>
      <c r="C299" s="173"/>
      <c r="D299" s="150"/>
      <c r="E299" s="151"/>
      <c r="F299" s="136"/>
      <c r="G299" s="136"/>
      <c r="H299" s="136"/>
      <c r="I299" s="136"/>
      <c r="J299" s="136"/>
      <c r="K299" s="136"/>
      <c r="L299" s="136"/>
      <c r="M299" s="136"/>
      <c r="N299" s="136"/>
      <c r="O299" s="136"/>
      <c r="P299" s="136"/>
      <c r="Q299" s="136"/>
      <c r="R299" s="136"/>
      <c r="S299" s="136"/>
      <c r="T299" s="136"/>
      <c r="U299" s="139"/>
      <c r="V299" s="136"/>
      <c r="W299" s="331"/>
    </row>
  </sheetData>
  <sheetProtection algorithmName="SHA-512" hashValue="NjZzHjdKuNbFhQunsUoweWVg98wead/kh/+6lwRMhU4eo6/7s85vlQZepKoxVu6ngkkuGVoR9w7o0RKP1OzO+Q==" saltValue="9G2Ri+691aW8Uuy5r710Gg==" spinCount="100000" sheet="1" objects="1" scenarios="1" sort="0" autoFilter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1</xdr:col>
                <xdr:colOff>123825</xdr:colOff>
                <xdr:row>76</xdr:row>
                <xdr:rowOff>66675</xdr:rowOff>
              </from>
              <to>
                <xdr:col>1</xdr:col>
                <xdr:colOff>1038225</xdr:colOff>
                <xdr:row>77</xdr:row>
                <xdr:rowOff>95250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1</xdr:col>
                <xdr:colOff>123825</xdr:colOff>
                <xdr:row>76</xdr:row>
                <xdr:rowOff>66675</xdr:rowOff>
              </from>
              <to>
                <xdr:col>1</xdr:col>
                <xdr:colOff>1038225</xdr:colOff>
                <xdr:row>77</xdr:row>
                <xdr:rowOff>95250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123825</xdr:colOff>
                <xdr:row>76</xdr:row>
                <xdr:rowOff>66675</xdr:rowOff>
              </from>
              <to>
                <xdr:col>1</xdr:col>
                <xdr:colOff>1038225</xdr:colOff>
                <xdr:row>77</xdr:row>
                <xdr:rowOff>95250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1</xdr:col>
                <xdr:colOff>123825</xdr:colOff>
                <xdr:row>76</xdr:row>
                <xdr:rowOff>66675</xdr:rowOff>
              </from>
              <to>
                <xdr:col>1</xdr:col>
                <xdr:colOff>1038225</xdr:colOff>
                <xdr:row>77</xdr:row>
                <xdr:rowOff>95250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1</xdr:col>
                <xdr:colOff>123825</xdr:colOff>
                <xdr:row>76</xdr:row>
                <xdr:rowOff>66675</xdr:rowOff>
              </from>
              <to>
                <xdr:col>1</xdr:col>
                <xdr:colOff>1038225</xdr:colOff>
                <xdr:row>77</xdr:row>
                <xdr:rowOff>95250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showGridLines="0" tabSelected="1" topLeftCell="A25" zoomScaleNormal="100" workbookViewId="0">
      <selection activeCell="F46" sqref="F46"/>
    </sheetView>
  </sheetViews>
  <sheetFormatPr defaultColWidth="11.42578125" defaultRowHeight="15" x14ac:dyDescent="0.25"/>
  <cols>
    <col min="1" max="1" width="8.42578125" style="114" customWidth="1"/>
    <col min="2" max="2" width="16.42578125" style="115" customWidth="1"/>
    <col min="3" max="3" width="42.42578125" style="117" bestFit="1" customWidth="1"/>
    <col min="4" max="4" width="10.42578125" style="117" customWidth="1"/>
    <col min="5" max="5" width="10.5703125" style="117" customWidth="1"/>
    <col min="6" max="6" width="9.5703125" style="117" customWidth="1"/>
    <col min="7" max="7" width="13.140625" style="117" customWidth="1"/>
    <col min="8" max="8" width="7.42578125" style="116" customWidth="1"/>
    <col min="9" max="16384" width="11.42578125" style="117"/>
  </cols>
  <sheetData>
    <row r="1" spans="2:8" x14ac:dyDescent="0.25">
      <c r="C1" s="398" t="s">
        <v>353</v>
      </c>
      <c r="D1" s="398"/>
      <c r="E1" s="398"/>
      <c r="F1" s="398"/>
      <c r="G1" s="398"/>
    </row>
    <row r="2" spans="2:8" ht="12" customHeight="1" x14ac:dyDescent="0.25">
      <c r="B2" s="118"/>
    </row>
    <row r="3" spans="2:8" ht="45.6" customHeight="1" x14ac:dyDescent="0.25">
      <c r="B3" s="119" t="s">
        <v>4</v>
      </c>
      <c r="C3" s="120" t="s">
        <v>5</v>
      </c>
      <c r="D3" s="120" t="s">
        <v>6</v>
      </c>
      <c r="E3" s="121" t="s">
        <v>191</v>
      </c>
      <c r="F3" s="121" t="s">
        <v>192</v>
      </c>
      <c r="G3" s="121" t="s">
        <v>193</v>
      </c>
      <c r="H3" s="122"/>
    </row>
    <row r="4" spans="2:8" ht="15" customHeight="1" x14ac:dyDescent="0.25">
      <c r="B4" s="396" t="s">
        <v>7</v>
      </c>
      <c r="C4" s="123" t="str">
        <f>C46</f>
        <v>Responsable del contracte</v>
      </c>
      <c r="D4" s="124">
        <v>8.0000000000000002E-3</v>
      </c>
      <c r="E4" s="125">
        <f>+$E$46</f>
        <v>77.28</v>
      </c>
      <c r="F4" s="125">
        <f>+$F$46</f>
        <v>63.87</v>
      </c>
      <c r="G4" s="125">
        <f>E4*D4</f>
        <v>0.61824000000000001</v>
      </c>
    </row>
    <row r="5" spans="2:8" x14ac:dyDescent="0.25">
      <c r="B5" s="396"/>
      <c r="C5" s="123" t="str">
        <f t="shared" ref="C5:C11" si="0">C47</f>
        <v>Cap de projecte sènior</v>
      </c>
      <c r="D5" s="124">
        <v>0.04</v>
      </c>
      <c r="E5" s="125">
        <f>+$E$47</f>
        <v>68.069999999999993</v>
      </c>
      <c r="F5" s="125">
        <f>+$F$47</f>
        <v>56.26</v>
      </c>
      <c r="G5" s="125">
        <f>E5*D5</f>
        <v>2.7227999999999999</v>
      </c>
      <c r="H5" s="122"/>
    </row>
    <row r="6" spans="2:8" x14ac:dyDescent="0.25">
      <c r="B6" s="396"/>
      <c r="C6" s="123" t="str">
        <f t="shared" si="0"/>
        <v>Consultor/a (inclou responsable tècnic seguretat)</v>
      </c>
      <c r="D6" s="124">
        <v>0.14000000000000001</v>
      </c>
      <c r="E6" s="125">
        <f>E48</f>
        <v>66.7</v>
      </c>
      <c r="F6" s="125">
        <f>+$F$48</f>
        <v>55.12</v>
      </c>
      <c r="G6" s="125">
        <f t="shared" ref="G6:G14" si="1">E6*D6</f>
        <v>9.338000000000001</v>
      </c>
      <c r="H6" s="122"/>
    </row>
    <row r="7" spans="2:8" x14ac:dyDescent="0.25">
      <c r="B7" s="396"/>
      <c r="C7" s="123" t="str">
        <f t="shared" si="0"/>
        <v>Arquitecte/a</v>
      </c>
      <c r="D7" s="124">
        <v>0.08</v>
      </c>
      <c r="E7" s="125">
        <f>+$E$49</f>
        <v>60.09</v>
      </c>
      <c r="F7" s="125">
        <f>+$F$49</f>
        <v>49.66</v>
      </c>
      <c r="G7" s="125">
        <f t="shared" si="1"/>
        <v>4.8072000000000008</v>
      </c>
      <c r="H7" s="122"/>
    </row>
    <row r="8" spans="2:8" x14ac:dyDescent="0.25">
      <c r="B8" s="396"/>
      <c r="C8" s="123" t="str">
        <f t="shared" si="0"/>
        <v>Analista programador/a J2EE/PYTHON</v>
      </c>
      <c r="D8" s="124">
        <v>0.38</v>
      </c>
      <c r="E8" s="125">
        <f>+$E$50</f>
        <v>43.58</v>
      </c>
      <c r="F8" s="125">
        <f>+$F$50</f>
        <v>36.020000000000003</v>
      </c>
      <c r="G8" s="125">
        <f t="shared" si="1"/>
        <v>16.560399999999998</v>
      </c>
      <c r="H8" s="122"/>
    </row>
    <row r="9" spans="2:8" x14ac:dyDescent="0.25">
      <c r="B9" s="396"/>
      <c r="C9" s="123" t="str">
        <f t="shared" si="0"/>
        <v>Programador/a J2EE</v>
      </c>
      <c r="D9" s="124">
        <v>0.15</v>
      </c>
      <c r="E9" s="125">
        <f>+$E$51</f>
        <v>32.96</v>
      </c>
      <c r="F9" s="125">
        <f>+$F$51</f>
        <v>27.24</v>
      </c>
      <c r="G9" s="125">
        <f t="shared" si="1"/>
        <v>4.944</v>
      </c>
      <c r="H9" s="122"/>
    </row>
    <row r="10" spans="2:8" x14ac:dyDescent="0.25">
      <c r="B10" s="396"/>
      <c r="C10" s="123" t="str">
        <f t="shared" si="0"/>
        <v>Programador/a JAVASCRIPT / ANGULAR / REACT</v>
      </c>
      <c r="D10" s="124">
        <v>0.06</v>
      </c>
      <c r="E10" s="125">
        <f>+$E$52</f>
        <v>35.799999999999997</v>
      </c>
      <c r="F10" s="125">
        <f>+$F$52</f>
        <v>29.59</v>
      </c>
      <c r="G10" s="125">
        <f t="shared" si="1"/>
        <v>2.1479999999999997</v>
      </c>
      <c r="H10" s="122"/>
    </row>
    <row r="11" spans="2:8" x14ac:dyDescent="0.25">
      <c r="B11" s="396"/>
      <c r="C11" s="123" t="str">
        <f t="shared" si="0"/>
        <v>Atenció a persones usuàries</v>
      </c>
      <c r="D11" s="124">
        <v>0.04</v>
      </c>
      <c r="E11" s="125">
        <f>+$E$53</f>
        <v>32.96</v>
      </c>
      <c r="F11" s="125">
        <f>+$F$53</f>
        <v>27.24</v>
      </c>
      <c r="G11" s="125">
        <f t="shared" si="1"/>
        <v>1.3184</v>
      </c>
      <c r="H11" s="122"/>
    </row>
    <row r="12" spans="2:8" x14ac:dyDescent="0.25">
      <c r="B12" s="396"/>
      <c r="C12" s="123" t="str">
        <f>C55</f>
        <v>Maquetador/ra</v>
      </c>
      <c r="D12" s="124">
        <v>0.04</v>
      </c>
      <c r="E12" s="125">
        <f>+$E$55</f>
        <v>38.130000000000003</v>
      </c>
      <c r="F12" s="125">
        <f>+$F$55</f>
        <v>31.51</v>
      </c>
      <c r="G12" s="125">
        <f t="shared" si="1"/>
        <v>1.5252000000000001</v>
      </c>
      <c r="H12" s="122"/>
    </row>
    <row r="13" spans="2:8" x14ac:dyDescent="0.25">
      <c r="B13" s="396"/>
      <c r="C13" s="123" t="str">
        <f t="shared" ref="C13:C14" si="2">C56</f>
        <v>Dissenyador/a</v>
      </c>
      <c r="D13" s="124">
        <v>0.04</v>
      </c>
      <c r="E13" s="125">
        <f>+$E$56</f>
        <v>40.64</v>
      </c>
      <c r="F13" s="125">
        <f>+$F$56</f>
        <v>33.590000000000003</v>
      </c>
      <c r="G13" s="125">
        <f t="shared" si="1"/>
        <v>1.6256000000000002</v>
      </c>
      <c r="H13" s="122"/>
    </row>
    <row r="14" spans="2:8" x14ac:dyDescent="0.25">
      <c r="B14" s="396"/>
      <c r="C14" s="123" t="str">
        <f t="shared" si="2"/>
        <v>Full Stack Developer WINDOWS MOBILE</v>
      </c>
      <c r="D14" s="124">
        <v>2.1999999999999999E-2</v>
      </c>
      <c r="E14" s="125">
        <f>+$E$57</f>
        <v>44.92</v>
      </c>
      <c r="F14" s="125">
        <f>+$F$57</f>
        <v>37.119999999999997</v>
      </c>
      <c r="G14" s="125">
        <f t="shared" si="1"/>
        <v>0.98824000000000001</v>
      </c>
      <c r="H14" s="122"/>
    </row>
    <row r="15" spans="2:8" x14ac:dyDescent="0.25">
      <c r="B15" s="396"/>
      <c r="C15" s="399" t="s">
        <v>117</v>
      </c>
      <c r="D15" s="399"/>
      <c r="E15" s="399"/>
      <c r="F15" s="126"/>
      <c r="G15" s="127">
        <f>ROUND(SUM(G4:G14),2)</f>
        <v>46.6</v>
      </c>
      <c r="H15" s="128">
        <f>SUM(D4:D14)</f>
        <v>1.0000000000000002</v>
      </c>
    </row>
    <row r="16" spans="2:8" x14ac:dyDescent="0.25">
      <c r="B16" s="396" t="s">
        <v>13</v>
      </c>
      <c r="C16" s="123" t="str">
        <f>C46</f>
        <v>Responsable del contracte</v>
      </c>
      <c r="D16" s="124">
        <v>0.01</v>
      </c>
      <c r="E16" s="125">
        <f>+$E$46</f>
        <v>77.28</v>
      </c>
      <c r="F16" s="125">
        <f>+$F$46</f>
        <v>63.87</v>
      </c>
      <c r="G16" s="125">
        <f t="shared" ref="G16:G27" si="3">E16*D16</f>
        <v>0.77280000000000004</v>
      </c>
    </row>
    <row r="17" spans="2:8" x14ac:dyDescent="0.25">
      <c r="B17" s="396"/>
      <c r="C17" s="123" t="str">
        <f t="shared" ref="C17:C27" si="4">C47</f>
        <v>Cap de projecte sènior</v>
      </c>
      <c r="D17" s="124">
        <v>7.0000000000000007E-2</v>
      </c>
      <c r="E17" s="125">
        <f>+$E$47</f>
        <v>68.069999999999993</v>
      </c>
      <c r="F17" s="125">
        <f>+$F$47</f>
        <v>56.26</v>
      </c>
      <c r="G17" s="125">
        <f t="shared" si="3"/>
        <v>4.7648999999999999</v>
      </c>
    </row>
    <row r="18" spans="2:8" x14ac:dyDescent="0.25">
      <c r="B18" s="396"/>
      <c r="C18" s="123" t="str">
        <f t="shared" si="4"/>
        <v>Consultor/a (inclou responsable tècnic seguretat)</v>
      </c>
      <c r="D18" s="124">
        <v>0.18</v>
      </c>
      <c r="E18" s="125">
        <f>+$E$48</f>
        <v>66.7</v>
      </c>
      <c r="F18" s="125">
        <f>+$F$48</f>
        <v>55.12</v>
      </c>
      <c r="G18" s="125">
        <f t="shared" si="3"/>
        <v>12.006</v>
      </c>
      <c r="H18" s="128"/>
    </row>
    <row r="19" spans="2:8" x14ac:dyDescent="0.25">
      <c r="B19" s="396"/>
      <c r="C19" s="123" t="str">
        <f t="shared" si="4"/>
        <v>Arquitecte/a</v>
      </c>
      <c r="D19" s="124">
        <v>0.15</v>
      </c>
      <c r="E19" s="125">
        <f>+$E$49</f>
        <v>60.09</v>
      </c>
      <c r="F19" s="125">
        <f>+$F$49</f>
        <v>49.66</v>
      </c>
      <c r="G19" s="125">
        <f t="shared" si="3"/>
        <v>9.0135000000000005</v>
      </c>
      <c r="H19" s="128"/>
    </row>
    <row r="20" spans="2:8" x14ac:dyDescent="0.25">
      <c r="B20" s="396"/>
      <c r="C20" s="123" t="str">
        <f t="shared" si="4"/>
        <v>Analista programador/a J2EE/PYTHON</v>
      </c>
      <c r="D20" s="124">
        <v>0.3</v>
      </c>
      <c r="E20" s="125">
        <f>+$E$50</f>
        <v>43.58</v>
      </c>
      <c r="F20" s="125">
        <f>+$F$50</f>
        <v>36.020000000000003</v>
      </c>
      <c r="G20" s="125">
        <f t="shared" ref="G20:G22" si="5">E20*D20</f>
        <v>13.074</v>
      </c>
    </row>
    <row r="21" spans="2:8" x14ac:dyDescent="0.25">
      <c r="B21" s="396"/>
      <c r="C21" s="123" t="str">
        <f t="shared" si="4"/>
        <v>Programador/a J2EE</v>
      </c>
      <c r="D21" s="124">
        <v>0.12</v>
      </c>
      <c r="E21" s="125">
        <f>+$E$51</f>
        <v>32.96</v>
      </c>
      <c r="F21" s="125">
        <f>+$F$51</f>
        <v>27.24</v>
      </c>
      <c r="G21" s="125">
        <f t="shared" si="5"/>
        <v>3.9552</v>
      </c>
      <c r="H21" s="128"/>
    </row>
    <row r="22" spans="2:8" x14ac:dyDescent="0.25">
      <c r="B22" s="396"/>
      <c r="C22" s="123" t="str">
        <f t="shared" si="4"/>
        <v>Programador/a JAVASCRIPT / ANGULAR / REACT</v>
      </c>
      <c r="D22" s="124">
        <v>0.05</v>
      </c>
      <c r="E22" s="125">
        <f>+$E$52</f>
        <v>35.799999999999997</v>
      </c>
      <c r="F22" s="125">
        <f>+$F$52</f>
        <v>29.59</v>
      </c>
      <c r="G22" s="125">
        <f t="shared" si="5"/>
        <v>1.79</v>
      </c>
      <c r="H22" s="128"/>
    </row>
    <row r="23" spans="2:8" x14ac:dyDescent="0.25">
      <c r="B23" s="396"/>
      <c r="C23" s="123" t="str">
        <f t="shared" si="4"/>
        <v>Atenció a persones usuàries</v>
      </c>
      <c r="D23" s="124">
        <v>0.03</v>
      </c>
      <c r="E23" s="125">
        <f>+$E$53</f>
        <v>32.96</v>
      </c>
      <c r="F23" s="125">
        <f>+$F$53</f>
        <v>27.24</v>
      </c>
      <c r="G23" s="125">
        <f t="shared" si="3"/>
        <v>0.98880000000000001</v>
      </c>
    </row>
    <row r="24" spans="2:8" x14ac:dyDescent="0.25">
      <c r="B24" s="396"/>
      <c r="C24" s="123" t="str">
        <f t="shared" si="4"/>
        <v>Formador/a</v>
      </c>
      <c r="D24" s="124">
        <v>0.02</v>
      </c>
      <c r="E24" s="125">
        <f>+$E$54</f>
        <v>52.56</v>
      </c>
      <c r="F24" s="125">
        <f>+$F$54</f>
        <v>43.44</v>
      </c>
      <c r="G24" s="125">
        <f t="shared" si="3"/>
        <v>1.0512000000000001</v>
      </c>
      <c r="H24" s="128"/>
    </row>
    <row r="25" spans="2:8" x14ac:dyDescent="0.25">
      <c r="B25" s="396"/>
      <c r="C25" s="123" t="str">
        <f t="shared" si="4"/>
        <v>Maquetador/ra</v>
      </c>
      <c r="D25" s="124">
        <v>0.03</v>
      </c>
      <c r="E25" s="125">
        <f>+$E$55</f>
        <v>38.130000000000003</v>
      </c>
      <c r="F25" s="125">
        <f>+$F$55</f>
        <v>31.51</v>
      </c>
      <c r="G25" s="125">
        <f t="shared" ref="G25" si="6">E25*D25</f>
        <v>1.1439000000000001</v>
      </c>
      <c r="H25" s="128"/>
    </row>
    <row r="26" spans="2:8" x14ac:dyDescent="0.25">
      <c r="B26" s="396"/>
      <c r="C26" s="123" t="str">
        <f t="shared" si="4"/>
        <v>Dissenyador/a</v>
      </c>
      <c r="D26" s="124">
        <v>0.03</v>
      </c>
      <c r="E26" s="125">
        <f>+$E$56</f>
        <v>40.64</v>
      </c>
      <c r="F26" s="125">
        <f>+$F$56</f>
        <v>33.590000000000003</v>
      </c>
      <c r="G26" s="125">
        <f t="shared" si="3"/>
        <v>1.2192000000000001</v>
      </c>
      <c r="H26" s="128"/>
    </row>
    <row r="27" spans="2:8" x14ac:dyDescent="0.25">
      <c r="B27" s="396"/>
      <c r="C27" s="123" t="str">
        <f t="shared" si="4"/>
        <v>Full Stack Developer WINDOWS MOBILE</v>
      </c>
      <c r="D27" s="124">
        <v>0.01</v>
      </c>
      <c r="E27" s="125">
        <f>+$E$57</f>
        <v>44.92</v>
      </c>
      <c r="F27" s="125">
        <f>+$F$57</f>
        <v>37.119999999999997</v>
      </c>
      <c r="G27" s="125">
        <f t="shared" si="3"/>
        <v>0.44920000000000004</v>
      </c>
      <c r="H27" s="128"/>
    </row>
    <row r="28" spans="2:8" x14ac:dyDescent="0.25">
      <c r="B28" s="396"/>
      <c r="C28" s="399" t="s">
        <v>117</v>
      </c>
      <c r="D28" s="399"/>
      <c r="E28" s="399"/>
      <c r="F28" s="126"/>
      <c r="G28" s="127">
        <f>ROUND(SUM(G16:G27),2)</f>
        <v>50.23</v>
      </c>
      <c r="H28" s="128">
        <f>SUM(D16:D27)</f>
        <v>1</v>
      </c>
    </row>
    <row r="29" spans="2:8" x14ac:dyDescent="0.25">
      <c r="B29" s="397" t="s">
        <v>196</v>
      </c>
      <c r="C29" s="123" t="str">
        <f>C46</f>
        <v>Responsable del contracte</v>
      </c>
      <c r="D29" s="124">
        <v>1.4999999999999999E-2</v>
      </c>
      <c r="E29" s="125">
        <f>+$E$46</f>
        <v>77.28</v>
      </c>
      <c r="F29" s="125">
        <f>+$F$46</f>
        <v>63.87</v>
      </c>
      <c r="G29" s="125">
        <f>E29*D29</f>
        <v>1.1592</v>
      </c>
    </row>
    <row r="30" spans="2:8" x14ac:dyDescent="0.25">
      <c r="B30" s="397"/>
      <c r="C30" s="123" t="str">
        <f t="shared" ref="C30:C40" si="7">C47</f>
        <v>Cap de projecte sènior</v>
      </c>
      <c r="D30" s="124">
        <v>8.5000000000000006E-2</v>
      </c>
      <c r="E30" s="125">
        <f>+$E$47</f>
        <v>68.069999999999993</v>
      </c>
      <c r="F30" s="125">
        <f>+$F$47</f>
        <v>56.26</v>
      </c>
      <c r="G30" s="125">
        <f t="shared" ref="G30" si="8">E30*D30</f>
        <v>5.7859499999999997</v>
      </c>
    </row>
    <row r="31" spans="2:8" x14ac:dyDescent="0.25">
      <c r="B31" s="397"/>
      <c r="C31" s="123" t="str">
        <f t="shared" si="7"/>
        <v>Consultor/a (inclou responsable tècnic seguretat)</v>
      </c>
      <c r="D31" s="124">
        <v>0.32</v>
      </c>
      <c r="E31" s="125">
        <f>+$E$48</f>
        <v>66.7</v>
      </c>
      <c r="F31" s="125">
        <f>+$F$48</f>
        <v>55.12</v>
      </c>
      <c r="G31" s="125">
        <f t="shared" ref="G31:G33" si="9">E31*D31</f>
        <v>21.344000000000001</v>
      </c>
    </row>
    <row r="32" spans="2:8" x14ac:dyDescent="0.25">
      <c r="B32" s="397"/>
      <c r="C32" s="123" t="str">
        <f t="shared" si="7"/>
        <v>Arquitecte/a</v>
      </c>
      <c r="D32" s="124">
        <v>0.12</v>
      </c>
      <c r="E32" s="125">
        <f>+$E$49</f>
        <v>60.09</v>
      </c>
      <c r="F32" s="125">
        <f>+$F$49</f>
        <v>49.66</v>
      </c>
      <c r="G32" s="125">
        <f t="shared" si="9"/>
        <v>7.2107999999999999</v>
      </c>
    </row>
    <row r="33" spans="2:9" x14ac:dyDescent="0.25">
      <c r="B33" s="397"/>
      <c r="C33" s="123" t="str">
        <f t="shared" si="7"/>
        <v>Analista programador/a J2EE/PYTHON</v>
      </c>
      <c r="D33" s="124">
        <v>0.18</v>
      </c>
      <c r="E33" s="125">
        <f>+$E$50</f>
        <v>43.58</v>
      </c>
      <c r="F33" s="125">
        <f>+$F$50</f>
        <v>36.020000000000003</v>
      </c>
      <c r="G33" s="125">
        <f t="shared" si="9"/>
        <v>7.8443999999999994</v>
      </c>
    </row>
    <row r="34" spans="2:9" x14ac:dyDescent="0.25">
      <c r="B34" s="397"/>
      <c r="C34" s="123" t="str">
        <f t="shared" si="7"/>
        <v>Programador/a J2EE</v>
      </c>
      <c r="D34" s="124">
        <v>0.06</v>
      </c>
      <c r="E34" s="125">
        <f>+$E$51</f>
        <v>32.96</v>
      </c>
      <c r="F34" s="125">
        <f>+$F$51</f>
        <v>27.24</v>
      </c>
      <c r="G34" s="125">
        <f t="shared" ref="G34:G36" si="10">E34*D34</f>
        <v>1.9776</v>
      </c>
    </row>
    <row r="35" spans="2:9" x14ac:dyDescent="0.25">
      <c r="B35" s="397"/>
      <c r="C35" s="123" t="str">
        <f t="shared" si="7"/>
        <v>Programador/a JAVASCRIPT / ANGULAR / REACT</v>
      </c>
      <c r="D35" s="124">
        <v>0.03</v>
      </c>
      <c r="E35" s="125">
        <f>+$E$52</f>
        <v>35.799999999999997</v>
      </c>
      <c r="F35" s="125">
        <f>+$F$52</f>
        <v>29.59</v>
      </c>
      <c r="G35" s="125">
        <f t="shared" si="10"/>
        <v>1.0739999999999998</v>
      </c>
    </row>
    <row r="36" spans="2:9" x14ac:dyDescent="0.25">
      <c r="B36" s="397"/>
      <c r="C36" s="123" t="str">
        <f t="shared" si="7"/>
        <v>Atenció a persones usuàries</v>
      </c>
      <c r="D36" s="124">
        <v>0.09</v>
      </c>
      <c r="E36" s="125">
        <f>+$E$53</f>
        <v>32.96</v>
      </c>
      <c r="F36" s="125">
        <f>+$F$53</f>
        <v>27.24</v>
      </c>
      <c r="G36" s="125">
        <f t="shared" si="10"/>
        <v>2.9664000000000001</v>
      </c>
    </row>
    <row r="37" spans="2:9" x14ac:dyDescent="0.25">
      <c r="B37" s="397"/>
      <c r="C37" s="123" t="str">
        <f t="shared" si="7"/>
        <v>Formador/a</v>
      </c>
      <c r="D37" s="124">
        <v>0.06</v>
      </c>
      <c r="E37" s="125">
        <f>+$E$54</f>
        <v>52.56</v>
      </c>
      <c r="F37" s="125">
        <f>+$F$54</f>
        <v>43.44</v>
      </c>
      <c r="G37" s="125">
        <f t="shared" ref="G37:G39" si="11">E37*D37</f>
        <v>3.1536</v>
      </c>
    </row>
    <row r="38" spans="2:9" x14ac:dyDescent="0.25">
      <c r="B38" s="397"/>
      <c r="C38" s="123" t="str">
        <f t="shared" si="7"/>
        <v>Maquetador/ra</v>
      </c>
      <c r="D38" s="124">
        <v>0.02</v>
      </c>
      <c r="E38" s="125">
        <f>+$E$55</f>
        <v>38.130000000000003</v>
      </c>
      <c r="F38" s="125">
        <f>+$F$55</f>
        <v>31.51</v>
      </c>
      <c r="G38" s="125">
        <f t="shared" si="11"/>
        <v>0.76260000000000006</v>
      </c>
    </row>
    <row r="39" spans="2:9" x14ac:dyDescent="0.25">
      <c r="B39" s="397"/>
      <c r="C39" s="123" t="str">
        <f t="shared" si="7"/>
        <v>Dissenyador/a</v>
      </c>
      <c r="D39" s="124">
        <v>0.02</v>
      </c>
      <c r="E39" s="125">
        <f>+$E$56</f>
        <v>40.64</v>
      </c>
      <c r="F39" s="125">
        <f>+$F$56</f>
        <v>33.590000000000003</v>
      </c>
      <c r="G39" s="125">
        <f t="shared" si="11"/>
        <v>0.81280000000000008</v>
      </c>
    </row>
    <row r="40" spans="2:9" x14ac:dyDescent="0.25">
      <c r="B40" s="397"/>
      <c r="C40" s="123" t="str">
        <f t="shared" si="7"/>
        <v>Full Stack Developer WINDOWS MOBILE</v>
      </c>
      <c r="D40" s="124">
        <v>0</v>
      </c>
      <c r="E40" s="125">
        <f>+$E$57</f>
        <v>44.92</v>
      </c>
      <c r="F40" s="125">
        <f>+$F$57</f>
        <v>37.119999999999997</v>
      </c>
      <c r="G40" s="125">
        <f t="shared" ref="G40" si="12">E40*D40</f>
        <v>0</v>
      </c>
    </row>
    <row r="41" spans="2:9" x14ac:dyDescent="0.25">
      <c r="B41" s="397"/>
      <c r="C41" s="399" t="s">
        <v>117</v>
      </c>
      <c r="D41" s="399"/>
      <c r="E41" s="399"/>
      <c r="F41" s="126"/>
      <c r="G41" s="127">
        <f>ROUND(SUM(G29:G40),2)</f>
        <v>54.09</v>
      </c>
      <c r="H41" s="128">
        <f>SUM(D29:D40)</f>
        <v>1</v>
      </c>
    </row>
    <row r="44" spans="2:9" ht="15.75" thickBot="1" x14ac:dyDescent="0.3"/>
    <row r="45" spans="2:9" ht="45" x14ac:dyDescent="0.25">
      <c r="C45" s="400" t="s">
        <v>5</v>
      </c>
      <c r="D45" s="401"/>
      <c r="E45" s="129" t="s">
        <v>175</v>
      </c>
      <c r="F45" s="129" t="s">
        <v>174</v>
      </c>
      <c r="G45" s="130"/>
      <c r="H45" s="117"/>
      <c r="I45" s="116"/>
    </row>
    <row r="46" spans="2:9" x14ac:dyDescent="0.25">
      <c r="C46" s="402" t="s">
        <v>301</v>
      </c>
      <c r="D46" s="403"/>
      <c r="E46" s="131">
        <f>+ROUND(F46*1.21,2)</f>
        <v>77.28</v>
      </c>
      <c r="F46" s="113">
        <v>63.87</v>
      </c>
      <c r="H46" s="117"/>
      <c r="I46" s="116"/>
    </row>
    <row r="47" spans="2:9" x14ac:dyDescent="0.25">
      <c r="C47" s="402" t="s">
        <v>302</v>
      </c>
      <c r="D47" s="403"/>
      <c r="E47" s="131">
        <f t="shared" ref="E47:E57" si="13">+ROUND(F47*1.21,2)</f>
        <v>68.069999999999993</v>
      </c>
      <c r="F47" s="113">
        <v>56.26</v>
      </c>
      <c r="H47" s="117"/>
      <c r="I47" s="116"/>
    </row>
    <row r="48" spans="2:9" x14ac:dyDescent="0.25">
      <c r="C48" s="402" t="s">
        <v>429</v>
      </c>
      <c r="D48" s="403"/>
      <c r="E48" s="131">
        <f t="shared" si="13"/>
        <v>66.7</v>
      </c>
      <c r="F48" s="113">
        <v>55.12</v>
      </c>
      <c r="H48" s="117"/>
      <c r="I48" s="116"/>
    </row>
    <row r="49" spans="3:9" x14ac:dyDescent="0.25">
      <c r="C49" s="402" t="s">
        <v>430</v>
      </c>
      <c r="D49" s="403"/>
      <c r="E49" s="131">
        <f t="shared" si="13"/>
        <v>60.09</v>
      </c>
      <c r="F49" s="113">
        <v>49.66</v>
      </c>
      <c r="H49" s="117"/>
      <c r="I49" s="116"/>
    </row>
    <row r="50" spans="3:9" x14ac:dyDescent="0.25">
      <c r="C50" s="402" t="s">
        <v>431</v>
      </c>
      <c r="D50" s="403"/>
      <c r="E50" s="131">
        <f t="shared" si="13"/>
        <v>43.58</v>
      </c>
      <c r="F50" s="113">
        <v>36.020000000000003</v>
      </c>
      <c r="H50" s="117"/>
      <c r="I50" s="116"/>
    </row>
    <row r="51" spans="3:9" x14ac:dyDescent="0.25">
      <c r="C51" s="402" t="s">
        <v>432</v>
      </c>
      <c r="D51" s="403"/>
      <c r="E51" s="131">
        <f t="shared" si="13"/>
        <v>32.96</v>
      </c>
      <c r="F51" s="113">
        <v>27.24</v>
      </c>
      <c r="H51" s="117"/>
      <c r="I51" s="116"/>
    </row>
    <row r="52" spans="3:9" x14ac:dyDescent="0.25">
      <c r="C52" s="402" t="s">
        <v>433</v>
      </c>
      <c r="D52" s="403"/>
      <c r="E52" s="131">
        <f t="shared" si="13"/>
        <v>35.799999999999997</v>
      </c>
      <c r="F52" s="113">
        <v>29.59</v>
      </c>
      <c r="H52" s="117"/>
      <c r="I52" s="116"/>
    </row>
    <row r="53" spans="3:9" x14ac:dyDescent="0.25">
      <c r="C53" s="402" t="s">
        <v>441</v>
      </c>
      <c r="D53" s="403"/>
      <c r="E53" s="131">
        <f t="shared" si="13"/>
        <v>32.96</v>
      </c>
      <c r="F53" s="113">
        <v>27.24</v>
      </c>
      <c r="H53" s="117"/>
      <c r="I53" s="116"/>
    </row>
    <row r="54" spans="3:9" x14ac:dyDescent="0.25">
      <c r="C54" s="402" t="s">
        <v>434</v>
      </c>
      <c r="D54" s="403"/>
      <c r="E54" s="131">
        <f t="shared" si="13"/>
        <v>52.56</v>
      </c>
      <c r="F54" s="113">
        <v>43.44</v>
      </c>
      <c r="H54" s="117"/>
      <c r="I54" s="116"/>
    </row>
    <row r="55" spans="3:9" x14ac:dyDescent="0.25">
      <c r="C55" s="402" t="s">
        <v>435</v>
      </c>
      <c r="D55" s="403"/>
      <c r="E55" s="131">
        <f t="shared" si="13"/>
        <v>38.130000000000003</v>
      </c>
      <c r="F55" s="113">
        <v>31.51</v>
      </c>
      <c r="H55" s="117"/>
      <c r="I55" s="116"/>
    </row>
    <row r="56" spans="3:9" x14ac:dyDescent="0.25">
      <c r="C56" s="402" t="s">
        <v>436</v>
      </c>
      <c r="D56" s="403"/>
      <c r="E56" s="131">
        <f t="shared" si="13"/>
        <v>40.64</v>
      </c>
      <c r="F56" s="113">
        <v>33.590000000000003</v>
      </c>
      <c r="H56" s="117"/>
      <c r="I56" s="116"/>
    </row>
    <row r="57" spans="3:9" x14ac:dyDescent="0.25">
      <c r="C57" s="402" t="s">
        <v>303</v>
      </c>
      <c r="D57" s="403"/>
      <c r="E57" s="131">
        <f t="shared" si="13"/>
        <v>44.92</v>
      </c>
      <c r="F57" s="113">
        <v>37.119999999999997</v>
      </c>
      <c r="H57" s="117"/>
      <c r="I57" s="116"/>
    </row>
  </sheetData>
  <sheetProtection algorithmName="SHA-512" hashValue="vw4c3CSZhlx+rtGsalwj8NIV9DLuy/wAW9PxvpNiYG2d3rwgwwUMRgcuX9qbK4jVyxRG2272Ef19ocOtYvSbyA==" saltValue="Xo5inH8my9MO7X9Hii2pHg==" spinCount="100000" sheet="1" objects="1" scenarios="1" selectLockedCells="1"/>
  <mergeCells count="20">
    <mergeCell ref="C55:D55"/>
    <mergeCell ref="C56:D56"/>
    <mergeCell ref="C57:D57"/>
    <mergeCell ref="C50:D50"/>
    <mergeCell ref="C51:D51"/>
    <mergeCell ref="C52:D52"/>
    <mergeCell ref="C53:D53"/>
    <mergeCell ref="C54:D54"/>
    <mergeCell ref="C45:D45"/>
    <mergeCell ref="C46:D46"/>
    <mergeCell ref="C47:D47"/>
    <mergeCell ref="C48:D48"/>
    <mergeCell ref="C49:D49"/>
    <mergeCell ref="B4:B15"/>
    <mergeCell ref="B16:B28"/>
    <mergeCell ref="B29:B41"/>
    <mergeCell ref="C1:G1"/>
    <mergeCell ref="C15:E15"/>
    <mergeCell ref="C28:E28"/>
    <mergeCell ref="C41:E4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9"/>
  <sheetViews>
    <sheetView showGridLines="0" zoomScale="110" zoomScaleNormal="110" workbookViewId="0"/>
  </sheetViews>
  <sheetFormatPr defaultColWidth="10.5703125" defaultRowHeight="12.75" x14ac:dyDescent="0.2"/>
  <cols>
    <col min="1" max="1" width="31" style="345" customWidth="1"/>
    <col min="2" max="2" width="17.42578125" style="345" customWidth="1"/>
    <col min="3" max="3" width="14.140625" style="345" customWidth="1"/>
    <col min="4" max="4" width="17.85546875" style="345" customWidth="1"/>
    <col min="5" max="5" width="17.140625" style="345" customWidth="1"/>
    <col min="6" max="6" width="16.140625" style="345" customWidth="1"/>
    <col min="7" max="7" width="14.42578125" style="345" customWidth="1"/>
    <col min="8" max="8" width="14" style="345" bestFit="1" customWidth="1"/>
    <col min="9" max="9" width="12.42578125" style="345" bestFit="1" customWidth="1"/>
    <col min="10" max="10" width="13.5703125" style="345" customWidth="1"/>
    <col min="11" max="11" width="14" style="345" bestFit="1" customWidth="1"/>
    <col min="12" max="12" width="12.42578125" style="345" bestFit="1" customWidth="1"/>
    <col min="13" max="14" width="14.42578125" style="345" customWidth="1"/>
    <col min="15" max="16" width="13.42578125" style="345" customWidth="1"/>
    <col min="17" max="17" width="15.5703125" style="345" customWidth="1"/>
    <col min="18" max="18" width="14.5703125" style="345" customWidth="1"/>
    <col min="19" max="19" width="18.42578125" style="345" customWidth="1"/>
    <col min="20" max="16384" width="10.5703125" style="345"/>
  </cols>
  <sheetData>
    <row r="2" spans="1:19" x14ac:dyDescent="0.2">
      <c r="A2" s="344" t="s">
        <v>129</v>
      </c>
    </row>
    <row r="4" spans="1:19" x14ac:dyDescent="0.2">
      <c r="A4" s="346"/>
      <c r="B4" s="408">
        <v>2022</v>
      </c>
      <c r="C4" s="409"/>
      <c r="D4" s="410"/>
      <c r="E4" s="408">
        <v>2023</v>
      </c>
      <c r="F4" s="409"/>
      <c r="G4" s="410"/>
      <c r="H4" s="408">
        <v>2024</v>
      </c>
      <c r="I4" s="409"/>
      <c r="J4" s="410"/>
      <c r="K4" s="408">
        <v>2025</v>
      </c>
      <c r="L4" s="409"/>
      <c r="M4" s="410"/>
    </row>
    <row r="5" spans="1:19" x14ac:dyDescent="0.2">
      <c r="A5" s="347" t="s">
        <v>131</v>
      </c>
      <c r="B5" s="348" t="s">
        <v>123</v>
      </c>
      <c r="C5" s="349" t="s">
        <v>124</v>
      </c>
      <c r="D5" s="349" t="s">
        <v>122</v>
      </c>
      <c r="E5" s="349" t="s">
        <v>123</v>
      </c>
      <c r="F5" s="349" t="s">
        <v>124</v>
      </c>
      <c r="G5" s="349" t="s">
        <v>122</v>
      </c>
      <c r="H5" s="349" t="s">
        <v>123</v>
      </c>
      <c r="I5" s="349" t="s">
        <v>124</v>
      </c>
      <c r="J5" s="349" t="s">
        <v>122</v>
      </c>
      <c r="K5" s="349" t="s">
        <v>123</v>
      </c>
      <c r="L5" s="349" t="s">
        <v>124</v>
      </c>
      <c r="M5" s="349" t="s">
        <v>122</v>
      </c>
      <c r="N5" s="349" t="s">
        <v>139</v>
      </c>
      <c r="O5" s="349" t="s">
        <v>140</v>
      </c>
      <c r="P5" s="349" t="s">
        <v>141</v>
      </c>
    </row>
    <row r="6" spans="1:19" x14ac:dyDescent="0.2">
      <c r="A6" s="350" t="s">
        <v>7</v>
      </c>
      <c r="B6" s="351">
        <f>ROUND('Càlcul pressupost '!E6/1.21,2)</f>
        <v>67222.929999999993</v>
      </c>
      <c r="C6" s="351">
        <f>ROUND(B6*0.21,2)</f>
        <v>14116.82</v>
      </c>
      <c r="D6" s="351">
        <f>+B6+C6</f>
        <v>81339.75</v>
      </c>
      <c r="E6" s="351">
        <f>ROUND('Càlcul pressupost '!F6/1.21,2)</f>
        <v>409761.74</v>
      </c>
      <c r="F6" s="351">
        <f>ROUND(E6*0.21,2)</f>
        <v>86049.97</v>
      </c>
      <c r="G6" s="351">
        <f t="shared" ref="G6:G7" si="0">+E6+F6</f>
        <v>495811.70999999996</v>
      </c>
      <c r="H6" s="351">
        <f>ROUND('Càlcul pressupost '!G6/1.21,2)</f>
        <v>409429.79</v>
      </c>
      <c r="I6" s="351">
        <f t="shared" ref="I6:I7" si="1">ROUND(H6*0.21,2)</f>
        <v>85980.26</v>
      </c>
      <c r="J6" s="351">
        <f t="shared" ref="J6:J7" si="2">+H6+I6</f>
        <v>495410.05</v>
      </c>
      <c r="K6" s="351">
        <f>ROUND('Càlcul pressupost '!H6/1.21,2)</f>
        <v>292242.02</v>
      </c>
      <c r="L6" s="351">
        <f t="shared" ref="L6:L7" si="3">ROUND(K6*0.21,2)</f>
        <v>61370.82</v>
      </c>
      <c r="M6" s="351">
        <f t="shared" ref="M6:M7" si="4">+K6+L6</f>
        <v>353612.84</v>
      </c>
      <c r="N6" s="351">
        <f>+B6+E6+H6+K6</f>
        <v>1178656.48</v>
      </c>
      <c r="O6" s="351">
        <f t="shared" ref="O6:O10" si="5">+C6+F6+I6+L6</f>
        <v>247517.87</v>
      </c>
      <c r="P6" s="351">
        <f t="shared" ref="P6:P10" si="6">+D6+G6+J6+M6</f>
        <v>1426174.35</v>
      </c>
    </row>
    <row r="7" spans="1:19" x14ac:dyDescent="0.2">
      <c r="A7" s="350" t="s">
        <v>13</v>
      </c>
      <c r="B7" s="351">
        <f>ROUND('Càlcul pressupost '!E7/1.21,2)</f>
        <v>213520.28</v>
      </c>
      <c r="C7" s="351">
        <f>ROUND(B7*0.21,2)</f>
        <v>44839.26</v>
      </c>
      <c r="D7" s="351">
        <f t="shared" ref="D7" si="7">+B7+C7</f>
        <v>258359.54</v>
      </c>
      <c r="E7" s="351">
        <f>ROUND('Càlcul pressupost '!F7/1.21,2)</f>
        <v>939392.62</v>
      </c>
      <c r="F7" s="352">
        <f>ROUND(E7*0.21,2)+0.01</f>
        <v>197272.46000000002</v>
      </c>
      <c r="G7" s="351">
        <f t="shared" si="0"/>
        <v>1136665.08</v>
      </c>
      <c r="H7" s="351">
        <f>ROUND('Càlcul pressupost '!G7/1.21,2)</f>
        <v>973298.21</v>
      </c>
      <c r="I7" s="351">
        <f t="shared" si="1"/>
        <v>204392.62</v>
      </c>
      <c r="J7" s="351">
        <f t="shared" si="2"/>
        <v>1177690.83</v>
      </c>
      <c r="K7" s="351">
        <f>ROUND('Càlcul pressupost '!H7/1.21,2)</f>
        <v>681272.72</v>
      </c>
      <c r="L7" s="351">
        <f t="shared" si="3"/>
        <v>143067.26999999999</v>
      </c>
      <c r="M7" s="351">
        <f t="shared" si="4"/>
        <v>824339.99</v>
      </c>
      <c r="N7" s="351">
        <f t="shared" ref="N7:N9" si="8">+B7+E7+H7+K7</f>
        <v>2807483.83</v>
      </c>
      <c r="O7" s="351">
        <f t="shared" si="5"/>
        <v>589571.61</v>
      </c>
      <c r="P7" s="351">
        <f t="shared" si="6"/>
        <v>3397055.4400000004</v>
      </c>
    </row>
    <row r="8" spans="1:19" x14ac:dyDescent="0.2">
      <c r="A8" s="353" t="s">
        <v>196</v>
      </c>
      <c r="B8" s="351">
        <f>ROUND('Càlcul pressupost '!E8/1.21,2)</f>
        <v>57269.77</v>
      </c>
      <c r="C8" s="351">
        <f t="shared" ref="C8:C10" si="9">ROUND(B8*0.21,2)</f>
        <v>12026.65</v>
      </c>
      <c r="D8" s="351">
        <f>+B8+C8</f>
        <v>69296.42</v>
      </c>
      <c r="E8" s="351">
        <f>ROUND('Càlcul pressupost '!F8/1.21,2)</f>
        <v>355480.93</v>
      </c>
      <c r="F8" s="351">
        <f>ROUND(E8*0.21,2)</f>
        <v>74651</v>
      </c>
      <c r="G8" s="351">
        <f>+E8+F8</f>
        <v>430131.93</v>
      </c>
      <c r="H8" s="351">
        <f>ROUND('Càlcul pressupost '!G8/1.21,2)</f>
        <v>357201.04</v>
      </c>
      <c r="I8" s="351">
        <f>ROUND(H8*0.21,2)</f>
        <v>75012.22</v>
      </c>
      <c r="J8" s="351">
        <f>+H8+I8</f>
        <v>432213.26</v>
      </c>
      <c r="K8" s="351">
        <f>ROUND('Càlcul pressupost '!H8/1.21,2)</f>
        <v>258081.78</v>
      </c>
      <c r="L8" s="351">
        <f>ROUND(K8*0.21,2)</f>
        <v>54197.17</v>
      </c>
      <c r="M8" s="351">
        <f>+K8+L8</f>
        <v>312278.95</v>
      </c>
      <c r="N8" s="351">
        <f t="shared" si="8"/>
        <v>1028033.52</v>
      </c>
      <c r="O8" s="351">
        <f t="shared" si="5"/>
        <v>215887.03999999998</v>
      </c>
      <c r="P8" s="351">
        <f t="shared" si="6"/>
        <v>1243920.56</v>
      </c>
    </row>
    <row r="9" spans="1:19" x14ac:dyDescent="0.2">
      <c r="A9" s="353" t="s">
        <v>189</v>
      </c>
      <c r="B9" s="351">
        <f>ROUND('Càlcul pressupost '!E9/1.21,2)</f>
        <v>0</v>
      </c>
      <c r="C9" s="351">
        <f t="shared" ref="C9" si="10">ROUND(B9*0.21,2)</f>
        <v>0</v>
      </c>
      <c r="D9" s="351">
        <f t="shared" ref="D9:D10" si="11">+B9+C9</f>
        <v>0</v>
      </c>
      <c r="E9" s="351">
        <f>ROUND('Càlcul pressupost '!F9/1.21,2)</f>
        <v>0</v>
      </c>
      <c r="F9" s="351">
        <f>ROUND(E9*0.21,2)</f>
        <v>0</v>
      </c>
      <c r="G9" s="354">
        <f>+E9+F9</f>
        <v>0</v>
      </c>
      <c r="H9" s="351">
        <f>ROUND('Càlcul pressupost '!G9/1.21,2)</f>
        <v>0</v>
      </c>
      <c r="I9" s="351">
        <f>ROUND(H9*0.21,2)</f>
        <v>0</v>
      </c>
      <c r="J9" s="351">
        <f>+H9+I9</f>
        <v>0</v>
      </c>
      <c r="K9" s="351">
        <f>ROUND('Càlcul pressupost '!H9/1.21,2)</f>
        <v>0</v>
      </c>
      <c r="L9" s="351">
        <f>ROUND(K9*0.21,2)</f>
        <v>0</v>
      </c>
      <c r="M9" s="351">
        <f>+K9+L9</f>
        <v>0</v>
      </c>
      <c r="N9" s="351">
        <f t="shared" si="8"/>
        <v>0</v>
      </c>
      <c r="O9" s="351">
        <f t="shared" si="5"/>
        <v>0</v>
      </c>
      <c r="P9" s="351">
        <f t="shared" si="6"/>
        <v>0</v>
      </c>
    </row>
    <row r="10" spans="1:19" x14ac:dyDescent="0.2">
      <c r="A10" s="353" t="s">
        <v>414</v>
      </c>
      <c r="B10" s="351"/>
      <c r="C10" s="351">
        <f t="shared" si="9"/>
        <v>0</v>
      </c>
      <c r="D10" s="351">
        <f t="shared" si="11"/>
        <v>0</v>
      </c>
      <c r="E10" s="351">
        <f>ROUND('Càlcul pressupost '!F10/1.21,2)</f>
        <v>0</v>
      </c>
      <c r="F10" s="351">
        <f>ROUND(E10*0.21,2)</f>
        <v>0</v>
      </c>
      <c r="G10" s="354">
        <f>+E10+F10</f>
        <v>0</v>
      </c>
      <c r="H10" s="351">
        <f>ROUND('Càlcul pressupost '!G10/1.21,2)</f>
        <v>0</v>
      </c>
      <c r="I10" s="351">
        <f>ROUND(H10*0.21,2)</f>
        <v>0</v>
      </c>
      <c r="J10" s="351">
        <f>+H10+I10</f>
        <v>0</v>
      </c>
      <c r="K10" s="351">
        <f>ROUND('Càlcul pressupost '!H10/1.21,2)</f>
        <v>0</v>
      </c>
      <c r="L10" s="351">
        <f>ROUND(K10*0.21,2)</f>
        <v>0</v>
      </c>
      <c r="M10" s="351">
        <f>+K10+L10</f>
        <v>0</v>
      </c>
      <c r="N10" s="351">
        <f>+B10+E10+H10+K10</f>
        <v>0</v>
      </c>
      <c r="O10" s="351">
        <f t="shared" si="5"/>
        <v>0</v>
      </c>
      <c r="P10" s="351">
        <f t="shared" si="6"/>
        <v>0</v>
      </c>
    </row>
    <row r="11" spans="1:19" x14ac:dyDescent="0.2">
      <c r="B11" s="355">
        <f t="shared" ref="B11:O11" si="12">SUM(B6:B10)</f>
        <v>338012.98</v>
      </c>
      <c r="C11" s="355">
        <f t="shared" si="12"/>
        <v>70982.73</v>
      </c>
      <c r="D11" s="355">
        <f t="shared" si="12"/>
        <v>408995.71</v>
      </c>
      <c r="E11" s="355">
        <f t="shared" si="12"/>
        <v>1704635.2899999998</v>
      </c>
      <c r="F11" s="355">
        <f t="shared" si="12"/>
        <v>357973.43000000005</v>
      </c>
      <c r="G11" s="356">
        <f t="shared" si="12"/>
        <v>2062608.72</v>
      </c>
      <c r="H11" s="355">
        <f t="shared" si="12"/>
        <v>1739929.04</v>
      </c>
      <c r="I11" s="355">
        <f t="shared" si="12"/>
        <v>365385.1</v>
      </c>
      <c r="J11" s="355">
        <f t="shared" si="12"/>
        <v>2105314.14</v>
      </c>
      <c r="K11" s="355">
        <f t="shared" si="12"/>
        <v>1231596.52</v>
      </c>
      <c r="L11" s="355">
        <f t="shared" si="12"/>
        <v>258635.26</v>
      </c>
      <c r="M11" s="355">
        <f t="shared" si="12"/>
        <v>1490231.78</v>
      </c>
      <c r="N11" s="355">
        <f t="shared" si="12"/>
        <v>5014173.83</v>
      </c>
      <c r="O11" s="355">
        <f t="shared" si="12"/>
        <v>1052976.52</v>
      </c>
      <c r="P11" s="355">
        <f>SUM(P6:P10)</f>
        <v>6067150.3500000015</v>
      </c>
    </row>
    <row r="12" spans="1:19" x14ac:dyDescent="0.2">
      <c r="B12" s="357"/>
      <c r="C12" s="357"/>
      <c r="D12" s="357"/>
      <c r="E12" s="357"/>
      <c r="F12" s="357"/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S12" s="358"/>
    </row>
    <row r="13" spans="1:19" x14ac:dyDescent="0.2">
      <c r="A13" s="359" t="s">
        <v>128</v>
      </c>
    </row>
    <row r="14" spans="1:19" x14ac:dyDescent="0.2">
      <c r="A14" s="359"/>
    </row>
    <row r="15" spans="1:19" ht="18" customHeight="1" x14ac:dyDescent="0.2">
      <c r="A15" s="360" t="s">
        <v>154</v>
      </c>
    </row>
    <row r="16" spans="1:19" ht="21" customHeight="1" x14ac:dyDescent="0.2">
      <c r="A16" s="360" t="s">
        <v>125</v>
      </c>
      <c r="B16" s="360" t="s">
        <v>126</v>
      </c>
      <c r="C16" s="360" t="s">
        <v>127</v>
      </c>
      <c r="D16" s="360" t="s">
        <v>122</v>
      </c>
    </row>
    <row r="17" spans="1:17" x14ac:dyDescent="0.2">
      <c r="A17" s="361">
        <v>2022</v>
      </c>
      <c r="B17" s="362">
        <f>+B11</f>
        <v>338012.98</v>
      </c>
      <c r="C17" s="362">
        <f>+C11</f>
        <v>70982.73</v>
      </c>
      <c r="D17" s="362">
        <f>+B17+C17</f>
        <v>408995.70999999996</v>
      </c>
      <c r="E17" s="411" t="s">
        <v>179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</row>
    <row r="18" spans="1:17" x14ac:dyDescent="0.2">
      <c r="A18" s="361">
        <v>2023</v>
      </c>
      <c r="B18" s="362">
        <f>+E11</f>
        <v>1704635.2899999998</v>
      </c>
      <c r="C18" s="362">
        <f>+F11</f>
        <v>357973.43000000005</v>
      </c>
      <c r="D18" s="362">
        <f>+G11</f>
        <v>2062608.72</v>
      </c>
      <c r="E18" s="411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2"/>
    </row>
    <row r="19" spans="1:17" x14ac:dyDescent="0.2">
      <c r="A19" s="361">
        <v>2024</v>
      </c>
      <c r="B19" s="362">
        <f>+H11</f>
        <v>1739929.04</v>
      </c>
      <c r="C19" s="362">
        <f>+I11</f>
        <v>365385.1</v>
      </c>
      <c r="D19" s="362">
        <f>+J11</f>
        <v>2105314.14</v>
      </c>
      <c r="E19" s="411"/>
      <c r="F19" s="412"/>
      <c r="G19" s="412"/>
      <c r="H19" s="412"/>
      <c r="I19" s="412"/>
      <c r="J19" s="412"/>
      <c r="K19" s="412"/>
      <c r="L19" s="412"/>
      <c r="M19" s="412"/>
      <c r="N19" s="412"/>
      <c r="O19" s="412"/>
      <c r="P19" s="412"/>
      <c r="Q19" s="412"/>
    </row>
    <row r="20" spans="1:17" x14ac:dyDescent="0.2">
      <c r="A20" s="361">
        <v>2025</v>
      </c>
      <c r="B20" s="362">
        <f>+K11</f>
        <v>1231596.52</v>
      </c>
      <c r="C20" s="362">
        <f>+L11</f>
        <v>258635.26</v>
      </c>
      <c r="D20" s="362">
        <f>+M11</f>
        <v>1490231.78</v>
      </c>
      <c r="E20" s="411"/>
      <c r="F20" s="412"/>
      <c r="G20" s="412"/>
      <c r="H20" s="412"/>
      <c r="I20" s="412"/>
      <c r="J20" s="412"/>
      <c r="K20" s="412"/>
      <c r="L20" s="412"/>
      <c r="M20" s="412"/>
      <c r="N20" s="412"/>
      <c r="O20" s="412"/>
      <c r="P20" s="412"/>
      <c r="Q20" s="412"/>
    </row>
    <row r="21" spans="1:17" x14ac:dyDescent="0.2">
      <c r="A21" s="361" t="s">
        <v>116</v>
      </c>
      <c r="B21" s="363">
        <f>SUM(B17:B20)</f>
        <v>5014173.83</v>
      </c>
      <c r="C21" s="363">
        <f>SUM(C17:C20)</f>
        <v>1052976.52</v>
      </c>
      <c r="D21" s="363">
        <f>SUM(D17:D20)</f>
        <v>6067150.3500000006</v>
      </c>
      <c r="E21" s="411"/>
      <c r="F21" s="412"/>
      <c r="G21" s="412"/>
      <c r="H21" s="412"/>
      <c r="I21" s="412"/>
      <c r="J21" s="412"/>
      <c r="K21" s="412"/>
      <c r="L21" s="412"/>
      <c r="M21" s="412"/>
      <c r="N21" s="412"/>
      <c r="O21" s="412"/>
      <c r="P21" s="412"/>
      <c r="Q21" s="412"/>
    </row>
    <row r="22" spans="1:17" x14ac:dyDescent="0.2">
      <c r="D22" s="364">
        <f>+B21*1.21</f>
        <v>6067150.3343000002</v>
      </c>
      <c r="E22" s="411"/>
      <c r="F22" s="412"/>
      <c r="G22" s="412"/>
      <c r="H22" s="412"/>
      <c r="I22" s="412"/>
      <c r="J22" s="412"/>
      <c r="K22" s="412"/>
      <c r="L22" s="412"/>
      <c r="M22" s="412"/>
      <c r="N22" s="412"/>
      <c r="O22" s="412"/>
      <c r="P22" s="412"/>
      <c r="Q22" s="412"/>
    </row>
    <row r="23" spans="1:17" ht="21.75" customHeight="1" x14ac:dyDescent="0.2">
      <c r="D23" s="365"/>
      <c r="E23" s="366"/>
    </row>
    <row r="24" spans="1:17" ht="21.75" customHeight="1" x14ac:dyDescent="0.2">
      <c r="D24" s="365"/>
      <c r="E24" s="366"/>
    </row>
    <row r="25" spans="1:17" x14ac:dyDescent="0.2">
      <c r="A25" s="359" t="s">
        <v>130</v>
      </c>
      <c r="E25" s="366"/>
    </row>
    <row r="26" spans="1:17" ht="38.25" x14ac:dyDescent="0.2">
      <c r="A26" s="367" t="s">
        <v>148</v>
      </c>
      <c r="B26" s="367" t="s">
        <v>149</v>
      </c>
      <c r="C26" s="367" t="s">
        <v>142</v>
      </c>
      <c r="D26" s="367" t="s">
        <v>120</v>
      </c>
      <c r="E26" s="367" t="s">
        <v>143</v>
      </c>
      <c r="F26" s="367" t="s">
        <v>121</v>
      </c>
    </row>
    <row r="27" spans="1:17" ht="38.25" x14ac:dyDescent="0.2">
      <c r="A27" s="368" t="s">
        <v>180</v>
      </c>
      <c r="B27" s="369">
        <f>$D$21</f>
        <v>6067150.3500000006</v>
      </c>
      <c r="C27" s="370">
        <v>0.2</v>
      </c>
      <c r="D27" s="371">
        <f>+ROUND(B27*C27,2)</f>
        <v>1213430.07</v>
      </c>
      <c r="E27" s="370">
        <v>0.2</v>
      </c>
      <c r="F27" s="371">
        <f>+ROUND(B27*E27,2)</f>
        <v>1213430.07</v>
      </c>
    </row>
    <row r="28" spans="1:17" x14ac:dyDescent="0.2">
      <c r="A28" s="372" t="s">
        <v>119</v>
      </c>
      <c r="B28" s="373">
        <f>SUM(B27:B27)</f>
        <v>6067150.3500000006</v>
      </c>
      <c r="C28" s="374">
        <f>SUM(C27:C27)</f>
        <v>0.2</v>
      </c>
      <c r="D28" s="375">
        <f>SUM(D27:D27)</f>
        <v>1213430.07</v>
      </c>
      <c r="E28" s="374">
        <f>SUM(E27:E27)</f>
        <v>0.2</v>
      </c>
      <c r="F28" s="375">
        <f>SUM(F27:F27)</f>
        <v>1213430.07</v>
      </c>
    </row>
    <row r="29" spans="1:17" x14ac:dyDescent="0.2">
      <c r="D29" s="376">
        <f>+ROUND(D28/1.21,2)</f>
        <v>1002834.77</v>
      </c>
      <c r="F29" s="376">
        <f>+ROUND(F28/1.21,2)</f>
        <v>1002834.77</v>
      </c>
    </row>
    <row r="30" spans="1:17" x14ac:dyDescent="0.2">
      <c r="D30" s="377" t="s">
        <v>145</v>
      </c>
      <c r="F30" s="377" t="s">
        <v>145</v>
      </c>
    </row>
    <row r="31" spans="1:17" x14ac:dyDescent="0.2">
      <c r="A31" s="359" t="s">
        <v>132</v>
      </c>
    </row>
    <row r="33" spans="1:11" ht="51" x14ac:dyDescent="0.2">
      <c r="A33" s="378"/>
      <c r="B33" s="379" t="s">
        <v>150</v>
      </c>
      <c r="C33" s="379" t="s">
        <v>118</v>
      </c>
      <c r="D33" s="379" t="s">
        <v>151</v>
      </c>
      <c r="E33" s="379" t="s">
        <v>152</v>
      </c>
      <c r="F33" s="379" t="s">
        <v>153</v>
      </c>
    </row>
    <row r="34" spans="1:11" x14ac:dyDescent="0.2">
      <c r="A34" s="378">
        <v>2022</v>
      </c>
      <c r="B34" s="380">
        <f>+B17</f>
        <v>338012.98</v>
      </c>
      <c r="C34" s="371"/>
      <c r="D34" s="381">
        <f t="shared" ref="D34:D38" si="13">ROUND(G34/$G$40*$D$29,2)</f>
        <v>39906.980000000003</v>
      </c>
      <c r="E34" s="381">
        <f t="shared" ref="E34:E38" si="14">ROUND(-G34/$G$40*$F$29,2)</f>
        <v>-39906.980000000003</v>
      </c>
      <c r="F34" s="381">
        <f t="shared" ref="F34:F39" si="15">SUM(B34:D34)</f>
        <v>377919.95999999996</v>
      </c>
      <c r="G34" s="382">
        <f t="shared" ref="G34:G38" si="16">+B34+C34</f>
        <v>338012.98</v>
      </c>
    </row>
    <row r="35" spans="1:11" x14ac:dyDescent="0.2">
      <c r="A35" s="378">
        <v>2023</v>
      </c>
      <c r="B35" s="380">
        <f>+B18</f>
        <v>1704635.2899999998</v>
      </c>
      <c r="C35" s="371"/>
      <c r="D35" s="371">
        <f t="shared" si="13"/>
        <v>201255.14</v>
      </c>
      <c r="E35" s="381">
        <f t="shared" si="14"/>
        <v>-201255.14</v>
      </c>
      <c r="F35" s="381">
        <f t="shared" si="15"/>
        <v>1905890.4299999997</v>
      </c>
      <c r="G35" s="382">
        <f t="shared" si="16"/>
        <v>1704635.2899999998</v>
      </c>
    </row>
    <row r="36" spans="1:11" x14ac:dyDescent="0.2">
      <c r="A36" s="378">
        <v>2024</v>
      </c>
      <c r="B36" s="380">
        <f>+B19</f>
        <v>1739929.04</v>
      </c>
      <c r="C36" s="371"/>
      <c r="D36" s="371">
        <f t="shared" si="13"/>
        <v>205422.04</v>
      </c>
      <c r="E36" s="381">
        <f t="shared" si="14"/>
        <v>-205422.04</v>
      </c>
      <c r="F36" s="381">
        <f t="shared" si="15"/>
        <v>1945351.08</v>
      </c>
      <c r="G36" s="382">
        <f t="shared" si="16"/>
        <v>1739929.04</v>
      </c>
      <c r="H36" s="382"/>
      <c r="K36" s="382"/>
    </row>
    <row r="37" spans="1:11" x14ac:dyDescent="0.2">
      <c r="A37" s="378">
        <v>2025</v>
      </c>
      <c r="B37" s="380">
        <f>+B20</f>
        <v>1231596.52</v>
      </c>
      <c r="C37" s="380">
        <f>+B36-B37</f>
        <v>508332.52</v>
      </c>
      <c r="D37" s="371">
        <f t="shared" si="13"/>
        <v>205422.04</v>
      </c>
      <c r="E37" s="381">
        <f t="shared" si="14"/>
        <v>-205422.04</v>
      </c>
      <c r="F37" s="381">
        <f t="shared" si="15"/>
        <v>1945351.08</v>
      </c>
      <c r="G37" s="382">
        <f>+B37+C37</f>
        <v>1739929.04</v>
      </c>
    </row>
    <row r="38" spans="1:11" x14ac:dyDescent="0.2">
      <c r="A38" s="378">
        <v>2026</v>
      </c>
      <c r="B38" s="380"/>
      <c r="C38" s="380">
        <f>+B36</f>
        <v>1739929.04</v>
      </c>
      <c r="D38" s="371">
        <f t="shared" si="13"/>
        <v>205422.04</v>
      </c>
      <c r="E38" s="381">
        <f t="shared" si="14"/>
        <v>-205422.04</v>
      </c>
      <c r="F38" s="381">
        <f t="shared" si="15"/>
        <v>1945351.08</v>
      </c>
      <c r="G38" s="382">
        <f t="shared" si="16"/>
        <v>1739929.04</v>
      </c>
    </row>
    <row r="39" spans="1:11" x14ac:dyDescent="0.2">
      <c r="A39" s="378">
        <v>2027</v>
      </c>
      <c r="B39" s="380"/>
      <c r="C39" s="380">
        <f>+B37</f>
        <v>1231596.52</v>
      </c>
      <c r="D39" s="371">
        <f>ROUND(G39/$G$40*$D$29,2)-0.01</f>
        <v>145406.53</v>
      </c>
      <c r="E39" s="381">
        <f>ROUND(-G39/$G$40*$F$29,2)+0.01</f>
        <v>-145406.53</v>
      </c>
      <c r="F39" s="381">
        <f t="shared" si="15"/>
        <v>1377003.05</v>
      </c>
      <c r="G39" s="382">
        <f>+B39+C39</f>
        <v>1231596.52</v>
      </c>
    </row>
    <row r="40" spans="1:11" x14ac:dyDescent="0.2">
      <c r="A40" s="383" t="s">
        <v>116</v>
      </c>
      <c r="B40" s="384">
        <f t="shared" ref="B40:G40" si="17">SUM(B34:B39)</f>
        <v>5014173.83</v>
      </c>
      <c r="C40" s="384">
        <f t="shared" si="17"/>
        <v>3479858.08</v>
      </c>
      <c r="D40" s="384">
        <f t="shared" si="17"/>
        <v>1002834.7700000001</v>
      </c>
      <c r="E40" s="384">
        <f t="shared" si="17"/>
        <v>-1002834.7700000001</v>
      </c>
      <c r="F40" s="384">
        <f t="shared" si="17"/>
        <v>9496866.6799999997</v>
      </c>
      <c r="G40" s="382">
        <f t="shared" si="17"/>
        <v>8494031.9100000001</v>
      </c>
      <c r="H40" s="385"/>
      <c r="K40" s="385"/>
    </row>
    <row r="41" spans="1:11" x14ac:dyDescent="0.2">
      <c r="A41" s="386"/>
      <c r="B41" s="387"/>
      <c r="C41" s="387"/>
      <c r="D41" s="387"/>
      <c r="E41" s="387"/>
      <c r="F41" s="387"/>
      <c r="G41" s="385"/>
    </row>
    <row r="44" spans="1:11" ht="15" x14ac:dyDescent="0.25">
      <c r="A44" s="388"/>
      <c r="B44" s="388"/>
      <c r="C44" s="388"/>
    </row>
    <row r="45" spans="1:11" ht="15.75" x14ac:dyDescent="0.25">
      <c r="A45" s="389" t="s">
        <v>132</v>
      </c>
      <c r="B45" s="404" t="s">
        <v>181</v>
      </c>
      <c r="C45" s="405"/>
      <c r="D45" s="405"/>
      <c r="E45" s="405"/>
    </row>
    <row r="46" spans="1:11" ht="15" x14ac:dyDescent="0.2">
      <c r="A46" s="390">
        <f>+F40</f>
        <v>9496866.6799999997</v>
      </c>
      <c r="B46" s="406" t="s">
        <v>170</v>
      </c>
      <c r="C46" s="407"/>
      <c r="D46" s="406" t="s">
        <v>171</v>
      </c>
      <c r="E46" s="407"/>
    </row>
    <row r="47" spans="1:11" ht="15" x14ac:dyDescent="0.25">
      <c r="A47" s="389" t="s">
        <v>182</v>
      </c>
      <c r="B47" s="389" t="s">
        <v>183</v>
      </c>
      <c r="C47" s="389" t="s">
        <v>184</v>
      </c>
      <c r="D47" s="389" t="s">
        <v>185</v>
      </c>
      <c r="E47" s="389" t="s">
        <v>184</v>
      </c>
    </row>
    <row r="48" spans="1:11" x14ac:dyDescent="0.2">
      <c r="A48" s="391">
        <v>5</v>
      </c>
      <c r="B48" s="371">
        <f>+C48/A48</f>
        <v>2849060.0039999997</v>
      </c>
      <c r="C48" s="371">
        <f>1.5*A46</f>
        <v>14245300.02</v>
      </c>
      <c r="D48" s="371">
        <f>ROUND(A46*2/3/A48,2)</f>
        <v>1266248.8899999999</v>
      </c>
      <c r="E48" s="371">
        <f>+C48</f>
        <v>14245300.02</v>
      </c>
      <c r="F48" s="392"/>
    </row>
    <row r="49" spans="2:5" x14ac:dyDescent="0.2">
      <c r="B49" s="393" t="s">
        <v>186</v>
      </c>
      <c r="C49" s="393" t="s">
        <v>187</v>
      </c>
      <c r="D49" s="394" t="s">
        <v>188</v>
      </c>
      <c r="E49" s="393" t="s">
        <v>187</v>
      </c>
    </row>
    <row r="50" spans="2:5" ht="15" x14ac:dyDescent="0.25">
      <c r="D50" s="388"/>
    </row>
    <row r="51" spans="2:5" ht="15" x14ac:dyDescent="0.25">
      <c r="D51" s="388" t="s">
        <v>134</v>
      </c>
    </row>
    <row r="52" spans="2:5" ht="15" x14ac:dyDescent="0.25">
      <c r="D52" s="395"/>
    </row>
    <row r="53" spans="2:5" ht="15" x14ac:dyDescent="0.25">
      <c r="D53" s="395"/>
    </row>
    <row r="54" spans="2:5" ht="15" x14ac:dyDescent="0.25">
      <c r="D54" s="388"/>
    </row>
    <row r="55" spans="2:5" ht="15" x14ac:dyDescent="0.25">
      <c r="D55" s="388"/>
    </row>
    <row r="56" spans="2:5" ht="15" x14ac:dyDescent="0.25">
      <c r="D56" s="388"/>
    </row>
    <row r="57" spans="2:5" ht="15" x14ac:dyDescent="0.25">
      <c r="B57" s="358"/>
      <c r="D57" s="388"/>
    </row>
    <row r="58" spans="2:5" ht="15" x14ac:dyDescent="0.25">
      <c r="D58" s="388"/>
    </row>
    <row r="59" spans="2:5" ht="15" x14ac:dyDescent="0.25">
      <c r="D59" s="388"/>
    </row>
  </sheetData>
  <sheetProtection algorithmName="SHA-512" hashValue="RToavP1W5QkSAWzUjjzzIofpstJN6/d76ZMI7UUI/Fan1TBhh9Y2oB7Cnevt/iMQdf0Gx1/3sTzVcAXm3JaSLQ==" saltValue="lhixUS/qYqf6SJU+nEl4jg==" spinCount="100000" sheet="1" objects="1" scenarios="1"/>
  <mergeCells count="8">
    <mergeCell ref="B45:E45"/>
    <mergeCell ref="B46:C46"/>
    <mergeCell ref="D46:E46"/>
    <mergeCell ref="B4:D4"/>
    <mergeCell ref="H4:J4"/>
    <mergeCell ref="E4:G4"/>
    <mergeCell ref="E17:Q22"/>
    <mergeCell ref="K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/>
  </sheetViews>
  <sheetFormatPr defaultColWidth="14.42578125" defaultRowHeight="15" x14ac:dyDescent="0.25"/>
  <cols>
    <col min="1" max="2" width="11.42578125" style="58" customWidth="1"/>
    <col min="3" max="3" width="46.42578125" style="58" bestFit="1" customWidth="1"/>
    <col min="4" max="4" width="28.5703125" style="58" customWidth="1"/>
    <col min="5" max="5" width="20.5703125" style="58" customWidth="1"/>
    <col min="6" max="7" width="15.5703125" style="58" customWidth="1"/>
    <col min="8" max="8" width="14.42578125" style="58" bestFit="1" customWidth="1"/>
    <col min="9" max="9" width="17" style="58" customWidth="1"/>
    <col min="10" max="10" width="28.42578125" style="58" customWidth="1"/>
    <col min="11" max="11" width="19.5703125" style="58" bestFit="1" customWidth="1"/>
    <col min="12" max="12" width="17.5703125" style="58" customWidth="1"/>
    <col min="13" max="26" width="11.42578125" style="58" customWidth="1"/>
    <col min="27" max="16384" width="14.42578125" style="58"/>
  </cols>
  <sheetData>
    <row r="1" spans="1:11" x14ac:dyDescent="0.25">
      <c r="G1" s="59"/>
    </row>
    <row r="2" spans="1:11" x14ac:dyDescent="0.25">
      <c r="A2" s="60" t="s">
        <v>155</v>
      </c>
      <c r="B2" s="61"/>
      <c r="C2" s="61"/>
      <c r="D2" s="61"/>
      <c r="E2" s="61"/>
      <c r="F2" s="61"/>
      <c r="G2" s="62"/>
      <c r="H2" s="61"/>
      <c r="I2" s="61"/>
    </row>
    <row r="3" spans="1:11" ht="15.75" customHeight="1" x14ac:dyDescent="0.25">
      <c r="G3" s="59"/>
    </row>
    <row r="4" spans="1:11" s="57" customFormat="1" ht="44.25" customHeight="1" x14ac:dyDescent="0.25">
      <c r="A4" s="91"/>
      <c r="B4" s="92"/>
      <c r="C4" s="90" t="s">
        <v>156</v>
      </c>
      <c r="D4" s="93" t="s">
        <v>157</v>
      </c>
      <c r="E4" s="92" t="s">
        <v>158</v>
      </c>
      <c r="F4" s="93" t="s">
        <v>159</v>
      </c>
      <c r="G4" s="94" t="s">
        <v>160</v>
      </c>
      <c r="H4" s="92" t="s">
        <v>161</v>
      </c>
      <c r="I4" s="93" t="s">
        <v>162</v>
      </c>
      <c r="J4" s="93" t="s">
        <v>163</v>
      </c>
      <c r="K4" s="94" t="s">
        <v>176</v>
      </c>
    </row>
    <row r="5" spans="1:11" ht="15.75" customHeight="1" x14ac:dyDescent="0.25">
      <c r="A5" s="64"/>
      <c r="B5" s="63"/>
      <c r="C5" s="89">
        <f>'Taules IJ'!B21</f>
        <v>5014173.83</v>
      </c>
      <c r="D5" s="65">
        <f>ROUND(C5*0.2, 2)</f>
        <v>1002834.77</v>
      </c>
      <c r="E5" s="66">
        <f>ROUND(C5-D5, 2)</f>
        <v>4011339.06</v>
      </c>
      <c r="F5" s="65">
        <f>ROUND(E5*0.08, 2)</f>
        <v>320907.12</v>
      </c>
      <c r="G5" s="67">
        <f>ROUND(D5+F5, 2)</f>
        <v>1323741.8899999999</v>
      </c>
      <c r="H5" s="66">
        <f>ROUND(E5-F5, 2)</f>
        <v>3690431.94</v>
      </c>
      <c r="I5" s="65">
        <f>ROUND(H5*(0.34/1.34), 2)</f>
        <v>936378.25</v>
      </c>
      <c r="J5" s="65">
        <f>ROUND(H5-I5, 2)</f>
        <v>2754053.69</v>
      </c>
      <c r="K5" s="67">
        <f>+H5</f>
        <v>3690431.94</v>
      </c>
    </row>
    <row r="6" spans="1:11" ht="15.75" customHeight="1" x14ac:dyDescent="0.25">
      <c r="A6" s="68"/>
      <c r="G6" s="59"/>
    </row>
    <row r="7" spans="1:11" ht="15.75" customHeight="1" x14ac:dyDescent="0.25">
      <c r="C7" s="95" t="s">
        <v>164</v>
      </c>
      <c r="D7" s="95"/>
      <c r="G7" s="59"/>
    </row>
    <row r="8" spans="1:11" ht="15.75" customHeight="1" x14ac:dyDescent="0.25">
      <c r="C8" s="97" t="s">
        <v>165</v>
      </c>
      <c r="D8" s="99">
        <f>J5</f>
        <v>2754053.69</v>
      </c>
      <c r="G8" s="59"/>
    </row>
    <row r="9" spans="1:11" ht="15.75" customHeight="1" x14ac:dyDescent="0.25">
      <c r="C9" s="97" t="s">
        <v>166</v>
      </c>
      <c r="D9" s="99">
        <f>I5</f>
        <v>936378.25</v>
      </c>
      <c r="G9" s="59"/>
    </row>
    <row r="10" spans="1:11" ht="15.75" customHeight="1" x14ac:dyDescent="0.25">
      <c r="C10" s="97" t="s">
        <v>167</v>
      </c>
      <c r="D10" s="100">
        <f>+K5</f>
        <v>3690431.94</v>
      </c>
      <c r="G10" s="59"/>
    </row>
    <row r="11" spans="1:11" ht="15.75" customHeight="1" x14ac:dyDescent="0.25">
      <c r="C11" s="69"/>
      <c r="D11" s="101"/>
      <c r="G11" s="59"/>
    </row>
    <row r="12" spans="1:11" ht="15.75" customHeight="1" x14ac:dyDescent="0.25">
      <c r="C12" s="95" t="s">
        <v>168</v>
      </c>
      <c r="D12" s="102"/>
      <c r="G12" s="59"/>
    </row>
    <row r="13" spans="1:11" ht="15.75" customHeight="1" x14ac:dyDescent="0.25">
      <c r="C13" s="98" t="s">
        <v>208</v>
      </c>
      <c r="D13" s="99">
        <f>F5</f>
        <v>320907.12</v>
      </c>
      <c r="G13" s="59"/>
    </row>
    <row r="14" spans="1:11" ht="15.75" customHeight="1" x14ac:dyDescent="0.25">
      <c r="C14" s="98" t="s">
        <v>207</v>
      </c>
      <c r="D14" s="99">
        <f>D5</f>
        <v>1002834.77</v>
      </c>
      <c r="G14" s="59"/>
    </row>
    <row r="15" spans="1:11" ht="15.75" customHeight="1" x14ac:dyDescent="0.25">
      <c r="C15" s="98" t="s">
        <v>169</v>
      </c>
      <c r="D15" s="103">
        <f>G5</f>
        <v>1323741.8899999999</v>
      </c>
      <c r="G15" s="59"/>
    </row>
    <row r="16" spans="1:11" ht="15.75" customHeight="1" x14ac:dyDescent="0.25">
      <c r="C16" s="70"/>
      <c r="D16" s="70"/>
      <c r="G16" s="59"/>
    </row>
    <row r="17" spans="3:12" ht="15.75" customHeight="1" x14ac:dyDescent="0.25">
      <c r="C17" s="95" t="s">
        <v>172</v>
      </c>
      <c r="D17" s="96">
        <f>D10+D15</f>
        <v>5014173.83</v>
      </c>
      <c r="G17" s="59"/>
      <c r="K17" s="71"/>
      <c r="L17" s="71"/>
    </row>
    <row r="18" spans="3:12" x14ac:dyDescent="0.25">
      <c r="G18" s="59"/>
    </row>
    <row r="19" spans="3:12" x14ac:dyDescent="0.25">
      <c r="G19" s="59"/>
    </row>
    <row r="20" spans="3:12" x14ac:dyDescent="0.25">
      <c r="G20" s="59"/>
    </row>
    <row r="21" spans="3:12" x14ac:dyDescent="0.25">
      <c r="G21" s="59"/>
    </row>
    <row r="22" spans="3:12" x14ac:dyDescent="0.25">
      <c r="G22" s="59"/>
    </row>
    <row r="23" spans="3:12" x14ac:dyDescent="0.25">
      <c r="G23" s="59"/>
    </row>
    <row r="24" spans="3:12" x14ac:dyDescent="0.25">
      <c r="G24" s="59"/>
    </row>
    <row r="25" spans="3:12" x14ac:dyDescent="0.25">
      <c r="G25" s="59"/>
    </row>
    <row r="26" spans="3:12" x14ac:dyDescent="0.25">
      <c r="G26" s="59"/>
    </row>
    <row r="27" spans="3:12" x14ac:dyDescent="0.25">
      <c r="G27" s="59"/>
    </row>
    <row r="28" spans="3:12" x14ac:dyDescent="0.25">
      <c r="G28" s="59"/>
    </row>
    <row r="29" spans="3:12" x14ac:dyDescent="0.25">
      <c r="G29" s="59"/>
    </row>
    <row r="30" spans="3:12" x14ac:dyDescent="0.25">
      <c r="G30" s="59"/>
    </row>
    <row r="31" spans="3:12" x14ac:dyDescent="0.25">
      <c r="G31" s="59"/>
    </row>
    <row r="32" spans="3:12" x14ac:dyDescent="0.25">
      <c r="G32" s="59"/>
    </row>
    <row r="33" spans="7:7" x14ac:dyDescent="0.25">
      <c r="G33" s="59"/>
    </row>
    <row r="34" spans="7:7" x14ac:dyDescent="0.25">
      <c r="G34" s="59"/>
    </row>
    <row r="35" spans="7:7" x14ac:dyDescent="0.25">
      <c r="G35" s="59"/>
    </row>
    <row r="36" spans="7:7" x14ac:dyDescent="0.25">
      <c r="G36" s="59"/>
    </row>
    <row r="37" spans="7:7" x14ac:dyDescent="0.25">
      <c r="G37" s="59"/>
    </row>
    <row r="38" spans="7:7" x14ac:dyDescent="0.25">
      <c r="G38" s="59"/>
    </row>
    <row r="39" spans="7:7" x14ac:dyDescent="0.25">
      <c r="G39" s="59"/>
    </row>
    <row r="40" spans="7:7" x14ac:dyDescent="0.25">
      <c r="G40" s="59"/>
    </row>
    <row r="41" spans="7:7" x14ac:dyDescent="0.25">
      <c r="G41" s="59"/>
    </row>
    <row r="42" spans="7:7" x14ac:dyDescent="0.25">
      <c r="G42" s="59"/>
    </row>
    <row r="43" spans="7:7" x14ac:dyDescent="0.25">
      <c r="G43" s="59"/>
    </row>
    <row r="44" spans="7:7" x14ac:dyDescent="0.25">
      <c r="G44" s="59"/>
    </row>
    <row r="45" spans="7:7" x14ac:dyDescent="0.25">
      <c r="G45" s="59"/>
    </row>
    <row r="46" spans="7:7" x14ac:dyDescent="0.25">
      <c r="G46" s="59"/>
    </row>
    <row r="47" spans="7:7" x14ac:dyDescent="0.25">
      <c r="G47" s="59"/>
    </row>
    <row r="48" spans="7:7" x14ac:dyDescent="0.25">
      <c r="G48" s="59"/>
    </row>
    <row r="49" spans="7:7" x14ac:dyDescent="0.25">
      <c r="G49" s="59"/>
    </row>
    <row r="50" spans="7:7" x14ac:dyDescent="0.25">
      <c r="G50" s="59"/>
    </row>
    <row r="51" spans="7:7" x14ac:dyDescent="0.25">
      <c r="G51" s="59"/>
    </row>
    <row r="52" spans="7:7" x14ac:dyDescent="0.25">
      <c r="G52" s="59"/>
    </row>
    <row r="53" spans="7:7" x14ac:dyDescent="0.25">
      <c r="G53" s="59"/>
    </row>
    <row r="54" spans="7:7" x14ac:dyDescent="0.25">
      <c r="G54" s="59"/>
    </row>
    <row r="55" spans="7:7" x14ac:dyDescent="0.25">
      <c r="G55" s="59"/>
    </row>
    <row r="56" spans="7:7" x14ac:dyDescent="0.25">
      <c r="G56" s="59"/>
    </row>
    <row r="57" spans="7:7" x14ac:dyDescent="0.25">
      <c r="G57" s="59"/>
    </row>
    <row r="58" spans="7:7" x14ac:dyDescent="0.25">
      <c r="G58" s="59"/>
    </row>
    <row r="59" spans="7:7" x14ac:dyDescent="0.25">
      <c r="G59" s="59"/>
    </row>
    <row r="60" spans="7:7" x14ac:dyDescent="0.25">
      <c r="G60" s="59"/>
    </row>
    <row r="61" spans="7:7" x14ac:dyDescent="0.25">
      <c r="G61" s="59"/>
    </row>
    <row r="62" spans="7:7" x14ac:dyDescent="0.25">
      <c r="G62" s="59"/>
    </row>
    <row r="63" spans="7:7" x14ac:dyDescent="0.25">
      <c r="G63" s="59"/>
    </row>
    <row r="64" spans="7:7" x14ac:dyDescent="0.25">
      <c r="G64" s="59"/>
    </row>
    <row r="65" spans="7:7" x14ac:dyDescent="0.25">
      <c r="G65" s="59"/>
    </row>
    <row r="66" spans="7:7" x14ac:dyDescent="0.25">
      <c r="G66" s="59"/>
    </row>
    <row r="67" spans="7:7" x14ac:dyDescent="0.25">
      <c r="G67" s="59"/>
    </row>
    <row r="68" spans="7:7" x14ac:dyDescent="0.25">
      <c r="G68" s="59"/>
    </row>
    <row r="69" spans="7:7" x14ac:dyDescent="0.25">
      <c r="G69" s="59"/>
    </row>
    <row r="70" spans="7:7" x14ac:dyDescent="0.25">
      <c r="G70" s="59"/>
    </row>
    <row r="71" spans="7:7" x14ac:dyDescent="0.25">
      <c r="G71" s="59"/>
    </row>
    <row r="72" spans="7:7" x14ac:dyDescent="0.25">
      <c r="G72" s="59"/>
    </row>
    <row r="73" spans="7:7" x14ac:dyDescent="0.25">
      <c r="G73" s="59"/>
    </row>
    <row r="74" spans="7:7" x14ac:dyDescent="0.25">
      <c r="G74" s="59"/>
    </row>
    <row r="75" spans="7:7" x14ac:dyDescent="0.25">
      <c r="G75" s="59"/>
    </row>
    <row r="76" spans="7:7" x14ac:dyDescent="0.25">
      <c r="G76" s="59"/>
    </row>
    <row r="77" spans="7:7" x14ac:dyDescent="0.25">
      <c r="G77" s="59"/>
    </row>
    <row r="78" spans="7:7" x14ac:dyDescent="0.25">
      <c r="G78" s="59"/>
    </row>
    <row r="79" spans="7:7" x14ac:dyDescent="0.25">
      <c r="G79" s="59"/>
    </row>
    <row r="80" spans="7:7" x14ac:dyDescent="0.25">
      <c r="G80" s="59"/>
    </row>
    <row r="81" spans="7:7" x14ac:dyDescent="0.25">
      <c r="G81" s="59"/>
    </row>
    <row r="82" spans="7:7" x14ac:dyDescent="0.25">
      <c r="G82" s="59"/>
    </row>
    <row r="83" spans="7:7" x14ac:dyDescent="0.25">
      <c r="G83" s="59"/>
    </row>
    <row r="84" spans="7:7" x14ac:dyDescent="0.25">
      <c r="G84" s="59"/>
    </row>
    <row r="85" spans="7:7" x14ac:dyDescent="0.25">
      <c r="G85" s="59"/>
    </row>
    <row r="86" spans="7:7" x14ac:dyDescent="0.25">
      <c r="G86" s="59"/>
    </row>
    <row r="87" spans="7:7" x14ac:dyDescent="0.25">
      <c r="G87" s="59"/>
    </row>
    <row r="88" spans="7:7" x14ac:dyDescent="0.25">
      <c r="G88" s="59"/>
    </row>
    <row r="89" spans="7:7" x14ac:dyDescent="0.25">
      <c r="G89" s="59"/>
    </row>
    <row r="90" spans="7:7" x14ac:dyDescent="0.25">
      <c r="G90" s="59"/>
    </row>
    <row r="91" spans="7:7" x14ac:dyDescent="0.25">
      <c r="G91" s="59"/>
    </row>
    <row r="92" spans="7:7" x14ac:dyDescent="0.25">
      <c r="G92" s="59"/>
    </row>
    <row r="93" spans="7:7" x14ac:dyDescent="0.25">
      <c r="G93" s="59"/>
    </row>
    <row r="94" spans="7:7" x14ac:dyDescent="0.25">
      <c r="G94" s="59"/>
    </row>
    <row r="95" spans="7:7" x14ac:dyDescent="0.25">
      <c r="G95" s="59"/>
    </row>
    <row r="96" spans="7:7" x14ac:dyDescent="0.25">
      <c r="G96" s="59"/>
    </row>
    <row r="97" spans="7:7" x14ac:dyDescent="0.25">
      <c r="G97" s="59"/>
    </row>
    <row r="98" spans="7:7" x14ac:dyDescent="0.25">
      <c r="G98" s="59"/>
    </row>
    <row r="99" spans="7:7" x14ac:dyDescent="0.25">
      <c r="G99" s="59"/>
    </row>
    <row r="100" spans="7:7" x14ac:dyDescent="0.25">
      <c r="G100" s="59"/>
    </row>
    <row r="101" spans="7:7" x14ac:dyDescent="0.25">
      <c r="G101" s="59"/>
    </row>
    <row r="102" spans="7:7" x14ac:dyDescent="0.25">
      <c r="G102" s="59"/>
    </row>
    <row r="103" spans="7:7" x14ac:dyDescent="0.25">
      <c r="G103" s="59"/>
    </row>
    <row r="104" spans="7:7" x14ac:dyDescent="0.25">
      <c r="G104" s="59"/>
    </row>
    <row r="105" spans="7:7" x14ac:dyDescent="0.25">
      <c r="G105" s="59"/>
    </row>
    <row r="106" spans="7:7" x14ac:dyDescent="0.25">
      <c r="G106" s="59"/>
    </row>
    <row r="107" spans="7:7" x14ac:dyDescent="0.25">
      <c r="G107" s="59"/>
    </row>
    <row r="108" spans="7:7" x14ac:dyDescent="0.25">
      <c r="G108" s="59"/>
    </row>
    <row r="109" spans="7:7" x14ac:dyDescent="0.25">
      <c r="G109" s="59"/>
    </row>
    <row r="110" spans="7:7" x14ac:dyDescent="0.25">
      <c r="G110" s="59"/>
    </row>
    <row r="111" spans="7:7" x14ac:dyDescent="0.25">
      <c r="G111" s="59"/>
    </row>
    <row r="112" spans="7:7" x14ac:dyDescent="0.25">
      <c r="G112" s="59"/>
    </row>
    <row r="113" spans="7:7" x14ac:dyDescent="0.25">
      <c r="G113" s="59"/>
    </row>
    <row r="114" spans="7:7" x14ac:dyDescent="0.25">
      <c r="G114" s="59"/>
    </row>
    <row r="115" spans="7:7" x14ac:dyDescent="0.25">
      <c r="G115" s="59"/>
    </row>
    <row r="116" spans="7:7" x14ac:dyDescent="0.25">
      <c r="G116" s="59"/>
    </row>
    <row r="117" spans="7:7" x14ac:dyDescent="0.25">
      <c r="G117" s="59"/>
    </row>
    <row r="118" spans="7:7" x14ac:dyDescent="0.25">
      <c r="G118" s="59"/>
    </row>
    <row r="119" spans="7:7" x14ac:dyDescent="0.25">
      <c r="G119" s="59"/>
    </row>
    <row r="120" spans="7:7" x14ac:dyDescent="0.25">
      <c r="G120" s="59"/>
    </row>
    <row r="121" spans="7:7" x14ac:dyDescent="0.25">
      <c r="G121" s="59"/>
    </row>
    <row r="122" spans="7:7" x14ac:dyDescent="0.25">
      <c r="G122" s="59"/>
    </row>
    <row r="123" spans="7:7" x14ac:dyDescent="0.25">
      <c r="G123" s="59"/>
    </row>
    <row r="124" spans="7:7" x14ac:dyDescent="0.25">
      <c r="G124" s="59"/>
    </row>
    <row r="125" spans="7:7" x14ac:dyDescent="0.25">
      <c r="G125" s="59"/>
    </row>
    <row r="126" spans="7:7" x14ac:dyDescent="0.25">
      <c r="G126" s="59"/>
    </row>
    <row r="127" spans="7:7" x14ac:dyDescent="0.25">
      <c r="G127" s="59"/>
    </row>
    <row r="128" spans="7:7" x14ac:dyDescent="0.25">
      <c r="G128" s="59"/>
    </row>
    <row r="129" spans="7:7" x14ac:dyDescent="0.25">
      <c r="G129" s="59"/>
    </row>
    <row r="130" spans="7:7" x14ac:dyDescent="0.25">
      <c r="G130" s="59"/>
    </row>
    <row r="131" spans="7:7" x14ac:dyDescent="0.25">
      <c r="G131" s="59"/>
    </row>
    <row r="132" spans="7:7" x14ac:dyDescent="0.25">
      <c r="G132" s="59"/>
    </row>
    <row r="133" spans="7:7" x14ac:dyDescent="0.25">
      <c r="G133" s="59"/>
    </row>
    <row r="134" spans="7:7" x14ac:dyDescent="0.25">
      <c r="G134" s="59"/>
    </row>
    <row r="135" spans="7:7" x14ac:dyDescent="0.25">
      <c r="G135" s="59"/>
    </row>
    <row r="136" spans="7:7" x14ac:dyDescent="0.25">
      <c r="G136" s="59"/>
    </row>
    <row r="137" spans="7:7" x14ac:dyDescent="0.25">
      <c r="G137" s="59"/>
    </row>
    <row r="138" spans="7:7" x14ac:dyDescent="0.25">
      <c r="G138" s="59"/>
    </row>
    <row r="139" spans="7:7" x14ac:dyDescent="0.25">
      <c r="G139" s="59"/>
    </row>
    <row r="140" spans="7:7" x14ac:dyDescent="0.25">
      <c r="G140" s="59"/>
    </row>
    <row r="141" spans="7:7" x14ac:dyDescent="0.25">
      <c r="G141" s="59"/>
    </row>
    <row r="142" spans="7:7" x14ac:dyDescent="0.25">
      <c r="G142" s="59"/>
    </row>
    <row r="143" spans="7:7" x14ac:dyDescent="0.25">
      <c r="G143" s="59"/>
    </row>
    <row r="144" spans="7:7" x14ac:dyDescent="0.25">
      <c r="G144" s="59"/>
    </row>
    <row r="145" spans="7:7" x14ac:dyDescent="0.25">
      <c r="G145" s="59"/>
    </row>
    <row r="146" spans="7:7" x14ac:dyDescent="0.25">
      <c r="G146" s="59"/>
    </row>
    <row r="147" spans="7:7" x14ac:dyDescent="0.25">
      <c r="G147" s="59"/>
    </row>
    <row r="148" spans="7:7" x14ac:dyDescent="0.25">
      <c r="G148" s="59"/>
    </row>
    <row r="149" spans="7:7" x14ac:dyDescent="0.25">
      <c r="G149" s="59"/>
    </row>
    <row r="150" spans="7:7" x14ac:dyDescent="0.25">
      <c r="G150" s="59"/>
    </row>
    <row r="151" spans="7:7" x14ac:dyDescent="0.25">
      <c r="G151" s="59"/>
    </row>
    <row r="152" spans="7:7" x14ac:dyDescent="0.25">
      <c r="G152" s="59"/>
    </row>
    <row r="153" spans="7:7" x14ac:dyDescent="0.25">
      <c r="G153" s="59"/>
    </row>
    <row r="154" spans="7:7" x14ac:dyDescent="0.25">
      <c r="G154" s="59"/>
    </row>
    <row r="155" spans="7:7" x14ac:dyDescent="0.25">
      <c r="G155" s="59"/>
    </row>
    <row r="156" spans="7:7" x14ac:dyDescent="0.25">
      <c r="G156" s="59"/>
    </row>
    <row r="157" spans="7:7" x14ac:dyDescent="0.25">
      <c r="G157" s="59"/>
    </row>
    <row r="158" spans="7:7" x14ac:dyDescent="0.25">
      <c r="G158" s="59"/>
    </row>
    <row r="159" spans="7:7" x14ac:dyDescent="0.25">
      <c r="G159" s="59"/>
    </row>
    <row r="160" spans="7:7" x14ac:dyDescent="0.25">
      <c r="G160" s="59"/>
    </row>
    <row r="161" spans="7:7" x14ac:dyDescent="0.25">
      <c r="G161" s="59"/>
    </row>
    <row r="162" spans="7:7" x14ac:dyDescent="0.25">
      <c r="G162" s="59"/>
    </row>
    <row r="163" spans="7:7" x14ac:dyDescent="0.25">
      <c r="G163" s="59"/>
    </row>
    <row r="164" spans="7:7" x14ac:dyDescent="0.25">
      <c r="G164" s="59"/>
    </row>
    <row r="165" spans="7:7" x14ac:dyDescent="0.25">
      <c r="G165" s="59"/>
    </row>
    <row r="166" spans="7:7" x14ac:dyDescent="0.25">
      <c r="G166" s="59"/>
    </row>
    <row r="167" spans="7:7" x14ac:dyDescent="0.25">
      <c r="G167" s="59"/>
    </row>
    <row r="168" spans="7:7" x14ac:dyDescent="0.25">
      <c r="G168" s="59"/>
    </row>
    <row r="169" spans="7:7" x14ac:dyDescent="0.25">
      <c r="G169" s="59"/>
    </row>
    <row r="170" spans="7:7" x14ac:dyDescent="0.25">
      <c r="G170" s="59"/>
    </row>
    <row r="171" spans="7:7" x14ac:dyDescent="0.25">
      <c r="G171" s="59"/>
    </row>
    <row r="172" spans="7:7" x14ac:dyDescent="0.25">
      <c r="G172" s="59"/>
    </row>
    <row r="173" spans="7:7" x14ac:dyDescent="0.25">
      <c r="G173" s="59"/>
    </row>
    <row r="174" spans="7:7" x14ac:dyDescent="0.25">
      <c r="G174" s="59"/>
    </row>
    <row r="175" spans="7:7" x14ac:dyDescent="0.25">
      <c r="G175" s="59"/>
    </row>
    <row r="176" spans="7:7" x14ac:dyDescent="0.25">
      <c r="G176" s="59"/>
    </row>
    <row r="177" spans="7:7" x14ac:dyDescent="0.25">
      <c r="G177" s="59"/>
    </row>
    <row r="178" spans="7:7" x14ac:dyDescent="0.25">
      <c r="G178" s="59"/>
    </row>
    <row r="179" spans="7:7" x14ac:dyDescent="0.25">
      <c r="G179" s="59"/>
    </row>
    <row r="180" spans="7:7" x14ac:dyDescent="0.25">
      <c r="G180" s="59"/>
    </row>
    <row r="181" spans="7:7" x14ac:dyDescent="0.25">
      <c r="G181" s="59"/>
    </row>
    <row r="182" spans="7:7" x14ac:dyDescent="0.25">
      <c r="G182" s="59"/>
    </row>
    <row r="183" spans="7:7" x14ac:dyDescent="0.25">
      <c r="G183" s="59"/>
    </row>
    <row r="184" spans="7:7" x14ac:dyDescent="0.25">
      <c r="G184" s="59"/>
    </row>
    <row r="185" spans="7:7" x14ac:dyDescent="0.25">
      <c r="G185" s="59"/>
    </row>
    <row r="186" spans="7:7" x14ac:dyDescent="0.25">
      <c r="G186" s="59"/>
    </row>
    <row r="187" spans="7:7" x14ac:dyDescent="0.25">
      <c r="G187" s="59"/>
    </row>
    <row r="188" spans="7:7" x14ac:dyDescent="0.25">
      <c r="G188" s="59"/>
    </row>
    <row r="189" spans="7:7" x14ac:dyDescent="0.25">
      <c r="G189" s="59"/>
    </row>
    <row r="190" spans="7:7" x14ac:dyDescent="0.25">
      <c r="G190" s="59"/>
    </row>
    <row r="191" spans="7:7" x14ac:dyDescent="0.25">
      <c r="G191" s="59"/>
    </row>
    <row r="192" spans="7:7" x14ac:dyDescent="0.25">
      <c r="G192" s="59"/>
    </row>
    <row r="193" spans="7:7" x14ac:dyDescent="0.25">
      <c r="G193" s="59"/>
    </row>
    <row r="194" spans="7:7" x14ac:dyDescent="0.25">
      <c r="G194" s="59"/>
    </row>
    <row r="195" spans="7:7" x14ac:dyDescent="0.25">
      <c r="G195" s="59"/>
    </row>
    <row r="196" spans="7:7" x14ac:dyDescent="0.25">
      <c r="G196" s="59"/>
    </row>
    <row r="197" spans="7:7" x14ac:dyDescent="0.25">
      <c r="G197" s="59"/>
    </row>
    <row r="198" spans="7:7" x14ac:dyDescent="0.25">
      <c r="G198" s="59"/>
    </row>
    <row r="199" spans="7:7" x14ac:dyDescent="0.25">
      <c r="G199" s="59"/>
    </row>
    <row r="200" spans="7:7" x14ac:dyDescent="0.25">
      <c r="G200" s="59"/>
    </row>
    <row r="201" spans="7:7" x14ac:dyDescent="0.25">
      <c r="G201" s="59"/>
    </row>
    <row r="202" spans="7:7" x14ac:dyDescent="0.25">
      <c r="G202" s="59"/>
    </row>
    <row r="203" spans="7:7" x14ac:dyDescent="0.25">
      <c r="G203" s="59"/>
    </row>
    <row r="204" spans="7:7" x14ac:dyDescent="0.25">
      <c r="G204" s="59"/>
    </row>
    <row r="205" spans="7:7" x14ac:dyDescent="0.25">
      <c r="G205" s="59"/>
    </row>
    <row r="206" spans="7:7" x14ac:dyDescent="0.25">
      <c r="G206" s="59"/>
    </row>
    <row r="207" spans="7:7" x14ac:dyDescent="0.25">
      <c r="G207" s="59"/>
    </row>
    <row r="208" spans="7:7" x14ac:dyDescent="0.25">
      <c r="G208" s="59"/>
    </row>
    <row r="209" spans="7:7" x14ac:dyDescent="0.25">
      <c r="G209" s="59"/>
    </row>
    <row r="210" spans="7:7" x14ac:dyDescent="0.25">
      <c r="G210" s="59"/>
    </row>
    <row r="211" spans="7:7" x14ac:dyDescent="0.25">
      <c r="G211" s="59"/>
    </row>
    <row r="212" spans="7:7" x14ac:dyDescent="0.25">
      <c r="G212" s="59"/>
    </row>
    <row r="213" spans="7:7" x14ac:dyDescent="0.25">
      <c r="G213" s="59"/>
    </row>
    <row r="214" spans="7:7" x14ac:dyDescent="0.25">
      <c r="G214" s="59"/>
    </row>
    <row r="215" spans="7:7" x14ac:dyDescent="0.25">
      <c r="G215" s="59"/>
    </row>
    <row r="216" spans="7:7" x14ac:dyDescent="0.25">
      <c r="G216" s="59"/>
    </row>
    <row r="217" spans="7:7" x14ac:dyDescent="0.25">
      <c r="G217" s="59"/>
    </row>
    <row r="218" spans="7:7" x14ac:dyDescent="0.25">
      <c r="G218" s="59"/>
    </row>
    <row r="219" spans="7:7" x14ac:dyDescent="0.25">
      <c r="G219" s="59"/>
    </row>
    <row r="220" spans="7:7" x14ac:dyDescent="0.25">
      <c r="G220" s="59"/>
    </row>
    <row r="221" spans="7:7" x14ac:dyDescent="0.25">
      <c r="G221" s="59"/>
    </row>
    <row r="222" spans="7:7" x14ac:dyDescent="0.25">
      <c r="G222" s="59"/>
    </row>
    <row r="223" spans="7:7" x14ac:dyDescent="0.25">
      <c r="G223" s="59"/>
    </row>
    <row r="224" spans="7:7" x14ac:dyDescent="0.25">
      <c r="G224" s="59"/>
    </row>
    <row r="225" spans="7:7" x14ac:dyDescent="0.25">
      <c r="G225" s="59"/>
    </row>
    <row r="226" spans="7:7" x14ac:dyDescent="0.25">
      <c r="G226" s="59"/>
    </row>
    <row r="227" spans="7:7" x14ac:dyDescent="0.25">
      <c r="G227" s="59"/>
    </row>
    <row r="228" spans="7:7" x14ac:dyDescent="0.25">
      <c r="G228" s="59"/>
    </row>
    <row r="229" spans="7:7" x14ac:dyDescent="0.25">
      <c r="G229" s="59"/>
    </row>
    <row r="230" spans="7:7" x14ac:dyDescent="0.25">
      <c r="G230" s="59"/>
    </row>
    <row r="231" spans="7:7" x14ac:dyDescent="0.25">
      <c r="G231" s="59"/>
    </row>
    <row r="232" spans="7:7" x14ac:dyDescent="0.25">
      <c r="G232" s="59"/>
    </row>
    <row r="233" spans="7:7" x14ac:dyDescent="0.25">
      <c r="G233" s="59"/>
    </row>
    <row r="234" spans="7:7" x14ac:dyDescent="0.25">
      <c r="G234" s="59"/>
    </row>
    <row r="235" spans="7:7" x14ac:dyDescent="0.25">
      <c r="G235" s="59"/>
    </row>
    <row r="236" spans="7:7" x14ac:dyDescent="0.25">
      <c r="G236" s="59"/>
    </row>
    <row r="237" spans="7:7" x14ac:dyDescent="0.25">
      <c r="G237" s="59"/>
    </row>
    <row r="238" spans="7:7" x14ac:dyDescent="0.25">
      <c r="G238" s="59"/>
    </row>
    <row r="239" spans="7:7" x14ac:dyDescent="0.25">
      <c r="G239" s="59"/>
    </row>
    <row r="240" spans="7:7" x14ac:dyDescent="0.25">
      <c r="G240" s="59"/>
    </row>
    <row r="241" spans="7:7" x14ac:dyDescent="0.25">
      <c r="G241" s="59"/>
    </row>
    <row r="242" spans="7:7" x14ac:dyDescent="0.25">
      <c r="G242" s="59"/>
    </row>
    <row r="243" spans="7:7" x14ac:dyDescent="0.25">
      <c r="G243" s="59"/>
    </row>
    <row r="244" spans="7:7" x14ac:dyDescent="0.25">
      <c r="G244" s="59"/>
    </row>
    <row r="245" spans="7:7" x14ac:dyDescent="0.25">
      <c r="G245" s="59"/>
    </row>
    <row r="246" spans="7:7" x14ac:dyDescent="0.25">
      <c r="G246" s="59"/>
    </row>
    <row r="247" spans="7:7" x14ac:dyDescent="0.25">
      <c r="G247" s="59"/>
    </row>
    <row r="248" spans="7:7" x14ac:dyDescent="0.25">
      <c r="G248" s="59"/>
    </row>
    <row r="249" spans="7:7" x14ac:dyDescent="0.25">
      <c r="G249" s="59"/>
    </row>
    <row r="250" spans="7:7" x14ac:dyDescent="0.25">
      <c r="G250" s="59"/>
    </row>
    <row r="251" spans="7:7" x14ac:dyDescent="0.25">
      <c r="G251" s="59"/>
    </row>
    <row r="252" spans="7:7" x14ac:dyDescent="0.25">
      <c r="G252" s="59"/>
    </row>
    <row r="253" spans="7:7" x14ac:dyDescent="0.25">
      <c r="G253" s="59"/>
    </row>
    <row r="254" spans="7:7" x14ac:dyDescent="0.25">
      <c r="G254" s="59"/>
    </row>
    <row r="255" spans="7:7" x14ac:dyDescent="0.25">
      <c r="G255" s="59"/>
    </row>
    <row r="256" spans="7:7" x14ac:dyDescent="0.25">
      <c r="G256" s="59"/>
    </row>
    <row r="257" spans="7:7" x14ac:dyDescent="0.25">
      <c r="G257" s="59"/>
    </row>
    <row r="258" spans="7:7" x14ac:dyDescent="0.25">
      <c r="G258" s="59"/>
    </row>
    <row r="259" spans="7:7" x14ac:dyDescent="0.25">
      <c r="G259" s="59"/>
    </row>
    <row r="260" spans="7:7" x14ac:dyDescent="0.25">
      <c r="G260" s="59"/>
    </row>
    <row r="261" spans="7:7" x14ac:dyDescent="0.25">
      <c r="G261" s="59"/>
    </row>
    <row r="262" spans="7:7" x14ac:dyDescent="0.25">
      <c r="G262" s="59"/>
    </row>
    <row r="263" spans="7:7" x14ac:dyDescent="0.25">
      <c r="G263" s="59"/>
    </row>
    <row r="264" spans="7:7" x14ac:dyDescent="0.25">
      <c r="G264" s="59"/>
    </row>
    <row r="265" spans="7:7" x14ac:dyDescent="0.25">
      <c r="G265" s="59"/>
    </row>
    <row r="266" spans="7:7" x14ac:dyDescent="0.25">
      <c r="G266" s="59"/>
    </row>
    <row r="267" spans="7:7" x14ac:dyDescent="0.25">
      <c r="G267" s="59"/>
    </row>
    <row r="268" spans="7:7" x14ac:dyDescent="0.25">
      <c r="G268" s="59"/>
    </row>
    <row r="269" spans="7:7" x14ac:dyDescent="0.25">
      <c r="G269" s="59"/>
    </row>
    <row r="270" spans="7:7" x14ac:dyDescent="0.25">
      <c r="G270" s="59"/>
    </row>
    <row r="271" spans="7:7" x14ac:dyDescent="0.25">
      <c r="G271" s="59"/>
    </row>
    <row r="272" spans="7:7" x14ac:dyDescent="0.25">
      <c r="G272" s="59"/>
    </row>
    <row r="273" spans="7:7" x14ac:dyDescent="0.25">
      <c r="G273" s="59"/>
    </row>
    <row r="274" spans="7:7" x14ac:dyDescent="0.25">
      <c r="G274" s="59"/>
    </row>
    <row r="275" spans="7:7" x14ac:dyDescent="0.25">
      <c r="G275" s="59"/>
    </row>
    <row r="276" spans="7:7" x14ac:dyDescent="0.25">
      <c r="G276" s="59"/>
    </row>
    <row r="277" spans="7:7" x14ac:dyDescent="0.25">
      <c r="G277" s="59"/>
    </row>
    <row r="278" spans="7:7" x14ac:dyDescent="0.25">
      <c r="G278" s="59"/>
    </row>
    <row r="279" spans="7:7" x14ac:dyDescent="0.25">
      <c r="G279" s="59"/>
    </row>
    <row r="280" spans="7:7" x14ac:dyDescent="0.25">
      <c r="G280" s="59"/>
    </row>
    <row r="281" spans="7:7" x14ac:dyDescent="0.25">
      <c r="G281" s="59"/>
    </row>
    <row r="282" spans="7:7" x14ac:dyDescent="0.25">
      <c r="G282" s="59"/>
    </row>
    <row r="283" spans="7:7" x14ac:dyDescent="0.25">
      <c r="G283" s="59"/>
    </row>
    <row r="284" spans="7:7" x14ac:dyDescent="0.25">
      <c r="G284" s="59"/>
    </row>
    <row r="285" spans="7:7" x14ac:dyDescent="0.25">
      <c r="G285" s="59"/>
    </row>
    <row r="286" spans="7:7" x14ac:dyDescent="0.25">
      <c r="G286" s="59"/>
    </row>
    <row r="287" spans="7:7" x14ac:dyDescent="0.25">
      <c r="G287" s="59"/>
    </row>
    <row r="288" spans="7:7" x14ac:dyDescent="0.25">
      <c r="G288" s="59"/>
    </row>
    <row r="289" spans="7:7" x14ac:dyDescent="0.25">
      <c r="G289" s="59"/>
    </row>
    <row r="290" spans="7:7" x14ac:dyDescent="0.25">
      <c r="G290" s="59"/>
    </row>
    <row r="291" spans="7:7" x14ac:dyDescent="0.25">
      <c r="G291" s="59"/>
    </row>
    <row r="292" spans="7:7" x14ac:dyDescent="0.25">
      <c r="G292" s="59"/>
    </row>
    <row r="293" spans="7:7" x14ac:dyDescent="0.25">
      <c r="G293" s="59"/>
    </row>
    <row r="294" spans="7:7" x14ac:dyDescent="0.25">
      <c r="G294" s="59"/>
    </row>
    <row r="295" spans="7:7" x14ac:dyDescent="0.25">
      <c r="G295" s="59"/>
    </row>
    <row r="296" spans="7:7" x14ac:dyDescent="0.25">
      <c r="G296" s="59"/>
    </row>
    <row r="297" spans="7:7" x14ac:dyDescent="0.25">
      <c r="G297" s="59"/>
    </row>
    <row r="298" spans="7:7" x14ac:dyDescent="0.25">
      <c r="G298" s="59"/>
    </row>
    <row r="299" spans="7:7" x14ac:dyDescent="0.25">
      <c r="G299" s="59"/>
    </row>
    <row r="300" spans="7:7" x14ac:dyDescent="0.25">
      <c r="G300" s="59"/>
    </row>
    <row r="301" spans="7:7" x14ac:dyDescent="0.25">
      <c r="G301" s="59"/>
    </row>
    <row r="302" spans="7:7" x14ac:dyDescent="0.25">
      <c r="G302" s="59"/>
    </row>
    <row r="303" spans="7:7" x14ac:dyDescent="0.25">
      <c r="G303" s="59"/>
    </row>
    <row r="304" spans="7:7" x14ac:dyDescent="0.25">
      <c r="G304" s="59"/>
    </row>
    <row r="305" spans="7:7" x14ac:dyDescent="0.25">
      <c r="G305" s="59"/>
    </row>
    <row r="306" spans="7:7" x14ac:dyDescent="0.25">
      <c r="G306" s="59"/>
    </row>
    <row r="307" spans="7:7" x14ac:dyDescent="0.25">
      <c r="G307" s="59"/>
    </row>
    <row r="308" spans="7:7" x14ac:dyDescent="0.25">
      <c r="G308" s="59"/>
    </row>
    <row r="309" spans="7:7" x14ac:dyDescent="0.25">
      <c r="G309" s="59"/>
    </row>
    <row r="310" spans="7:7" x14ac:dyDescent="0.25">
      <c r="G310" s="59"/>
    </row>
    <row r="311" spans="7:7" x14ac:dyDescent="0.25">
      <c r="G311" s="59"/>
    </row>
    <row r="312" spans="7:7" x14ac:dyDescent="0.25">
      <c r="G312" s="59"/>
    </row>
    <row r="313" spans="7:7" x14ac:dyDescent="0.25">
      <c r="G313" s="59"/>
    </row>
    <row r="314" spans="7:7" x14ac:dyDescent="0.25">
      <c r="G314" s="59"/>
    </row>
    <row r="315" spans="7:7" x14ac:dyDescent="0.25">
      <c r="G315" s="59"/>
    </row>
    <row r="316" spans="7:7" x14ac:dyDescent="0.25">
      <c r="G316" s="59"/>
    </row>
    <row r="317" spans="7:7" x14ac:dyDescent="0.25">
      <c r="G317" s="59"/>
    </row>
    <row r="318" spans="7:7" x14ac:dyDescent="0.25">
      <c r="G318" s="59"/>
    </row>
    <row r="319" spans="7:7" x14ac:dyDescent="0.25">
      <c r="G319" s="59"/>
    </row>
    <row r="320" spans="7:7" x14ac:dyDescent="0.25">
      <c r="G320" s="59"/>
    </row>
    <row r="321" spans="7:7" x14ac:dyDescent="0.25">
      <c r="G321" s="59"/>
    </row>
    <row r="322" spans="7:7" x14ac:dyDescent="0.25">
      <c r="G322" s="59"/>
    </row>
    <row r="323" spans="7:7" x14ac:dyDescent="0.25">
      <c r="G323" s="59"/>
    </row>
    <row r="324" spans="7:7" x14ac:dyDescent="0.25">
      <c r="G324" s="59"/>
    </row>
    <row r="325" spans="7:7" x14ac:dyDescent="0.25">
      <c r="G325" s="59"/>
    </row>
    <row r="326" spans="7:7" x14ac:dyDescent="0.25">
      <c r="G326" s="59"/>
    </row>
    <row r="327" spans="7:7" x14ac:dyDescent="0.25">
      <c r="G327" s="59"/>
    </row>
    <row r="328" spans="7:7" x14ac:dyDescent="0.25">
      <c r="G328" s="59"/>
    </row>
    <row r="329" spans="7:7" x14ac:dyDescent="0.25">
      <c r="G329" s="59"/>
    </row>
    <row r="330" spans="7:7" x14ac:dyDescent="0.25">
      <c r="G330" s="59"/>
    </row>
    <row r="331" spans="7:7" x14ac:dyDescent="0.25">
      <c r="G331" s="59"/>
    </row>
    <row r="332" spans="7:7" x14ac:dyDescent="0.25">
      <c r="G332" s="59"/>
    </row>
    <row r="333" spans="7:7" x14ac:dyDescent="0.25">
      <c r="G333" s="59"/>
    </row>
    <row r="334" spans="7:7" x14ac:dyDescent="0.25">
      <c r="G334" s="59"/>
    </row>
    <row r="335" spans="7:7" x14ac:dyDescent="0.25">
      <c r="G335" s="59"/>
    </row>
    <row r="336" spans="7:7" x14ac:dyDescent="0.25">
      <c r="G336" s="59"/>
    </row>
    <row r="337" spans="7:7" x14ac:dyDescent="0.25">
      <c r="G337" s="59"/>
    </row>
    <row r="338" spans="7:7" x14ac:dyDescent="0.25">
      <c r="G338" s="59"/>
    </row>
    <row r="339" spans="7:7" x14ac:dyDescent="0.25">
      <c r="G339" s="59"/>
    </row>
    <row r="340" spans="7:7" x14ac:dyDescent="0.25">
      <c r="G340" s="59"/>
    </row>
    <row r="341" spans="7:7" x14ac:dyDescent="0.25">
      <c r="G341" s="59"/>
    </row>
    <row r="342" spans="7:7" x14ac:dyDescent="0.25">
      <c r="G342" s="59"/>
    </row>
    <row r="343" spans="7:7" x14ac:dyDescent="0.25">
      <c r="G343" s="59"/>
    </row>
    <row r="344" spans="7:7" x14ac:dyDescent="0.25">
      <c r="G344" s="59"/>
    </row>
    <row r="345" spans="7:7" x14ac:dyDescent="0.25">
      <c r="G345" s="59"/>
    </row>
    <row r="346" spans="7:7" x14ac:dyDescent="0.25">
      <c r="G346" s="59"/>
    </row>
    <row r="347" spans="7:7" x14ac:dyDescent="0.25">
      <c r="G347" s="59"/>
    </row>
    <row r="348" spans="7:7" x14ac:dyDescent="0.25">
      <c r="G348" s="59"/>
    </row>
    <row r="349" spans="7:7" x14ac:dyDescent="0.25">
      <c r="G349" s="59"/>
    </row>
    <row r="350" spans="7:7" x14ac:dyDescent="0.25">
      <c r="G350" s="59"/>
    </row>
    <row r="351" spans="7:7" x14ac:dyDescent="0.25">
      <c r="G351" s="59"/>
    </row>
    <row r="352" spans="7:7" x14ac:dyDescent="0.25">
      <c r="G352" s="59"/>
    </row>
    <row r="353" spans="7:7" x14ac:dyDescent="0.25">
      <c r="G353" s="59"/>
    </row>
    <row r="354" spans="7:7" x14ac:dyDescent="0.25">
      <c r="G354" s="59"/>
    </row>
    <row r="355" spans="7:7" x14ac:dyDescent="0.25">
      <c r="G355" s="59"/>
    </row>
    <row r="356" spans="7:7" x14ac:dyDescent="0.25">
      <c r="G356" s="59"/>
    </row>
    <row r="357" spans="7:7" x14ac:dyDescent="0.25">
      <c r="G357" s="59"/>
    </row>
    <row r="358" spans="7:7" x14ac:dyDescent="0.25">
      <c r="G358" s="59"/>
    </row>
    <row r="359" spans="7:7" x14ac:dyDescent="0.25">
      <c r="G359" s="59"/>
    </row>
    <row r="360" spans="7:7" x14ac:dyDescent="0.25">
      <c r="G360" s="59"/>
    </row>
    <row r="361" spans="7:7" x14ac:dyDescent="0.25">
      <c r="G361" s="59"/>
    </row>
    <row r="362" spans="7:7" x14ac:dyDescent="0.25">
      <c r="G362" s="59"/>
    </row>
    <row r="363" spans="7:7" x14ac:dyDescent="0.25">
      <c r="G363" s="59"/>
    </row>
    <row r="364" spans="7:7" x14ac:dyDescent="0.25">
      <c r="G364" s="59"/>
    </row>
    <row r="365" spans="7:7" x14ac:dyDescent="0.25">
      <c r="G365" s="59"/>
    </row>
    <row r="366" spans="7:7" x14ac:dyDescent="0.25">
      <c r="G366" s="59"/>
    </row>
    <row r="367" spans="7:7" x14ac:dyDescent="0.25">
      <c r="G367" s="59"/>
    </row>
    <row r="368" spans="7:7" x14ac:dyDescent="0.25">
      <c r="G368" s="59"/>
    </row>
    <row r="369" spans="7:7" x14ac:dyDescent="0.25">
      <c r="G369" s="59"/>
    </row>
    <row r="370" spans="7:7" x14ac:dyDescent="0.25">
      <c r="G370" s="59"/>
    </row>
    <row r="371" spans="7:7" x14ac:dyDescent="0.25">
      <c r="G371" s="59"/>
    </row>
    <row r="372" spans="7:7" x14ac:dyDescent="0.25">
      <c r="G372" s="59"/>
    </row>
    <row r="373" spans="7:7" x14ac:dyDescent="0.25">
      <c r="G373" s="59"/>
    </row>
    <row r="374" spans="7:7" x14ac:dyDescent="0.25">
      <c r="G374" s="59"/>
    </row>
    <row r="375" spans="7:7" x14ac:dyDescent="0.25">
      <c r="G375" s="59"/>
    </row>
    <row r="376" spans="7:7" x14ac:dyDescent="0.25">
      <c r="G376" s="59"/>
    </row>
    <row r="377" spans="7:7" x14ac:dyDescent="0.25">
      <c r="G377" s="59"/>
    </row>
    <row r="378" spans="7:7" x14ac:dyDescent="0.25">
      <c r="G378" s="59"/>
    </row>
    <row r="379" spans="7:7" x14ac:dyDescent="0.25">
      <c r="G379" s="59"/>
    </row>
    <row r="380" spans="7:7" x14ac:dyDescent="0.25">
      <c r="G380" s="59"/>
    </row>
    <row r="381" spans="7:7" x14ac:dyDescent="0.25">
      <c r="G381" s="59"/>
    </row>
    <row r="382" spans="7:7" x14ac:dyDescent="0.25">
      <c r="G382" s="59"/>
    </row>
    <row r="383" spans="7:7" x14ac:dyDescent="0.25">
      <c r="G383" s="59"/>
    </row>
    <row r="384" spans="7:7" x14ac:dyDescent="0.25">
      <c r="G384" s="59"/>
    </row>
    <row r="385" spans="7:7" x14ac:dyDescent="0.25">
      <c r="G385" s="59"/>
    </row>
    <row r="386" spans="7:7" x14ac:dyDescent="0.25">
      <c r="G386" s="59"/>
    </row>
    <row r="387" spans="7:7" x14ac:dyDescent="0.25">
      <c r="G387" s="59"/>
    </row>
    <row r="388" spans="7:7" x14ac:dyDescent="0.25">
      <c r="G388" s="59"/>
    </row>
    <row r="389" spans="7:7" x14ac:dyDescent="0.25">
      <c r="G389" s="59"/>
    </row>
    <row r="390" spans="7:7" x14ac:dyDescent="0.25">
      <c r="G390" s="59"/>
    </row>
    <row r="391" spans="7:7" x14ac:dyDescent="0.25">
      <c r="G391" s="59"/>
    </row>
    <row r="392" spans="7:7" x14ac:dyDescent="0.25">
      <c r="G392" s="59"/>
    </row>
    <row r="393" spans="7:7" x14ac:dyDescent="0.25">
      <c r="G393" s="59"/>
    </row>
    <row r="394" spans="7:7" x14ac:dyDescent="0.25">
      <c r="G394" s="59"/>
    </row>
    <row r="395" spans="7:7" x14ac:dyDescent="0.25">
      <c r="G395" s="59"/>
    </row>
    <row r="396" spans="7:7" x14ac:dyDescent="0.25">
      <c r="G396" s="59"/>
    </row>
    <row r="397" spans="7:7" x14ac:dyDescent="0.25">
      <c r="G397" s="59"/>
    </row>
    <row r="398" spans="7:7" x14ac:dyDescent="0.25">
      <c r="G398" s="59"/>
    </row>
    <row r="399" spans="7:7" x14ac:dyDescent="0.25">
      <c r="G399" s="59"/>
    </row>
    <row r="400" spans="7:7" x14ac:dyDescent="0.25">
      <c r="G400" s="59"/>
    </row>
    <row r="401" spans="7:7" x14ac:dyDescent="0.25">
      <c r="G401" s="59"/>
    </row>
    <row r="402" spans="7:7" x14ac:dyDescent="0.25">
      <c r="G402" s="59"/>
    </row>
    <row r="403" spans="7:7" x14ac:dyDescent="0.25">
      <c r="G403" s="59"/>
    </row>
    <row r="404" spans="7:7" x14ac:dyDescent="0.25">
      <c r="G404" s="59"/>
    </row>
    <row r="405" spans="7:7" x14ac:dyDescent="0.25">
      <c r="G405" s="59"/>
    </row>
    <row r="406" spans="7:7" x14ac:dyDescent="0.25">
      <c r="G406" s="59"/>
    </row>
    <row r="407" spans="7:7" x14ac:dyDescent="0.25">
      <c r="G407" s="59"/>
    </row>
    <row r="408" spans="7:7" x14ac:dyDescent="0.25">
      <c r="G408" s="59"/>
    </row>
    <row r="409" spans="7:7" x14ac:dyDescent="0.25">
      <c r="G409" s="59"/>
    </row>
    <row r="410" spans="7:7" x14ac:dyDescent="0.25">
      <c r="G410" s="59"/>
    </row>
    <row r="411" spans="7:7" x14ac:dyDescent="0.25">
      <c r="G411" s="59"/>
    </row>
    <row r="412" spans="7:7" x14ac:dyDescent="0.25">
      <c r="G412" s="59"/>
    </row>
    <row r="413" spans="7:7" x14ac:dyDescent="0.25">
      <c r="G413" s="59"/>
    </row>
    <row r="414" spans="7:7" x14ac:dyDescent="0.25">
      <c r="G414" s="59"/>
    </row>
    <row r="415" spans="7:7" x14ac:dyDescent="0.25">
      <c r="G415" s="59"/>
    </row>
    <row r="416" spans="7:7" x14ac:dyDescent="0.25">
      <c r="G416" s="59"/>
    </row>
    <row r="417" spans="7:7" x14ac:dyDescent="0.25">
      <c r="G417" s="59"/>
    </row>
    <row r="418" spans="7:7" x14ac:dyDescent="0.25">
      <c r="G418" s="59"/>
    </row>
    <row r="419" spans="7:7" x14ac:dyDescent="0.25">
      <c r="G419" s="59"/>
    </row>
    <row r="420" spans="7:7" x14ac:dyDescent="0.25">
      <c r="G420" s="59"/>
    </row>
    <row r="421" spans="7:7" x14ac:dyDescent="0.25">
      <c r="G421" s="59"/>
    </row>
    <row r="422" spans="7:7" x14ac:dyDescent="0.25">
      <c r="G422" s="59"/>
    </row>
    <row r="423" spans="7:7" x14ac:dyDescent="0.25">
      <c r="G423" s="59"/>
    </row>
    <row r="424" spans="7:7" x14ac:dyDescent="0.25">
      <c r="G424" s="59"/>
    </row>
    <row r="425" spans="7:7" x14ac:dyDescent="0.25">
      <c r="G425" s="59"/>
    </row>
    <row r="426" spans="7:7" x14ac:dyDescent="0.25">
      <c r="G426" s="59"/>
    </row>
    <row r="427" spans="7:7" x14ac:dyDescent="0.25">
      <c r="G427" s="59"/>
    </row>
    <row r="428" spans="7:7" x14ac:dyDescent="0.25">
      <c r="G428" s="59"/>
    </row>
    <row r="429" spans="7:7" x14ac:dyDescent="0.25">
      <c r="G429" s="59"/>
    </row>
    <row r="430" spans="7:7" x14ac:dyDescent="0.25">
      <c r="G430" s="59"/>
    </row>
    <row r="431" spans="7:7" x14ac:dyDescent="0.25">
      <c r="G431" s="59"/>
    </row>
    <row r="432" spans="7:7" x14ac:dyDescent="0.25">
      <c r="G432" s="59"/>
    </row>
    <row r="433" spans="7:7" x14ac:dyDescent="0.25">
      <c r="G433" s="59"/>
    </row>
    <row r="434" spans="7:7" x14ac:dyDescent="0.25">
      <c r="G434" s="59"/>
    </row>
    <row r="435" spans="7:7" x14ac:dyDescent="0.25">
      <c r="G435" s="59"/>
    </row>
    <row r="436" spans="7:7" x14ac:dyDescent="0.25">
      <c r="G436" s="59"/>
    </row>
    <row r="437" spans="7:7" x14ac:dyDescent="0.25">
      <c r="G437" s="59"/>
    </row>
    <row r="438" spans="7:7" x14ac:dyDescent="0.25">
      <c r="G438" s="59"/>
    </row>
    <row r="439" spans="7:7" x14ac:dyDescent="0.25">
      <c r="G439" s="59"/>
    </row>
    <row r="440" spans="7:7" x14ac:dyDescent="0.25">
      <c r="G440" s="59"/>
    </row>
    <row r="441" spans="7:7" x14ac:dyDescent="0.25">
      <c r="G441" s="59"/>
    </row>
    <row r="442" spans="7:7" x14ac:dyDescent="0.25">
      <c r="G442" s="59"/>
    </row>
    <row r="443" spans="7:7" x14ac:dyDescent="0.25">
      <c r="G443" s="59"/>
    </row>
    <row r="444" spans="7:7" x14ac:dyDescent="0.25">
      <c r="G444" s="59"/>
    </row>
    <row r="445" spans="7:7" x14ac:dyDescent="0.25">
      <c r="G445" s="59"/>
    </row>
    <row r="446" spans="7:7" x14ac:dyDescent="0.25">
      <c r="G446" s="59"/>
    </row>
    <row r="447" spans="7:7" x14ac:dyDescent="0.25">
      <c r="G447" s="59"/>
    </row>
    <row r="448" spans="7:7" x14ac:dyDescent="0.25">
      <c r="G448" s="59"/>
    </row>
    <row r="449" spans="7:7" x14ac:dyDescent="0.25">
      <c r="G449" s="59"/>
    </row>
    <row r="450" spans="7:7" x14ac:dyDescent="0.25">
      <c r="G450" s="59"/>
    </row>
    <row r="451" spans="7:7" x14ac:dyDescent="0.25">
      <c r="G451" s="59"/>
    </row>
    <row r="452" spans="7:7" x14ac:dyDescent="0.25">
      <c r="G452" s="59"/>
    </row>
    <row r="453" spans="7:7" x14ac:dyDescent="0.25">
      <c r="G453" s="59"/>
    </row>
    <row r="454" spans="7:7" x14ac:dyDescent="0.25">
      <c r="G454" s="59"/>
    </row>
    <row r="455" spans="7:7" x14ac:dyDescent="0.25">
      <c r="G455" s="59"/>
    </row>
    <row r="456" spans="7:7" x14ac:dyDescent="0.25">
      <c r="G456" s="59"/>
    </row>
    <row r="457" spans="7:7" x14ac:dyDescent="0.25">
      <c r="G457" s="59"/>
    </row>
    <row r="458" spans="7:7" x14ac:dyDescent="0.25">
      <c r="G458" s="59"/>
    </row>
    <row r="459" spans="7:7" x14ac:dyDescent="0.25">
      <c r="G459" s="59"/>
    </row>
    <row r="460" spans="7:7" x14ac:dyDescent="0.25">
      <c r="G460" s="59"/>
    </row>
    <row r="461" spans="7:7" x14ac:dyDescent="0.25">
      <c r="G461" s="59"/>
    </row>
    <row r="462" spans="7:7" x14ac:dyDescent="0.25">
      <c r="G462" s="59"/>
    </row>
    <row r="463" spans="7:7" x14ac:dyDescent="0.25">
      <c r="G463" s="59"/>
    </row>
    <row r="464" spans="7:7" x14ac:dyDescent="0.25">
      <c r="G464" s="59"/>
    </row>
    <row r="465" spans="7:7" x14ac:dyDescent="0.25">
      <c r="G465" s="59"/>
    </row>
    <row r="466" spans="7:7" x14ac:dyDescent="0.25">
      <c r="G466" s="59"/>
    </row>
    <row r="467" spans="7:7" x14ac:dyDescent="0.25">
      <c r="G467" s="59"/>
    </row>
    <row r="468" spans="7:7" x14ac:dyDescent="0.25">
      <c r="G468" s="59"/>
    </row>
    <row r="469" spans="7:7" x14ac:dyDescent="0.25">
      <c r="G469" s="59"/>
    </row>
    <row r="470" spans="7:7" x14ac:dyDescent="0.25">
      <c r="G470" s="59"/>
    </row>
    <row r="471" spans="7:7" x14ac:dyDescent="0.25">
      <c r="G471" s="59"/>
    </row>
    <row r="472" spans="7:7" x14ac:dyDescent="0.25">
      <c r="G472" s="59"/>
    </row>
    <row r="473" spans="7:7" x14ac:dyDescent="0.25">
      <c r="G473" s="59"/>
    </row>
    <row r="474" spans="7:7" x14ac:dyDescent="0.25">
      <c r="G474" s="59"/>
    </row>
    <row r="475" spans="7:7" x14ac:dyDescent="0.25">
      <c r="G475" s="59"/>
    </row>
    <row r="476" spans="7:7" x14ac:dyDescent="0.25">
      <c r="G476" s="59"/>
    </row>
    <row r="477" spans="7:7" x14ac:dyDescent="0.25">
      <c r="G477" s="59"/>
    </row>
    <row r="478" spans="7:7" x14ac:dyDescent="0.25">
      <c r="G478" s="59"/>
    </row>
    <row r="479" spans="7:7" x14ac:dyDescent="0.25">
      <c r="G479" s="59"/>
    </row>
    <row r="480" spans="7:7" x14ac:dyDescent="0.25">
      <c r="G480" s="59"/>
    </row>
    <row r="481" spans="7:7" x14ac:dyDescent="0.25">
      <c r="G481" s="59"/>
    </row>
    <row r="482" spans="7:7" x14ac:dyDescent="0.25">
      <c r="G482" s="59"/>
    </row>
    <row r="483" spans="7:7" x14ac:dyDescent="0.25">
      <c r="G483" s="59"/>
    </row>
    <row r="484" spans="7:7" x14ac:dyDescent="0.25">
      <c r="G484" s="59"/>
    </row>
    <row r="485" spans="7:7" x14ac:dyDescent="0.25">
      <c r="G485" s="59"/>
    </row>
    <row r="486" spans="7:7" x14ac:dyDescent="0.25">
      <c r="G486" s="59"/>
    </row>
    <row r="487" spans="7:7" x14ac:dyDescent="0.25">
      <c r="G487" s="59"/>
    </row>
    <row r="488" spans="7:7" x14ac:dyDescent="0.25">
      <c r="G488" s="59"/>
    </row>
    <row r="489" spans="7:7" x14ac:dyDescent="0.25">
      <c r="G489" s="59"/>
    </row>
    <row r="490" spans="7:7" x14ac:dyDescent="0.25">
      <c r="G490" s="59"/>
    </row>
    <row r="491" spans="7:7" x14ac:dyDescent="0.25">
      <c r="G491" s="59"/>
    </row>
    <row r="492" spans="7:7" x14ac:dyDescent="0.25">
      <c r="G492" s="59"/>
    </row>
    <row r="493" spans="7:7" x14ac:dyDescent="0.25">
      <c r="G493" s="59"/>
    </row>
    <row r="494" spans="7:7" x14ac:dyDescent="0.25">
      <c r="G494" s="59"/>
    </row>
    <row r="495" spans="7:7" x14ac:dyDescent="0.25">
      <c r="G495" s="59"/>
    </row>
    <row r="496" spans="7:7" x14ac:dyDescent="0.25">
      <c r="G496" s="59"/>
    </row>
    <row r="497" spans="7:7" x14ac:dyDescent="0.25">
      <c r="G497" s="59"/>
    </row>
    <row r="498" spans="7:7" x14ac:dyDescent="0.25">
      <c r="G498" s="59"/>
    </row>
    <row r="499" spans="7:7" x14ac:dyDescent="0.25">
      <c r="G499" s="59"/>
    </row>
    <row r="500" spans="7:7" x14ac:dyDescent="0.25">
      <c r="G500" s="59"/>
    </row>
    <row r="501" spans="7:7" x14ac:dyDescent="0.25">
      <c r="G501" s="59"/>
    </row>
    <row r="502" spans="7:7" x14ac:dyDescent="0.25">
      <c r="G502" s="59"/>
    </row>
    <row r="503" spans="7:7" x14ac:dyDescent="0.25">
      <c r="G503" s="59"/>
    </row>
    <row r="504" spans="7:7" x14ac:dyDescent="0.25">
      <c r="G504" s="59"/>
    </row>
    <row r="505" spans="7:7" x14ac:dyDescent="0.25">
      <c r="G505" s="59"/>
    </row>
    <row r="506" spans="7:7" x14ac:dyDescent="0.25">
      <c r="G506" s="59"/>
    </row>
    <row r="507" spans="7:7" x14ac:dyDescent="0.25">
      <c r="G507" s="59"/>
    </row>
    <row r="508" spans="7:7" x14ac:dyDescent="0.25">
      <c r="G508" s="59"/>
    </row>
    <row r="509" spans="7:7" x14ac:dyDescent="0.25">
      <c r="G509" s="59"/>
    </row>
    <row r="510" spans="7:7" x14ac:dyDescent="0.25">
      <c r="G510" s="59"/>
    </row>
    <row r="511" spans="7:7" x14ac:dyDescent="0.25">
      <c r="G511" s="59"/>
    </row>
    <row r="512" spans="7:7" x14ac:dyDescent="0.25">
      <c r="G512" s="59"/>
    </row>
    <row r="513" spans="7:7" x14ac:dyDescent="0.25">
      <c r="G513" s="59"/>
    </row>
    <row r="514" spans="7:7" x14ac:dyDescent="0.25">
      <c r="G514" s="59"/>
    </row>
    <row r="515" spans="7:7" x14ac:dyDescent="0.25">
      <c r="G515" s="59"/>
    </row>
    <row r="516" spans="7:7" x14ac:dyDescent="0.25">
      <c r="G516" s="59"/>
    </row>
    <row r="517" spans="7:7" x14ac:dyDescent="0.25">
      <c r="G517" s="59"/>
    </row>
    <row r="518" spans="7:7" x14ac:dyDescent="0.25">
      <c r="G518" s="59"/>
    </row>
    <row r="519" spans="7:7" x14ac:dyDescent="0.25">
      <c r="G519" s="59"/>
    </row>
    <row r="520" spans="7:7" x14ac:dyDescent="0.25">
      <c r="G520" s="59"/>
    </row>
    <row r="521" spans="7:7" x14ac:dyDescent="0.25">
      <c r="G521" s="59"/>
    </row>
    <row r="522" spans="7:7" x14ac:dyDescent="0.25">
      <c r="G522" s="59"/>
    </row>
    <row r="523" spans="7:7" x14ac:dyDescent="0.25">
      <c r="G523" s="59"/>
    </row>
    <row r="524" spans="7:7" x14ac:dyDescent="0.25">
      <c r="G524" s="59"/>
    </row>
    <row r="525" spans="7:7" x14ac:dyDescent="0.25">
      <c r="G525" s="59"/>
    </row>
    <row r="526" spans="7:7" x14ac:dyDescent="0.25">
      <c r="G526" s="59"/>
    </row>
    <row r="527" spans="7:7" x14ac:dyDescent="0.25">
      <c r="G527" s="59"/>
    </row>
    <row r="528" spans="7:7" x14ac:dyDescent="0.25">
      <c r="G528" s="59"/>
    </row>
    <row r="529" spans="7:7" x14ac:dyDescent="0.25">
      <c r="G529" s="59"/>
    </row>
    <row r="530" spans="7:7" x14ac:dyDescent="0.25">
      <c r="G530" s="59"/>
    </row>
    <row r="531" spans="7:7" x14ac:dyDescent="0.25">
      <c r="G531" s="59"/>
    </row>
    <row r="532" spans="7:7" x14ac:dyDescent="0.25">
      <c r="G532" s="59"/>
    </row>
    <row r="533" spans="7:7" x14ac:dyDescent="0.25">
      <c r="G533" s="59"/>
    </row>
    <row r="534" spans="7:7" x14ac:dyDescent="0.25">
      <c r="G534" s="59"/>
    </row>
    <row r="535" spans="7:7" x14ac:dyDescent="0.25">
      <c r="G535" s="59"/>
    </row>
    <row r="536" spans="7:7" x14ac:dyDescent="0.25">
      <c r="G536" s="59"/>
    </row>
    <row r="537" spans="7:7" x14ac:dyDescent="0.25">
      <c r="G537" s="59"/>
    </row>
    <row r="538" spans="7:7" x14ac:dyDescent="0.25">
      <c r="G538" s="59"/>
    </row>
    <row r="539" spans="7:7" x14ac:dyDescent="0.25">
      <c r="G539" s="59"/>
    </row>
    <row r="540" spans="7:7" x14ac:dyDescent="0.25">
      <c r="G540" s="59"/>
    </row>
    <row r="541" spans="7:7" x14ac:dyDescent="0.25">
      <c r="G541" s="59"/>
    </row>
    <row r="542" spans="7:7" x14ac:dyDescent="0.25">
      <c r="G542" s="59"/>
    </row>
    <row r="543" spans="7:7" x14ac:dyDescent="0.25">
      <c r="G543" s="59"/>
    </row>
    <row r="544" spans="7:7" x14ac:dyDescent="0.25">
      <c r="G544" s="59"/>
    </row>
    <row r="545" spans="7:7" x14ac:dyDescent="0.25">
      <c r="G545" s="59"/>
    </row>
    <row r="546" spans="7:7" x14ac:dyDescent="0.25">
      <c r="G546" s="59"/>
    </row>
    <row r="547" spans="7:7" x14ac:dyDescent="0.25">
      <c r="G547" s="59"/>
    </row>
    <row r="548" spans="7:7" x14ac:dyDescent="0.25">
      <c r="G548" s="59"/>
    </row>
    <row r="549" spans="7:7" x14ac:dyDescent="0.25">
      <c r="G549" s="59"/>
    </row>
    <row r="550" spans="7:7" x14ac:dyDescent="0.25">
      <c r="G550" s="59"/>
    </row>
    <row r="551" spans="7:7" x14ac:dyDescent="0.25">
      <c r="G551" s="59"/>
    </row>
    <row r="552" spans="7:7" x14ac:dyDescent="0.25">
      <c r="G552" s="59"/>
    </row>
    <row r="553" spans="7:7" x14ac:dyDescent="0.25">
      <c r="G553" s="59"/>
    </row>
    <row r="554" spans="7:7" x14ac:dyDescent="0.25">
      <c r="G554" s="59"/>
    </row>
    <row r="555" spans="7:7" x14ac:dyDescent="0.25">
      <c r="G555" s="59"/>
    </row>
    <row r="556" spans="7:7" x14ac:dyDescent="0.25">
      <c r="G556" s="59"/>
    </row>
    <row r="557" spans="7:7" x14ac:dyDescent="0.25">
      <c r="G557" s="59"/>
    </row>
    <row r="558" spans="7:7" x14ac:dyDescent="0.25">
      <c r="G558" s="59"/>
    </row>
    <row r="559" spans="7:7" x14ac:dyDescent="0.25">
      <c r="G559" s="59"/>
    </row>
    <row r="560" spans="7:7" x14ac:dyDescent="0.25">
      <c r="G560" s="59"/>
    </row>
    <row r="561" spans="7:7" x14ac:dyDescent="0.25">
      <c r="G561" s="59"/>
    </row>
    <row r="562" spans="7:7" x14ac:dyDescent="0.25">
      <c r="G562" s="59"/>
    </row>
    <row r="563" spans="7:7" x14ac:dyDescent="0.25">
      <c r="G563" s="59"/>
    </row>
    <row r="564" spans="7:7" x14ac:dyDescent="0.25">
      <c r="G564" s="59"/>
    </row>
    <row r="565" spans="7:7" x14ac:dyDescent="0.25">
      <c r="G565" s="59"/>
    </row>
    <row r="566" spans="7:7" x14ac:dyDescent="0.25">
      <c r="G566" s="59"/>
    </row>
    <row r="567" spans="7:7" x14ac:dyDescent="0.25">
      <c r="G567" s="59"/>
    </row>
    <row r="568" spans="7:7" x14ac:dyDescent="0.25">
      <c r="G568" s="59"/>
    </row>
    <row r="569" spans="7:7" x14ac:dyDescent="0.25">
      <c r="G569" s="59"/>
    </row>
    <row r="570" spans="7:7" x14ac:dyDescent="0.25">
      <c r="G570" s="59"/>
    </row>
    <row r="571" spans="7:7" x14ac:dyDescent="0.25">
      <c r="G571" s="59"/>
    </row>
    <row r="572" spans="7:7" x14ac:dyDescent="0.25">
      <c r="G572" s="59"/>
    </row>
    <row r="573" spans="7:7" x14ac:dyDescent="0.25">
      <c r="G573" s="59"/>
    </row>
    <row r="574" spans="7:7" x14ac:dyDescent="0.25">
      <c r="G574" s="59"/>
    </row>
    <row r="575" spans="7:7" x14ac:dyDescent="0.25">
      <c r="G575" s="59"/>
    </row>
    <row r="576" spans="7:7" x14ac:dyDescent="0.25">
      <c r="G576" s="59"/>
    </row>
    <row r="577" spans="7:7" x14ac:dyDescent="0.25">
      <c r="G577" s="59"/>
    </row>
    <row r="578" spans="7:7" x14ac:dyDescent="0.25">
      <c r="G578" s="59"/>
    </row>
    <row r="579" spans="7:7" x14ac:dyDescent="0.25">
      <c r="G579" s="59"/>
    </row>
    <row r="580" spans="7:7" x14ac:dyDescent="0.25">
      <c r="G580" s="59"/>
    </row>
    <row r="581" spans="7:7" x14ac:dyDescent="0.25">
      <c r="G581" s="59"/>
    </row>
    <row r="582" spans="7:7" x14ac:dyDescent="0.25">
      <c r="G582" s="59"/>
    </row>
    <row r="583" spans="7:7" x14ac:dyDescent="0.25">
      <c r="G583" s="59"/>
    </row>
    <row r="584" spans="7:7" x14ac:dyDescent="0.25">
      <c r="G584" s="59"/>
    </row>
    <row r="585" spans="7:7" x14ac:dyDescent="0.25">
      <c r="G585" s="59"/>
    </row>
    <row r="586" spans="7:7" x14ac:dyDescent="0.25">
      <c r="G586" s="59"/>
    </row>
    <row r="587" spans="7:7" x14ac:dyDescent="0.25">
      <c r="G587" s="59"/>
    </row>
    <row r="588" spans="7:7" x14ac:dyDescent="0.25">
      <c r="G588" s="59"/>
    </row>
    <row r="589" spans="7:7" x14ac:dyDescent="0.25">
      <c r="G589" s="59"/>
    </row>
    <row r="590" spans="7:7" x14ac:dyDescent="0.25">
      <c r="G590" s="59"/>
    </row>
    <row r="591" spans="7:7" x14ac:dyDescent="0.25">
      <c r="G591" s="59"/>
    </row>
    <row r="592" spans="7:7" x14ac:dyDescent="0.25">
      <c r="G592" s="59"/>
    </row>
    <row r="593" spans="7:7" x14ac:dyDescent="0.25">
      <c r="G593" s="59"/>
    </row>
    <row r="594" spans="7:7" x14ac:dyDescent="0.25">
      <c r="G594" s="59"/>
    </row>
    <row r="595" spans="7:7" x14ac:dyDescent="0.25">
      <c r="G595" s="59"/>
    </row>
    <row r="596" spans="7:7" x14ac:dyDescent="0.25">
      <c r="G596" s="59"/>
    </row>
    <row r="597" spans="7:7" x14ac:dyDescent="0.25">
      <c r="G597" s="59"/>
    </row>
    <row r="598" spans="7:7" x14ac:dyDescent="0.25">
      <c r="G598" s="59"/>
    </row>
    <row r="599" spans="7:7" x14ac:dyDescent="0.25">
      <c r="G599" s="59"/>
    </row>
    <row r="600" spans="7:7" x14ac:dyDescent="0.25">
      <c r="G600" s="59"/>
    </row>
    <row r="601" spans="7:7" x14ac:dyDescent="0.25">
      <c r="G601" s="59"/>
    </row>
    <row r="602" spans="7:7" x14ac:dyDescent="0.25">
      <c r="G602" s="59"/>
    </row>
    <row r="603" spans="7:7" x14ac:dyDescent="0.25">
      <c r="G603" s="59"/>
    </row>
    <row r="604" spans="7:7" x14ac:dyDescent="0.25">
      <c r="G604" s="59"/>
    </row>
    <row r="605" spans="7:7" x14ac:dyDescent="0.25">
      <c r="G605" s="59"/>
    </row>
    <row r="606" spans="7:7" x14ac:dyDescent="0.25">
      <c r="G606" s="59"/>
    </row>
    <row r="607" spans="7:7" x14ac:dyDescent="0.25">
      <c r="G607" s="59"/>
    </row>
    <row r="608" spans="7:7" x14ac:dyDescent="0.25">
      <c r="G608" s="59"/>
    </row>
    <row r="609" spans="7:7" x14ac:dyDescent="0.25">
      <c r="G609" s="59"/>
    </row>
    <row r="610" spans="7:7" x14ac:dyDescent="0.25">
      <c r="G610" s="59"/>
    </row>
    <row r="611" spans="7:7" x14ac:dyDescent="0.25">
      <c r="G611" s="59"/>
    </row>
    <row r="612" spans="7:7" x14ac:dyDescent="0.25">
      <c r="G612" s="59"/>
    </row>
    <row r="613" spans="7:7" x14ac:dyDescent="0.25">
      <c r="G613" s="59"/>
    </row>
    <row r="614" spans="7:7" x14ac:dyDescent="0.25">
      <c r="G614" s="59"/>
    </row>
    <row r="615" spans="7:7" x14ac:dyDescent="0.25">
      <c r="G615" s="59"/>
    </row>
    <row r="616" spans="7:7" x14ac:dyDescent="0.25">
      <c r="G616" s="59"/>
    </row>
    <row r="617" spans="7:7" x14ac:dyDescent="0.25">
      <c r="G617" s="59"/>
    </row>
    <row r="618" spans="7:7" x14ac:dyDescent="0.25">
      <c r="G618" s="59"/>
    </row>
    <row r="619" spans="7:7" x14ac:dyDescent="0.25">
      <c r="G619" s="59"/>
    </row>
    <row r="620" spans="7:7" x14ac:dyDescent="0.25">
      <c r="G620" s="59"/>
    </row>
    <row r="621" spans="7:7" x14ac:dyDescent="0.25">
      <c r="G621" s="59"/>
    </row>
    <row r="622" spans="7:7" x14ac:dyDescent="0.25">
      <c r="G622" s="59"/>
    </row>
    <row r="623" spans="7:7" x14ac:dyDescent="0.25">
      <c r="G623" s="59"/>
    </row>
    <row r="624" spans="7:7" x14ac:dyDescent="0.25">
      <c r="G624" s="59"/>
    </row>
    <row r="625" spans="7:7" x14ac:dyDescent="0.25">
      <c r="G625" s="59"/>
    </row>
    <row r="626" spans="7:7" x14ac:dyDescent="0.25">
      <c r="G626" s="59"/>
    </row>
    <row r="627" spans="7:7" x14ac:dyDescent="0.25">
      <c r="G627" s="59"/>
    </row>
    <row r="628" spans="7:7" x14ac:dyDescent="0.25">
      <c r="G628" s="59"/>
    </row>
    <row r="629" spans="7:7" x14ac:dyDescent="0.25">
      <c r="G629" s="59"/>
    </row>
    <row r="630" spans="7:7" x14ac:dyDescent="0.25">
      <c r="G630" s="59"/>
    </row>
    <row r="631" spans="7:7" x14ac:dyDescent="0.25">
      <c r="G631" s="59"/>
    </row>
    <row r="632" spans="7:7" x14ac:dyDescent="0.25">
      <c r="G632" s="59"/>
    </row>
    <row r="633" spans="7:7" x14ac:dyDescent="0.25">
      <c r="G633" s="59"/>
    </row>
    <row r="634" spans="7:7" x14ac:dyDescent="0.25">
      <c r="G634" s="59"/>
    </row>
    <row r="635" spans="7:7" x14ac:dyDescent="0.25">
      <c r="G635" s="59"/>
    </row>
    <row r="636" spans="7:7" x14ac:dyDescent="0.25">
      <c r="G636" s="59"/>
    </row>
    <row r="637" spans="7:7" x14ac:dyDescent="0.25">
      <c r="G637" s="59"/>
    </row>
    <row r="638" spans="7:7" x14ac:dyDescent="0.25">
      <c r="G638" s="59"/>
    </row>
    <row r="639" spans="7:7" x14ac:dyDescent="0.25">
      <c r="G639" s="59"/>
    </row>
    <row r="640" spans="7:7" x14ac:dyDescent="0.25">
      <c r="G640" s="59"/>
    </row>
    <row r="641" spans="7:7" x14ac:dyDescent="0.25">
      <c r="G641" s="59"/>
    </row>
    <row r="642" spans="7:7" x14ac:dyDescent="0.25">
      <c r="G642" s="59"/>
    </row>
    <row r="643" spans="7:7" x14ac:dyDescent="0.25">
      <c r="G643" s="59"/>
    </row>
    <row r="644" spans="7:7" x14ac:dyDescent="0.25">
      <c r="G644" s="59"/>
    </row>
    <row r="645" spans="7:7" x14ac:dyDescent="0.25">
      <c r="G645" s="59"/>
    </row>
    <row r="646" spans="7:7" x14ac:dyDescent="0.25">
      <c r="G646" s="59"/>
    </row>
    <row r="647" spans="7:7" x14ac:dyDescent="0.25">
      <c r="G647" s="59"/>
    </row>
    <row r="648" spans="7:7" x14ac:dyDescent="0.25">
      <c r="G648" s="59"/>
    </row>
    <row r="649" spans="7:7" x14ac:dyDescent="0.25">
      <c r="G649" s="59"/>
    </row>
    <row r="650" spans="7:7" x14ac:dyDescent="0.25">
      <c r="G650" s="59"/>
    </row>
    <row r="651" spans="7:7" x14ac:dyDescent="0.25">
      <c r="G651" s="59"/>
    </row>
    <row r="652" spans="7:7" x14ac:dyDescent="0.25">
      <c r="G652" s="59"/>
    </row>
    <row r="653" spans="7:7" x14ac:dyDescent="0.25">
      <c r="G653" s="59"/>
    </row>
    <row r="654" spans="7:7" x14ac:dyDescent="0.25">
      <c r="G654" s="59"/>
    </row>
    <row r="655" spans="7:7" x14ac:dyDescent="0.25">
      <c r="G655" s="59"/>
    </row>
    <row r="656" spans="7:7" x14ac:dyDescent="0.25">
      <c r="G656" s="59"/>
    </row>
    <row r="657" spans="7:7" x14ac:dyDescent="0.25">
      <c r="G657" s="59"/>
    </row>
    <row r="658" spans="7:7" x14ac:dyDescent="0.25">
      <c r="G658" s="59"/>
    </row>
    <row r="659" spans="7:7" x14ac:dyDescent="0.25">
      <c r="G659" s="59"/>
    </row>
    <row r="660" spans="7:7" x14ac:dyDescent="0.25">
      <c r="G660" s="59"/>
    </row>
    <row r="661" spans="7:7" x14ac:dyDescent="0.25">
      <c r="G661" s="59"/>
    </row>
    <row r="662" spans="7:7" x14ac:dyDescent="0.25">
      <c r="G662" s="59"/>
    </row>
    <row r="663" spans="7:7" x14ac:dyDescent="0.25">
      <c r="G663" s="59"/>
    </row>
    <row r="664" spans="7:7" x14ac:dyDescent="0.25">
      <c r="G664" s="59"/>
    </row>
    <row r="665" spans="7:7" x14ac:dyDescent="0.25">
      <c r="G665" s="59"/>
    </row>
    <row r="666" spans="7:7" x14ac:dyDescent="0.25">
      <c r="G666" s="59"/>
    </row>
    <row r="667" spans="7:7" x14ac:dyDescent="0.25">
      <c r="G667" s="59"/>
    </row>
    <row r="668" spans="7:7" x14ac:dyDescent="0.25">
      <c r="G668" s="59"/>
    </row>
    <row r="669" spans="7:7" x14ac:dyDescent="0.25">
      <c r="G669" s="59"/>
    </row>
    <row r="670" spans="7:7" x14ac:dyDescent="0.25">
      <c r="G670" s="59"/>
    </row>
    <row r="671" spans="7:7" x14ac:dyDescent="0.25">
      <c r="G671" s="59"/>
    </row>
    <row r="672" spans="7:7" x14ac:dyDescent="0.25">
      <c r="G672" s="59"/>
    </row>
    <row r="673" spans="7:7" x14ac:dyDescent="0.25">
      <c r="G673" s="59"/>
    </row>
    <row r="674" spans="7:7" x14ac:dyDescent="0.25">
      <c r="G674" s="59"/>
    </row>
    <row r="675" spans="7:7" x14ac:dyDescent="0.25">
      <c r="G675" s="59"/>
    </row>
    <row r="676" spans="7:7" x14ac:dyDescent="0.25">
      <c r="G676" s="59"/>
    </row>
    <row r="677" spans="7:7" x14ac:dyDescent="0.25">
      <c r="G677" s="59"/>
    </row>
    <row r="678" spans="7:7" x14ac:dyDescent="0.25">
      <c r="G678" s="59"/>
    </row>
    <row r="679" spans="7:7" x14ac:dyDescent="0.25">
      <c r="G679" s="59"/>
    </row>
    <row r="680" spans="7:7" x14ac:dyDescent="0.25">
      <c r="G680" s="59"/>
    </row>
    <row r="681" spans="7:7" x14ac:dyDescent="0.25">
      <c r="G681" s="59"/>
    </row>
    <row r="682" spans="7:7" x14ac:dyDescent="0.25">
      <c r="G682" s="59"/>
    </row>
    <row r="683" spans="7:7" x14ac:dyDescent="0.25">
      <c r="G683" s="59"/>
    </row>
    <row r="684" spans="7:7" x14ac:dyDescent="0.25">
      <c r="G684" s="59"/>
    </row>
    <row r="685" spans="7:7" x14ac:dyDescent="0.25">
      <c r="G685" s="59"/>
    </row>
    <row r="686" spans="7:7" x14ac:dyDescent="0.25">
      <c r="G686" s="59"/>
    </row>
    <row r="687" spans="7:7" x14ac:dyDescent="0.25">
      <c r="G687" s="59"/>
    </row>
    <row r="688" spans="7:7" x14ac:dyDescent="0.25">
      <c r="G688" s="59"/>
    </row>
    <row r="689" spans="7:7" x14ac:dyDescent="0.25">
      <c r="G689" s="59"/>
    </row>
    <row r="690" spans="7:7" x14ac:dyDescent="0.25">
      <c r="G690" s="59"/>
    </row>
    <row r="691" spans="7:7" x14ac:dyDescent="0.25">
      <c r="G691" s="59"/>
    </row>
    <row r="692" spans="7:7" x14ac:dyDescent="0.25">
      <c r="G692" s="59"/>
    </row>
    <row r="693" spans="7:7" x14ac:dyDescent="0.25">
      <c r="G693" s="59"/>
    </row>
    <row r="694" spans="7:7" x14ac:dyDescent="0.25">
      <c r="G694" s="59"/>
    </row>
    <row r="695" spans="7:7" x14ac:dyDescent="0.25">
      <c r="G695" s="59"/>
    </row>
    <row r="696" spans="7:7" x14ac:dyDescent="0.25">
      <c r="G696" s="59"/>
    </row>
    <row r="697" spans="7:7" x14ac:dyDescent="0.25">
      <c r="G697" s="59"/>
    </row>
    <row r="698" spans="7:7" x14ac:dyDescent="0.25">
      <c r="G698" s="59"/>
    </row>
    <row r="699" spans="7:7" x14ac:dyDescent="0.25">
      <c r="G699" s="59"/>
    </row>
    <row r="700" spans="7:7" x14ac:dyDescent="0.25">
      <c r="G700" s="59"/>
    </row>
    <row r="701" spans="7:7" x14ac:dyDescent="0.25">
      <c r="G701" s="59"/>
    </row>
    <row r="702" spans="7:7" x14ac:dyDescent="0.25">
      <c r="G702" s="59"/>
    </row>
    <row r="703" spans="7:7" x14ac:dyDescent="0.25">
      <c r="G703" s="59"/>
    </row>
    <row r="704" spans="7:7" x14ac:dyDescent="0.25">
      <c r="G704" s="59"/>
    </row>
    <row r="705" spans="7:7" x14ac:dyDescent="0.25">
      <c r="G705" s="59"/>
    </row>
    <row r="706" spans="7:7" x14ac:dyDescent="0.25">
      <c r="G706" s="59"/>
    </row>
    <row r="707" spans="7:7" x14ac:dyDescent="0.25">
      <c r="G707" s="59"/>
    </row>
    <row r="708" spans="7:7" x14ac:dyDescent="0.25">
      <c r="G708" s="59"/>
    </row>
    <row r="709" spans="7:7" x14ac:dyDescent="0.25">
      <c r="G709" s="59"/>
    </row>
    <row r="710" spans="7:7" x14ac:dyDescent="0.25">
      <c r="G710" s="59"/>
    </row>
    <row r="711" spans="7:7" x14ac:dyDescent="0.25">
      <c r="G711" s="59"/>
    </row>
    <row r="712" spans="7:7" x14ac:dyDescent="0.25">
      <c r="G712" s="59"/>
    </row>
    <row r="713" spans="7:7" x14ac:dyDescent="0.25">
      <c r="G713" s="59"/>
    </row>
    <row r="714" spans="7:7" x14ac:dyDescent="0.25">
      <c r="G714" s="59"/>
    </row>
    <row r="715" spans="7:7" x14ac:dyDescent="0.25">
      <c r="G715" s="59"/>
    </row>
    <row r="716" spans="7:7" x14ac:dyDescent="0.25">
      <c r="G716" s="59"/>
    </row>
    <row r="717" spans="7:7" x14ac:dyDescent="0.25">
      <c r="G717" s="59"/>
    </row>
    <row r="718" spans="7:7" x14ac:dyDescent="0.25">
      <c r="G718" s="59"/>
    </row>
    <row r="719" spans="7:7" x14ac:dyDescent="0.25">
      <c r="G719" s="59"/>
    </row>
    <row r="720" spans="7:7" x14ac:dyDescent="0.25">
      <c r="G720" s="59"/>
    </row>
    <row r="721" spans="7:7" x14ac:dyDescent="0.25">
      <c r="G721" s="59"/>
    </row>
    <row r="722" spans="7:7" x14ac:dyDescent="0.25">
      <c r="G722" s="59"/>
    </row>
    <row r="723" spans="7:7" x14ac:dyDescent="0.25">
      <c r="G723" s="59"/>
    </row>
    <row r="724" spans="7:7" x14ac:dyDescent="0.25">
      <c r="G724" s="59"/>
    </row>
    <row r="725" spans="7:7" x14ac:dyDescent="0.25">
      <c r="G725" s="59"/>
    </row>
    <row r="726" spans="7:7" x14ac:dyDescent="0.25">
      <c r="G726" s="59"/>
    </row>
    <row r="727" spans="7:7" x14ac:dyDescent="0.25">
      <c r="G727" s="59"/>
    </row>
    <row r="728" spans="7:7" x14ac:dyDescent="0.25">
      <c r="G728" s="59"/>
    </row>
    <row r="729" spans="7:7" x14ac:dyDescent="0.25">
      <c r="G729" s="59"/>
    </row>
    <row r="730" spans="7:7" x14ac:dyDescent="0.25">
      <c r="G730" s="59"/>
    </row>
    <row r="731" spans="7:7" x14ac:dyDescent="0.25">
      <c r="G731" s="59"/>
    </row>
    <row r="732" spans="7:7" x14ac:dyDescent="0.25">
      <c r="G732" s="59"/>
    </row>
    <row r="733" spans="7:7" x14ac:dyDescent="0.25">
      <c r="G733" s="59"/>
    </row>
    <row r="734" spans="7:7" x14ac:dyDescent="0.25">
      <c r="G734" s="59"/>
    </row>
    <row r="735" spans="7:7" x14ac:dyDescent="0.25">
      <c r="G735" s="59"/>
    </row>
    <row r="736" spans="7:7" x14ac:dyDescent="0.25">
      <c r="G736" s="59"/>
    </row>
    <row r="737" spans="7:7" x14ac:dyDescent="0.25">
      <c r="G737" s="59"/>
    </row>
    <row r="738" spans="7:7" x14ac:dyDescent="0.25">
      <c r="G738" s="59"/>
    </row>
    <row r="739" spans="7:7" x14ac:dyDescent="0.25">
      <c r="G739" s="59"/>
    </row>
    <row r="740" spans="7:7" x14ac:dyDescent="0.25">
      <c r="G740" s="59"/>
    </row>
    <row r="741" spans="7:7" x14ac:dyDescent="0.25">
      <c r="G741" s="59"/>
    </row>
    <row r="742" spans="7:7" x14ac:dyDescent="0.25">
      <c r="G742" s="59"/>
    </row>
    <row r="743" spans="7:7" x14ac:dyDescent="0.25">
      <c r="G743" s="59"/>
    </row>
    <row r="744" spans="7:7" x14ac:dyDescent="0.25">
      <c r="G744" s="59"/>
    </row>
    <row r="745" spans="7:7" x14ac:dyDescent="0.25">
      <c r="G745" s="59"/>
    </row>
    <row r="746" spans="7:7" x14ac:dyDescent="0.25">
      <c r="G746" s="59"/>
    </row>
    <row r="747" spans="7:7" x14ac:dyDescent="0.25">
      <c r="G747" s="59"/>
    </row>
    <row r="748" spans="7:7" x14ac:dyDescent="0.25">
      <c r="G748" s="59"/>
    </row>
    <row r="749" spans="7:7" x14ac:dyDescent="0.25">
      <c r="G749" s="59"/>
    </row>
    <row r="750" spans="7:7" x14ac:dyDescent="0.25">
      <c r="G750" s="59"/>
    </row>
    <row r="751" spans="7:7" x14ac:dyDescent="0.25">
      <c r="G751" s="59"/>
    </row>
    <row r="752" spans="7:7" x14ac:dyDescent="0.25">
      <c r="G752" s="59"/>
    </row>
    <row r="753" spans="7:7" x14ac:dyDescent="0.25">
      <c r="G753" s="59"/>
    </row>
    <row r="754" spans="7:7" x14ac:dyDescent="0.25">
      <c r="G754" s="59"/>
    </row>
    <row r="755" spans="7:7" x14ac:dyDescent="0.25">
      <c r="G755" s="59"/>
    </row>
    <row r="756" spans="7:7" x14ac:dyDescent="0.25">
      <c r="G756" s="59"/>
    </row>
    <row r="757" spans="7:7" x14ac:dyDescent="0.25">
      <c r="G757" s="59"/>
    </row>
    <row r="758" spans="7:7" x14ac:dyDescent="0.25">
      <c r="G758" s="59"/>
    </row>
    <row r="759" spans="7:7" x14ac:dyDescent="0.25">
      <c r="G759" s="59"/>
    </row>
    <row r="760" spans="7:7" x14ac:dyDescent="0.25">
      <c r="G760" s="59"/>
    </row>
    <row r="761" spans="7:7" x14ac:dyDescent="0.25">
      <c r="G761" s="59"/>
    </row>
    <row r="762" spans="7:7" x14ac:dyDescent="0.25">
      <c r="G762" s="59"/>
    </row>
    <row r="763" spans="7:7" x14ac:dyDescent="0.25">
      <c r="G763" s="59"/>
    </row>
    <row r="764" spans="7:7" x14ac:dyDescent="0.25">
      <c r="G764" s="59"/>
    </row>
    <row r="765" spans="7:7" x14ac:dyDescent="0.25">
      <c r="G765" s="59"/>
    </row>
    <row r="766" spans="7:7" x14ac:dyDescent="0.25">
      <c r="G766" s="59"/>
    </row>
    <row r="767" spans="7:7" x14ac:dyDescent="0.25">
      <c r="G767" s="59"/>
    </row>
    <row r="768" spans="7:7" x14ac:dyDescent="0.25">
      <c r="G768" s="59"/>
    </row>
    <row r="769" spans="7:7" x14ac:dyDescent="0.25">
      <c r="G769" s="59"/>
    </row>
    <row r="770" spans="7:7" x14ac:dyDescent="0.25">
      <c r="G770" s="59"/>
    </row>
    <row r="771" spans="7:7" x14ac:dyDescent="0.25">
      <c r="G771" s="59"/>
    </row>
    <row r="772" spans="7:7" x14ac:dyDescent="0.25">
      <c r="G772" s="5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5703125" customWidth="1"/>
    <col min="3" max="3" width="37.5703125" bestFit="1" customWidth="1"/>
    <col min="4" max="4" width="9.425781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42578125" bestFit="1" customWidth="1"/>
    <col min="3" max="3" width="5.42578125" customWidth="1"/>
    <col min="4" max="6" width="20" customWidth="1"/>
    <col min="7" max="7" width="20.5703125" customWidth="1"/>
    <col min="8" max="9" width="17.5703125" customWidth="1"/>
    <col min="10" max="10" width="20.42578125" customWidth="1"/>
    <col min="11" max="12" width="17.5703125" customWidth="1"/>
    <col min="13" max="13" width="20.42578125" customWidth="1"/>
    <col min="14" max="14" width="19" customWidth="1"/>
    <col min="15" max="15" width="18.425781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ColWidth="11.42578125" defaultRowHeight="15" x14ac:dyDescent="0.25"/>
  <sheetData>
    <row r="1" spans="1:6" ht="15.75" thickBot="1" x14ac:dyDescent="0.3">
      <c r="A1" s="72"/>
      <c r="B1" s="73"/>
      <c r="C1" s="74"/>
      <c r="D1" s="75"/>
      <c r="E1" s="76"/>
      <c r="F1" s="76"/>
    </row>
    <row r="2" spans="1:6" ht="15.75" thickBot="1" x14ac:dyDescent="0.3">
      <c r="A2" s="77"/>
      <c r="B2" s="78"/>
      <c r="C2" s="79"/>
      <c r="D2" s="79"/>
      <c r="E2" s="78"/>
      <c r="F2" s="78"/>
    </row>
    <row r="3" spans="1:6" ht="15.75" thickBot="1" x14ac:dyDescent="0.3">
      <c r="A3" s="80"/>
      <c r="B3" s="81"/>
      <c r="C3" s="81"/>
      <c r="D3" s="83"/>
      <c r="E3" s="83"/>
      <c r="F3" s="83"/>
    </row>
    <row r="4" spans="1:6" ht="15.75" thickBot="1" x14ac:dyDescent="0.3">
      <c r="A4" s="80"/>
      <c r="B4" s="81"/>
      <c r="C4" s="81"/>
      <c r="D4" s="83"/>
      <c r="E4" s="83"/>
      <c r="F4" s="83"/>
    </row>
    <row r="5" spans="1:6" ht="15.75" thickBot="1" x14ac:dyDescent="0.3">
      <c r="A5" s="80"/>
      <c r="B5" s="81"/>
      <c r="C5" s="81"/>
      <c r="D5" s="83"/>
      <c r="E5" s="83"/>
      <c r="F5" s="83"/>
    </row>
    <row r="6" spans="1:6" ht="15.75" thickBot="1" x14ac:dyDescent="0.3">
      <c r="A6" s="80"/>
      <c r="B6" s="81"/>
      <c r="C6" s="81"/>
      <c r="D6" s="83"/>
      <c r="E6" s="83"/>
      <c r="F6" s="83"/>
    </row>
    <row r="7" spans="1:6" ht="15.75" thickBot="1" x14ac:dyDescent="0.3">
      <c r="A7" s="80"/>
      <c r="B7" s="81"/>
      <c r="C7" s="81"/>
      <c r="D7" s="83"/>
      <c r="E7" s="83"/>
      <c r="F7" s="83"/>
    </row>
    <row r="8" spans="1:6" ht="15.75" thickBot="1" x14ac:dyDescent="0.3">
      <c r="A8" s="80"/>
      <c r="B8" s="84"/>
      <c r="C8" s="84"/>
      <c r="D8" s="85"/>
      <c r="E8" s="86"/>
      <c r="F8" s="87"/>
    </row>
    <row r="9" spans="1:6" x14ac:dyDescent="0.25">
      <c r="A9" s="88"/>
    </row>
    <row r="10" spans="1:6" x14ac:dyDescent="0.25">
      <c r="D10" s="82"/>
      <c r="E10" s="82"/>
      <c r="F10" s="82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1"/>
  <sheetViews>
    <sheetView workbookViewId="0"/>
  </sheetViews>
  <sheetFormatPr defaultColWidth="9.140625" defaultRowHeight="15" x14ac:dyDescent="0.25"/>
  <cols>
    <col min="2" max="2" width="13.5703125" bestFit="1" customWidth="1"/>
    <col min="3" max="3" width="51.85546875" bestFit="1" customWidth="1"/>
    <col min="5" max="5" width="29.85546875" customWidth="1"/>
  </cols>
  <sheetData>
    <row r="1" spans="2:3" ht="15.75" thickBot="1" x14ac:dyDescent="0.3"/>
    <row r="2" spans="2:3" ht="15.75" thickBot="1" x14ac:dyDescent="0.3">
      <c r="B2" s="106" t="s">
        <v>419</v>
      </c>
      <c r="C2" s="107" t="s">
        <v>1</v>
      </c>
    </row>
    <row r="3" spans="2:3" x14ac:dyDescent="0.25">
      <c r="B3" s="418" t="s">
        <v>421</v>
      </c>
      <c r="C3" s="108" t="s">
        <v>225</v>
      </c>
    </row>
    <row r="4" spans="2:3" x14ac:dyDescent="0.25">
      <c r="B4" s="413"/>
      <c r="C4" s="109" t="s">
        <v>227</v>
      </c>
    </row>
    <row r="5" spans="2:3" x14ac:dyDescent="0.25">
      <c r="B5" s="413"/>
      <c r="C5" s="109" t="s">
        <v>229</v>
      </c>
    </row>
    <row r="6" spans="2:3" x14ac:dyDescent="0.25">
      <c r="B6" s="413"/>
      <c r="C6" s="109" t="s">
        <v>233</v>
      </c>
    </row>
    <row r="7" spans="2:3" x14ac:dyDescent="0.25">
      <c r="B7" s="413"/>
      <c r="C7" s="109" t="s">
        <v>347</v>
      </c>
    </row>
    <row r="8" spans="2:3" x14ac:dyDescent="0.25">
      <c r="B8" s="413"/>
      <c r="C8" s="109" t="s">
        <v>337</v>
      </c>
    </row>
    <row r="9" spans="2:3" x14ac:dyDescent="0.25">
      <c r="B9" s="413"/>
      <c r="C9" s="109" t="s">
        <v>266</v>
      </c>
    </row>
    <row r="10" spans="2:3" x14ac:dyDescent="0.25">
      <c r="B10" s="413"/>
      <c r="C10" s="109" t="s">
        <v>270</v>
      </c>
    </row>
    <row r="11" spans="2:3" x14ac:dyDescent="0.25">
      <c r="B11" s="413"/>
      <c r="C11" s="109" t="s">
        <v>247</v>
      </c>
    </row>
    <row r="12" spans="2:3" x14ac:dyDescent="0.25">
      <c r="B12" s="413"/>
      <c r="C12" s="109" t="s">
        <v>251</v>
      </c>
    </row>
    <row r="13" spans="2:3" x14ac:dyDescent="0.25">
      <c r="B13" s="413"/>
      <c r="C13" s="109" t="s">
        <v>313</v>
      </c>
    </row>
    <row r="14" spans="2:3" x14ac:dyDescent="0.25">
      <c r="B14" s="413"/>
      <c r="C14" s="109" t="s">
        <v>253</v>
      </c>
    </row>
    <row r="15" spans="2:3" x14ac:dyDescent="0.25">
      <c r="B15" s="413"/>
      <c r="C15" s="109" t="s">
        <v>255</v>
      </c>
    </row>
    <row r="16" spans="2:3" x14ac:dyDescent="0.25">
      <c r="B16" s="413"/>
      <c r="C16" s="109" t="s">
        <v>257</v>
      </c>
    </row>
    <row r="17" spans="2:5" x14ac:dyDescent="0.25">
      <c r="B17" s="413"/>
      <c r="C17" s="109" t="s">
        <v>264</v>
      </c>
    </row>
    <row r="18" spans="2:5" x14ac:dyDescent="0.25">
      <c r="B18" s="413"/>
      <c r="C18" s="109" t="s">
        <v>400</v>
      </c>
    </row>
    <row r="19" spans="2:5" x14ac:dyDescent="0.25">
      <c r="B19" s="413"/>
      <c r="C19" s="109" t="s">
        <v>402</v>
      </c>
    </row>
    <row r="20" spans="2:5" ht="15.6" customHeight="1" x14ac:dyDescent="0.25">
      <c r="B20" s="413"/>
      <c r="C20" s="109" t="s">
        <v>403</v>
      </c>
    </row>
    <row r="21" spans="2:5" x14ac:dyDescent="0.25">
      <c r="B21" s="413"/>
      <c r="C21" s="109" t="s">
        <v>420</v>
      </c>
    </row>
    <row r="22" spans="2:5" ht="14.45" customHeight="1" x14ac:dyDescent="0.25">
      <c r="B22" s="415" t="s">
        <v>422</v>
      </c>
      <c r="C22" s="109" t="s">
        <v>406</v>
      </c>
    </row>
    <row r="23" spans="2:5" x14ac:dyDescent="0.25">
      <c r="B23" s="416"/>
      <c r="C23" s="109" t="s">
        <v>396</v>
      </c>
    </row>
    <row r="24" spans="2:5" x14ac:dyDescent="0.25">
      <c r="B24" s="416"/>
      <c r="C24" s="109" t="s">
        <v>394</v>
      </c>
    </row>
    <row r="25" spans="2:5" ht="15.95" customHeight="1" x14ac:dyDescent="0.25">
      <c r="B25" s="416"/>
      <c r="C25" s="109" t="s">
        <v>392</v>
      </c>
    </row>
    <row r="26" spans="2:5" x14ac:dyDescent="0.25">
      <c r="B26" s="416"/>
      <c r="C26" s="109" t="s">
        <v>389</v>
      </c>
    </row>
    <row r="27" spans="2:5" x14ac:dyDescent="0.25">
      <c r="B27" s="416"/>
      <c r="C27" s="109" t="s">
        <v>373</v>
      </c>
    </row>
    <row r="28" spans="2:5" x14ac:dyDescent="0.25">
      <c r="B28" s="416"/>
      <c r="C28" s="109" t="s">
        <v>371</v>
      </c>
      <c r="E28" s="111"/>
    </row>
    <row r="29" spans="2:5" x14ac:dyDescent="0.25">
      <c r="B29" s="416"/>
      <c r="C29" s="109" t="s">
        <v>370</v>
      </c>
    </row>
    <row r="30" spans="2:5" x14ac:dyDescent="0.25">
      <c r="B30" s="417"/>
      <c r="C30" s="109" t="s">
        <v>418</v>
      </c>
      <c r="E30" s="112"/>
    </row>
    <row r="31" spans="2:5" ht="14.45" customHeight="1" x14ac:dyDescent="0.25">
      <c r="B31" s="413" t="s">
        <v>423</v>
      </c>
      <c r="C31" s="109" t="s">
        <v>364</v>
      </c>
    </row>
    <row r="32" spans="2:5" x14ac:dyDescent="0.25">
      <c r="B32" s="413"/>
      <c r="C32" s="109" t="s">
        <v>413</v>
      </c>
    </row>
    <row r="33" spans="2:3" x14ac:dyDescent="0.25">
      <c r="B33" s="413"/>
      <c r="C33" s="109" t="s">
        <v>367</v>
      </c>
    </row>
    <row r="34" spans="2:3" x14ac:dyDescent="0.25">
      <c r="B34" s="413"/>
      <c r="C34" s="109" t="s">
        <v>378</v>
      </c>
    </row>
    <row r="35" spans="2:3" x14ac:dyDescent="0.25">
      <c r="B35" s="413"/>
      <c r="C35" s="109" t="s">
        <v>377</v>
      </c>
    </row>
    <row r="36" spans="2:3" x14ac:dyDescent="0.25">
      <c r="B36" s="413"/>
      <c r="C36" s="109" t="s">
        <v>385</v>
      </c>
    </row>
    <row r="37" spans="2:3" x14ac:dyDescent="0.25">
      <c r="B37" s="413" t="s">
        <v>424</v>
      </c>
      <c r="C37" s="109" t="s">
        <v>346</v>
      </c>
    </row>
    <row r="38" spans="2:3" x14ac:dyDescent="0.25">
      <c r="B38" s="413"/>
      <c r="C38" s="109" t="s">
        <v>319</v>
      </c>
    </row>
    <row r="39" spans="2:3" x14ac:dyDescent="0.25">
      <c r="B39" s="413"/>
      <c r="C39" s="109" t="s">
        <v>289</v>
      </c>
    </row>
    <row r="40" spans="2:3" x14ac:dyDescent="0.25">
      <c r="B40" s="413"/>
      <c r="C40" s="109" t="s">
        <v>314</v>
      </c>
    </row>
    <row r="41" spans="2:3" x14ac:dyDescent="0.25">
      <c r="B41" s="413"/>
      <c r="C41" s="109" t="s">
        <v>274</v>
      </c>
    </row>
    <row r="42" spans="2:3" x14ac:dyDescent="0.25">
      <c r="B42" s="413"/>
      <c r="C42" s="109" t="s">
        <v>309</v>
      </c>
    </row>
    <row r="43" spans="2:3" x14ac:dyDescent="0.25">
      <c r="B43" s="413"/>
      <c r="C43" s="109" t="s">
        <v>245</v>
      </c>
    </row>
    <row r="44" spans="2:3" x14ac:dyDescent="0.25">
      <c r="B44" s="413"/>
      <c r="C44" s="109" t="s">
        <v>241</v>
      </c>
    </row>
    <row r="45" spans="2:3" x14ac:dyDescent="0.25">
      <c r="B45" s="413"/>
      <c r="C45" s="109" t="s">
        <v>307</v>
      </c>
    </row>
    <row r="46" spans="2:3" x14ac:dyDescent="0.25">
      <c r="B46" s="413"/>
      <c r="C46" s="109" t="s">
        <v>237</v>
      </c>
    </row>
    <row r="47" spans="2:3" x14ac:dyDescent="0.25">
      <c r="B47" s="413"/>
      <c r="C47" s="109" t="s">
        <v>213</v>
      </c>
    </row>
    <row r="48" spans="2:3" ht="15" customHeight="1" x14ac:dyDescent="0.25">
      <c r="B48" s="413" t="s">
        <v>425</v>
      </c>
      <c r="C48" s="109" t="s">
        <v>215</v>
      </c>
    </row>
    <row r="49" spans="2:3" x14ac:dyDescent="0.25">
      <c r="B49" s="413"/>
      <c r="C49" s="109" t="s">
        <v>221</v>
      </c>
    </row>
    <row r="50" spans="2:3" x14ac:dyDescent="0.25">
      <c r="B50" s="413"/>
      <c r="C50" s="109" t="s">
        <v>292</v>
      </c>
    </row>
    <row r="51" spans="2:3" x14ac:dyDescent="0.25">
      <c r="B51" s="413"/>
      <c r="C51" s="109" t="s">
        <v>295</v>
      </c>
    </row>
    <row r="52" spans="2:3" x14ac:dyDescent="0.25">
      <c r="B52" s="413" t="s">
        <v>426</v>
      </c>
      <c r="C52" s="109" t="s">
        <v>279</v>
      </c>
    </row>
    <row r="53" spans="2:3" x14ac:dyDescent="0.25">
      <c r="B53" s="413"/>
      <c r="C53" s="109" t="s">
        <v>281</v>
      </c>
    </row>
    <row r="54" spans="2:3" x14ac:dyDescent="0.25">
      <c r="B54" s="413"/>
      <c r="C54" s="109" t="s">
        <v>283</v>
      </c>
    </row>
    <row r="55" spans="2:3" x14ac:dyDescent="0.25">
      <c r="B55" s="413"/>
      <c r="C55" s="109" t="s">
        <v>285</v>
      </c>
    </row>
    <row r="56" spans="2:3" x14ac:dyDescent="0.25">
      <c r="B56" s="413"/>
      <c r="C56" s="109" t="s">
        <v>315</v>
      </c>
    </row>
    <row r="57" spans="2:3" x14ac:dyDescent="0.25">
      <c r="B57" s="413"/>
      <c r="C57" s="109" t="s">
        <v>298</v>
      </c>
    </row>
    <row r="58" spans="2:3" x14ac:dyDescent="0.25">
      <c r="B58" s="413"/>
      <c r="C58" s="109" t="s">
        <v>300</v>
      </c>
    </row>
    <row r="59" spans="2:3" x14ac:dyDescent="0.25">
      <c r="B59" s="413"/>
      <c r="C59" s="109" t="s">
        <v>318</v>
      </c>
    </row>
    <row r="60" spans="2:3" x14ac:dyDescent="0.25">
      <c r="B60" s="413"/>
      <c r="C60" s="109" t="s">
        <v>336</v>
      </c>
    </row>
    <row r="61" spans="2:3" ht="15.75" thickBot="1" x14ac:dyDescent="0.3">
      <c r="B61" s="414"/>
      <c r="C61" s="110" t="s">
        <v>217</v>
      </c>
    </row>
  </sheetData>
  <mergeCells count="6">
    <mergeCell ref="B52:B61"/>
    <mergeCell ref="B22:B30"/>
    <mergeCell ref="B3:B21"/>
    <mergeCell ref="B31:B36"/>
    <mergeCell ref="B37:B47"/>
    <mergeCell ref="B48:B5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  <vt:lpstr>Agrupacions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Núria</cp:lastModifiedBy>
  <dcterms:created xsi:type="dcterms:W3CDTF">2017-03-09T17:46:58Z</dcterms:created>
  <dcterms:modified xsi:type="dcterms:W3CDTF">2022-04-25T15:03:21Z</dcterms:modified>
</cp:coreProperties>
</file>