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2.xml" ContentType="application/vnd.openxmlformats-officedocument.spreadsheetml.comment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omments3.xml" ContentType="application/vnd.openxmlformats-officedocument.spreadsheetml.comments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75" windowHeight="7560"/>
  </bookViews>
  <sheets>
    <sheet name="Càlcul pressupost " sheetId="15" r:id="rId1"/>
    <sheet name="Perfils" sheetId="5" r:id="rId2"/>
    <sheet name="Taules IJ" sheetId="16" r:id="rId3"/>
    <sheet name="Costos Indirectes" sheetId="8" r:id="rId4"/>
    <sheet name="Infraestructura" sheetId="17" r:id="rId5"/>
    <sheet name="Llicències" sheetId="18" r:id="rId6"/>
    <sheet name="SuportProf" sheetId="20" r:id="rId7"/>
  </sheets>
  <externalReferences>
    <externalReference r:id="rId8"/>
    <externalReference r:id="rId9"/>
  </externalReferences>
  <definedNames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45621"/>
  <pivotCaches>
    <pivotCache cacheId="15" r:id="rId10"/>
    <pivotCache cacheId="16" r:id="rId11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7" i="16" l="1"/>
  <c r="J67" i="15"/>
  <c r="L67" i="15"/>
  <c r="K67" i="15"/>
  <c r="M105" i="15"/>
  <c r="L105" i="15"/>
  <c r="K104" i="15"/>
  <c r="L104" i="15"/>
  <c r="M142" i="15"/>
  <c r="L142" i="15"/>
  <c r="I142" i="15"/>
  <c r="L141" i="15"/>
  <c r="J141" i="15" s="1"/>
  <c r="I140" i="15"/>
  <c r="K141" i="15"/>
  <c r="G22" i="5" l="1"/>
  <c r="G30" i="5"/>
  <c r="G21" i="5"/>
  <c r="M16" i="15" l="1"/>
  <c r="N16" i="15" s="1"/>
  <c r="M18" i="15"/>
  <c r="M15" i="15"/>
  <c r="N15" i="15" s="1"/>
  <c r="M13" i="15"/>
  <c r="N13" i="15" s="1"/>
  <c r="M10" i="15"/>
  <c r="M8" i="15"/>
  <c r="N8" i="15" s="1"/>
  <c r="M7" i="15"/>
  <c r="N7" i="15" s="1"/>
  <c r="I4" i="15"/>
  <c r="G7" i="15" l="1"/>
  <c r="N10" i="15"/>
  <c r="O10" i="15" s="1"/>
  <c r="O16" i="15"/>
  <c r="I6" i="5"/>
  <c r="I3" i="5"/>
  <c r="H89" i="16" l="1"/>
  <c r="H88" i="16"/>
  <c r="D29" i="18"/>
  <c r="C6" i="18" s="1"/>
  <c r="C29" i="18"/>
  <c r="C5" i="18"/>
  <c r="C4" i="18"/>
  <c r="D21" i="18"/>
  <c r="E21" i="18"/>
  <c r="D36" i="18"/>
  <c r="E36" i="18"/>
  <c r="C6" i="20"/>
  <c r="F2" i="15"/>
  <c r="I2" i="15"/>
  <c r="M25" i="15"/>
  <c r="G25" i="15" s="1"/>
  <c r="I66" i="15" s="1"/>
  <c r="I68" i="15" s="1"/>
  <c r="M68" i="15" s="1"/>
  <c r="O25" i="15"/>
  <c r="I22" i="16" s="1"/>
  <c r="J22" i="16" s="1"/>
  <c r="M26" i="15"/>
  <c r="G18" i="15"/>
  <c r="N18" i="15"/>
  <c r="H18" i="15" s="1"/>
  <c r="M19" i="15"/>
  <c r="C15" i="16" s="1"/>
  <c r="G19" i="15"/>
  <c r="N19" i="15"/>
  <c r="H19" i="15"/>
  <c r="L98" i="15" s="1"/>
  <c r="L99" i="15" s="1"/>
  <c r="P10" i="15"/>
  <c r="M11" i="15"/>
  <c r="N11" i="15" s="1"/>
  <c r="F10" i="16" s="1"/>
  <c r="H15" i="15"/>
  <c r="I91" i="15" s="1"/>
  <c r="I93" i="15" s="1"/>
  <c r="H23" i="16"/>
  <c r="E23" i="16"/>
  <c r="E26" i="15"/>
  <c r="E27" i="15" s="1"/>
  <c r="C7" i="18"/>
  <c r="C9" i="18"/>
  <c r="D3" i="17"/>
  <c r="D4" i="17"/>
  <c r="D5" i="17"/>
  <c r="C6" i="17"/>
  <c r="D6" i="17"/>
  <c r="D17" i="17"/>
  <c r="D18" i="17"/>
  <c r="D11" i="17"/>
  <c r="D12" i="17"/>
  <c r="D13" i="17"/>
  <c r="F15" i="16"/>
  <c r="G15" i="16" s="1"/>
  <c r="H15" i="16" s="1"/>
  <c r="C13" i="17"/>
  <c r="S40" i="16"/>
  <c r="Q40" i="16"/>
  <c r="L39" i="16"/>
  <c r="J39" i="16"/>
  <c r="V17" i="15"/>
  <c r="V14" i="15"/>
  <c r="E8" i="5"/>
  <c r="G8" i="5" s="1"/>
  <c r="I8" i="5" s="1"/>
  <c r="C8" i="5"/>
  <c r="C11" i="5"/>
  <c r="K98" i="15"/>
  <c r="E31" i="5"/>
  <c r="F31" i="5" s="1"/>
  <c r="E22" i="5"/>
  <c r="E23" i="5"/>
  <c r="G23" i="5" s="1"/>
  <c r="I23" i="5" s="1"/>
  <c r="E24" i="5"/>
  <c r="G24" i="5"/>
  <c r="I24" i="5" s="1"/>
  <c r="E25" i="5"/>
  <c r="G25" i="5" s="1"/>
  <c r="I25" i="5" s="1"/>
  <c r="E26" i="5"/>
  <c r="G26" i="5" s="1"/>
  <c r="I26" i="5" s="1"/>
  <c r="E17" i="5"/>
  <c r="G17" i="5" s="1"/>
  <c r="I17" i="5" s="1"/>
  <c r="E18" i="5"/>
  <c r="G18" i="5" s="1"/>
  <c r="I18" i="5" s="1"/>
  <c r="E19" i="5"/>
  <c r="G19" i="5" s="1"/>
  <c r="I19" i="5" s="1"/>
  <c r="E20" i="5"/>
  <c r="G20" i="5" s="1"/>
  <c r="I20" i="5" s="1"/>
  <c r="C36" i="5"/>
  <c r="C29" i="5"/>
  <c r="C25" i="5"/>
  <c r="C23" i="5"/>
  <c r="C22" i="5"/>
  <c r="C18" i="5"/>
  <c r="C17" i="5"/>
  <c r="C7" i="5"/>
  <c r="C5" i="5"/>
  <c r="C3" i="5"/>
  <c r="C12" i="5"/>
  <c r="C4" i="5"/>
  <c r="C28" i="5"/>
  <c r="C24" i="5"/>
  <c r="C19" i="5"/>
  <c r="E14" i="5"/>
  <c r="F14" i="5" s="1"/>
  <c r="E15" i="5"/>
  <c r="F15" i="5" s="1"/>
  <c r="C15" i="5"/>
  <c r="C14" i="5"/>
  <c r="E29" i="5"/>
  <c r="G29" i="5" s="1"/>
  <c r="E28" i="5"/>
  <c r="G28" i="5" s="1"/>
  <c r="I28" i="5" s="1"/>
  <c r="F19" i="5"/>
  <c r="E10" i="5"/>
  <c r="G10" i="5" s="1"/>
  <c r="I10" i="5" s="1"/>
  <c r="H16" i="5"/>
  <c r="E12" i="5"/>
  <c r="F12" i="5"/>
  <c r="E11" i="5"/>
  <c r="F11" i="5" s="1"/>
  <c r="F8" i="15"/>
  <c r="E8" i="15"/>
  <c r="E36" i="5"/>
  <c r="G36" i="5" s="1"/>
  <c r="I36" i="5" s="1"/>
  <c r="E37" i="5"/>
  <c r="G37" i="5" s="1"/>
  <c r="C39" i="16"/>
  <c r="E39" i="16"/>
  <c r="K27" i="15"/>
  <c r="E19" i="15"/>
  <c r="E18" i="15"/>
  <c r="E16" i="15"/>
  <c r="E15" i="15"/>
  <c r="E13" i="15"/>
  <c r="E11" i="15"/>
  <c r="E10" i="15"/>
  <c r="F18" i="15"/>
  <c r="F16" i="15"/>
  <c r="F15" i="15"/>
  <c r="F13" i="15"/>
  <c r="F11" i="15"/>
  <c r="F10" i="15"/>
  <c r="F7" i="15"/>
  <c r="E7" i="15"/>
  <c r="H30" i="5"/>
  <c r="H27" i="5"/>
  <c r="D45" i="8"/>
  <c r="E25" i="15"/>
  <c r="F25" i="15"/>
  <c r="E3" i="5"/>
  <c r="E4" i="5"/>
  <c r="F4" i="5" s="1"/>
  <c r="E5" i="5"/>
  <c r="F5" i="5" s="1"/>
  <c r="G5" i="5"/>
  <c r="I5" i="5" s="1"/>
  <c r="F22" i="5"/>
  <c r="F18" i="5"/>
  <c r="E7" i="5"/>
  <c r="G7" i="5" s="1"/>
  <c r="F8" i="5"/>
  <c r="O43" i="15"/>
  <c r="P55" i="15"/>
  <c r="O55" i="15"/>
  <c r="P49" i="15"/>
  <c r="O49" i="15"/>
  <c r="P43" i="15"/>
  <c r="F3" i="15"/>
  <c r="F4" i="15"/>
  <c r="C37" i="5"/>
  <c r="H38" i="5"/>
  <c r="C31" i="5"/>
  <c r="C26" i="5"/>
  <c r="C20" i="5"/>
  <c r="C10" i="5"/>
  <c r="H21" i="5"/>
  <c r="H32" i="5"/>
  <c r="H13" i="5"/>
  <c r="H9" i="5"/>
  <c r="H6" i="5"/>
  <c r="H33" i="5"/>
  <c r="F24" i="5"/>
  <c r="F36" i="5"/>
  <c r="G12" i="5"/>
  <c r="I12" i="5" s="1"/>
  <c r="G4" i="5"/>
  <c r="I4" i="5" s="1"/>
  <c r="F3" i="5"/>
  <c r="G3" i="5"/>
  <c r="D7" i="17"/>
  <c r="D22" i="17"/>
  <c r="C17" i="17"/>
  <c r="O13" i="15"/>
  <c r="L61" i="15"/>
  <c r="L62" i="15" s="1"/>
  <c r="C7" i="16"/>
  <c r="D7" i="16" s="1"/>
  <c r="D24" i="17"/>
  <c r="K6" i="15"/>
  <c r="K21" i="15" s="1"/>
  <c r="L6" i="15"/>
  <c r="F6" i="15" s="1"/>
  <c r="C9" i="16"/>
  <c r="D9" i="16" s="1"/>
  <c r="G10" i="15"/>
  <c r="H7" i="15"/>
  <c r="J74" i="15" s="1"/>
  <c r="J76" i="15" s="1"/>
  <c r="C14" i="16"/>
  <c r="D14" i="16" s="1"/>
  <c r="G15" i="15"/>
  <c r="I54" i="15" s="1"/>
  <c r="I56" i="15" s="1"/>
  <c r="C12" i="16"/>
  <c r="C8" i="16"/>
  <c r="D8" i="16" s="1"/>
  <c r="G8" i="15"/>
  <c r="M38" i="15" s="1"/>
  <c r="M39" i="15" s="1"/>
  <c r="C11" i="16"/>
  <c r="D11" i="16" s="1"/>
  <c r="G13" i="15"/>
  <c r="G49" i="15"/>
  <c r="G50" i="15" s="1"/>
  <c r="H50" i="15" s="1"/>
  <c r="C13" i="16"/>
  <c r="D13" i="16" s="1"/>
  <c r="G16" i="15"/>
  <c r="L55" i="15" s="1"/>
  <c r="L56" i="15" s="1"/>
  <c r="F11" i="16"/>
  <c r="G11" i="16" s="1"/>
  <c r="H8" i="15"/>
  <c r="M75" i="15" s="1"/>
  <c r="M76" i="15" s="1"/>
  <c r="F8" i="16"/>
  <c r="I60" i="15"/>
  <c r="I62" i="15" s="1"/>
  <c r="F13" i="16"/>
  <c r="G13" i="16" s="1"/>
  <c r="H13" i="16" s="1"/>
  <c r="H16" i="15"/>
  <c r="L92" i="15" s="1"/>
  <c r="L93" i="15" s="1"/>
  <c r="O8" i="15"/>
  <c r="I8" i="15" s="1"/>
  <c r="F12" i="16"/>
  <c r="G12" i="16" s="1"/>
  <c r="H12" i="16" s="1"/>
  <c r="F14" i="16"/>
  <c r="G14" i="16" s="1"/>
  <c r="H10" i="15"/>
  <c r="I80" i="15" s="1"/>
  <c r="I82" i="15" s="1"/>
  <c r="F9" i="16"/>
  <c r="G9" i="16" s="1"/>
  <c r="H9" i="16" s="1"/>
  <c r="M5" i="5"/>
  <c r="M3" i="5"/>
  <c r="M4" i="5"/>
  <c r="M6" i="5"/>
  <c r="M7" i="5"/>
  <c r="M8" i="5"/>
  <c r="M9" i="5"/>
  <c r="C22" i="16" l="1"/>
  <c r="I25" i="15"/>
  <c r="E14" i="16"/>
  <c r="D15" i="16"/>
  <c r="E15" i="16" s="1"/>
  <c r="H11" i="15"/>
  <c r="L81" i="15" s="1"/>
  <c r="L82" i="15" s="1"/>
  <c r="G11" i="15"/>
  <c r="L44" i="15" s="1"/>
  <c r="L45" i="15" s="1"/>
  <c r="C10" i="16"/>
  <c r="D10" i="16" s="1"/>
  <c r="I8" i="16"/>
  <c r="J8" i="16" s="1"/>
  <c r="M8" i="16" s="1"/>
  <c r="E9" i="16"/>
  <c r="E8" i="16"/>
  <c r="P8" i="15"/>
  <c r="Q8" i="15" s="1"/>
  <c r="O11" i="15"/>
  <c r="I11" i="15" s="1"/>
  <c r="M62" i="15"/>
  <c r="E6" i="15"/>
  <c r="E21" i="15" s="1"/>
  <c r="N25" i="15"/>
  <c r="P25" i="15" s="1"/>
  <c r="E7" i="16"/>
  <c r="K22" i="16"/>
  <c r="M6" i="15"/>
  <c r="N6" i="15"/>
  <c r="F6" i="16" s="1"/>
  <c r="G27" i="15"/>
  <c r="D12" i="16"/>
  <c r="E12" i="16" s="1"/>
  <c r="M27" i="15"/>
  <c r="B74" i="16" s="1"/>
  <c r="C12" i="18"/>
  <c r="C10" i="18"/>
  <c r="E13" i="16"/>
  <c r="L117" i="15"/>
  <c r="L118" i="15" s="1"/>
  <c r="J11" i="15"/>
  <c r="M82" i="15"/>
  <c r="P11" i="15"/>
  <c r="Q11" i="15" s="1"/>
  <c r="G10" i="16"/>
  <c r="I10" i="15"/>
  <c r="I116" i="15" s="1"/>
  <c r="I118" i="15" s="1"/>
  <c r="G8" i="16"/>
  <c r="H8" i="16" s="1"/>
  <c r="I97" i="15"/>
  <c r="I99" i="15" s="1"/>
  <c r="M99" i="15" s="1"/>
  <c r="H14" i="16"/>
  <c r="O18" i="15"/>
  <c r="P16" i="15"/>
  <c r="Q16" i="15" s="1"/>
  <c r="I13" i="16"/>
  <c r="J13" i="16" s="1"/>
  <c r="I16" i="15"/>
  <c r="M93" i="15"/>
  <c r="M56" i="15"/>
  <c r="O15" i="15"/>
  <c r="E11" i="16"/>
  <c r="P13" i="15"/>
  <c r="I13" i="15"/>
  <c r="G122" i="15" s="1"/>
  <c r="G123" i="15" s="1"/>
  <c r="H123" i="15" s="1"/>
  <c r="I11" i="16"/>
  <c r="J11" i="16" s="1"/>
  <c r="H11" i="16"/>
  <c r="H13" i="15"/>
  <c r="Q10" i="15"/>
  <c r="I43" i="15"/>
  <c r="I45" i="15" s="1"/>
  <c r="I9" i="16"/>
  <c r="J9" i="16" s="1"/>
  <c r="J8" i="15"/>
  <c r="M111" i="15"/>
  <c r="M112" i="15" s="1"/>
  <c r="F7" i="16"/>
  <c r="O7" i="15"/>
  <c r="P7" i="15" s="1"/>
  <c r="Q7" i="15" s="1"/>
  <c r="J37" i="15"/>
  <c r="J39" i="15" s="1"/>
  <c r="H6" i="15"/>
  <c r="F28" i="5"/>
  <c r="F26" i="5"/>
  <c r="F17" i="5"/>
  <c r="F10" i="5"/>
  <c r="G14" i="5"/>
  <c r="I14" i="5" s="1"/>
  <c r="F20" i="5"/>
  <c r="G31" i="5"/>
  <c r="G15" i="5"/>
  <c r="I15" i="5" s="1"/>
  <c r="G38" i="5"/>
  <c r="I37" i="5"/>
  <c r="F37" i="5"/>
  <c r="F25" i="5"/>
  <c r="I7" i="5"/>
  <c r="G9" i="5"/>
  <c r="I29" i="5"/>
  <c r="G6" i="5"/>
  <c r="I37" i="15" s="1"/>
  <c r="F29" i="5"/>
  <c r="F7" i="5"/>
  <c r="F23" i="5"/>
  <c r="G11" i="5"/>
  <c r="I22" i="5"/>
  <c r="G27" i="5"/>
  <c r="H140" i="15"/>
  <c r="M45" i="15" l="1"/>
  <c r="L8" i="16"/>
  <c r="N8" i="16" s="1"/>
  <c r="K8" i="16"/>
  <c r="I10" i="16"/>
  <c r="J10" i="16" s="1"/>
  <c r="M10" i="16" s="1"/>
  <c r="D22" i="16"/>
  <c r="C24" i="16"/>
  <c r="I29" i="16"/>
  <c r="F16" i="16"/>
  <c r="E10" i="16"/>
  <c r="L11" i="16"/>
  <c r="Q25" i="15"/>
  <c r="M21" i="15"/>
  <c r="G6" i="15"/>
  <c r="C6" i="16"/>
  <c r="G74" i="16"/>
  <c r="P12" i="15"/>
  <c r="O6" i="15"/>
  <c r="I6" i="16" s="1"/>
  <c r="N21" i="15"/>
  <c r="F22" i="16"/>
  <c r="N27" i="15"/>
  <c r="B75" i="16" s="1"/>
  <c r="G75" i="16" s="1"/>
  <c r="H25" i="15"/>
  <c r="H37" i="15"/>
  <c r="H10" i="16"/>
  <c r="M118" i="15"/>
  <c r="J10" i="15"/>
  <c r="J12" i="15" s="1"/>
  <c r="P18" i="15"/>
  <c r="Q18" i="15" s="1"/>
  <c r="I14" i="16"/>
  <c r="J14" i="16" s="1"/>
  <c r="M14" i="16" s="1"/>
  <c r="I18" i="15"/>
  <c r="M13" i="16"/>
  <c r="L13" i="16"/>
  <c r="L128" i="15"/>
  <c r="L129" i="15" s="1"/>
  <c r="J16" i="15"/>
  <c r="I15" i="15"/>
  <c r="P15" i="15"/>
  <c r="I12" i="16"/>
  <c r="J12" i="16" s="1"/>
  <c r="Q13" i="15"/>
  <c r="P14" i="15"/>
  <c r="G86" i="15"/>
  <c r="G87" i="15" s="1"/>
  <c r="H87" i="15" s="1"/>
  <c r="J13" i="15"/>
  <c r="J14" i="15" s="1"/>
  <c r="M11" i="16"/>
  <c r="N11" i="16" s="1"/>
  <c r="L9" i="16"/>
  <c r="M9" i="16"/>
  <c r="I7" i="16"/>
  <c r="J7" i="16" s="1"/>
  <c r="I7" i="15"/>
  <c r="G7" i="16"/>
  <c r="G6" i="16"/>
  <c r="H6" i="16" s="1"/>
  <c r="H21" i="15"/>
  <c r="G73" i="15"/>
  <c r="G76" i="15" s="1"/>
  <c r="N76" i="15" s="1"/>
  <c r="M10" i="5"/>
  <c r="G32" i="5"/>
  <c r="I31" i="5"/>
  <c r="G16" i="5"/>
  <c r="I38" i="5"/>
  <c r="H103" i="15"/>
  <c r="H66" i="15"/>
  <c r="G66" i="15" s="1"/>
  <c r="I110" i="15"/>
  <c r="I74" i="15"/>
  <c r="H74" i="15" s="1"/>
  <c r="I9" i="5"/>
  <c r="H116" i="15"/>
  <c r="G116" i="15" s="1"/>
  <c r="H43" i="15"/>
  <c r="G43" i="15" s="1"/>
  <c r="H80" i="15"/>
  <c r="G80" i="15" s="1"/>
  <c r="I11" i="5"/>
  <c r="G13" i="5"/>
  <c r="H54" i="15"/>
  <c r="I21" i="5"/>
  <c r="H91" i="15"/>
  <c r="G91" i="15" s="1"/>
  <c r="H127" i="15"/>
  <c r="I27" i="5"/>
  <c r="K128" i="15"/>
  <c r="K92" i="15"/>
  <c r="J92" i="15" s="1"/>
  <c r="K55" i="15"/>
  <c r="K10" i="16" l="1"/>
  <c r="L10" i="16"/>
  <c r="N10" i="16" s="1"/>
  <c r="E22" i="16"/>
  <c r="E24" i="16" s="1"/>
  <c r="D24" i="16"/>
  <c r="J6" i="16"/>
  <c r="H27" i="15"/>
  <c r="I103" i="15"/>
  <c r="I105" i="15" s="1"/>
  <c r="J25" i="15"/>
  <c r="G36" i="15"/>
  <c r="G39" i="15" s="1"/>
  <c r="N39" i="15" s="1"/>
  <c r="G21" i="15"/>
  <c r="C16" i="16"/>
  <c r="D6" i="16"/>
  <c r="D16" i="16" s="1"/>
  <c r="P6" i="15"/>
  <c r="I6" i="15"/>
  <c r="J6" i="15" s="1"/>
  <c r="G22" i="16"/>
  <c r="J29" i="16"/>
  <c r="F24" i="16"/>
  <c r="L22" i="16"/>
  <c r="M7" i="16"/>
  <c r="Q27" i="15"/>
  <c r="L26" i="15"/>
  <c r="J128" i="15"/>
  <c r="K9" i="16"/>
  <c r="I133" i="15"/>
  <c r="I135" i="15" s="1"/>
  <c r="J18" i="15"/>
  <c r="L14" i="16"/>
  <c r="K14" i="16"/>
  <c r="N13" i="16"/>
  <c r="K13" i="16"/>
  <c r="M12" i="16"/>
  <c r="K12" i="16"/>
  <c r="L12" i="16"/>
  <c r="Q15" i="15"/>
  <c r="P17" i="15"/>
  <c r="I127" i="15"/>
  <c r="I129" i="15" s="1"/>
  <c r="M129" i="15" s="1"/>
  <c r="J15" i="15"/>
  <c r="J17" i="15" s="1"/>
  <c r="K11" i="16"/>
  <c r="N9" i="16"/>
  <c r="H7" i="16"/>
  <c r="H16" i="16" s="1"/>
  <c r="J110" i="15"/>
  <c r="J112" i="15" s="1"/>
  <c r="J7" i="15"/>
  <c r="J9" i="15" s="1"/>
  <c r="L7" i="16"/>
  <c r="G109" i="15"/>
  <c r="G112" i="15" s="1"/>
  <c r="G16" i="16"/>
  <c r="J28" i="16"/>
  <c r="C30" i="16"/>
  <c r="B64" i="16"/>
  <c r="L6" i="16"/>
  <c r="H133" i="15"/>
  <c r="H60" i="15"/>
  <c r="G60" i="15" s="1"/>
  <c r="H97" i="15"/>
  <c r="G97" i="15" s="1"/>
  <c r="I32" i="5"/>
  <c r="L75" i="15"/>
  <c r="K75" i="15" s="1"/>
  <c r="L38" i="15"/>
  <c r="K38" i="15" s="1"/>
  <c r="I16" i="5"/>
  <c r="L111" i="15"/>
  <c r="K111" i="15" s="1"/>
  <c r="K81" i="15"/>
  <c r="J81" i="15" s="1"/>
  <c r="K44" i="15"/>
  <c r="J44" i="15" s="1"/>
  <c r="I13" i="5"/>
  <c r="K117" i="15"/>
  <c r="J117" i="15" s="1"/>
  <c r="U16" i="15"/>
  <c r="J55" i="15"/>
  <c r="U15" i="15"/>
  <c r="G54" i="15"/>
  <c r="G103" i="15" l="1"/>
  <c r="M6" i="16"/>
  <c r="E6" i="16"/>
  <c r="E16" i="16" s="1"/>
  <c r="G133" i="15"/>
  <c r="I28" i="16"/>
  <c r="C29" i="16"/>
  <c r="B63" i="16"/>
  <c r="G63" i="16" s="1"/>
  <c r="F26" i="15"/>
  <c r="F27" i="15" s="1"/>
  <c r="O26" i="15"/>
  <c r="L27" i="15"/>
  <c r="G24" i="16"/>
  <c r="M22" i="16"/>
  <c r="C77" i="16"/>
  <c r="G77" i="16" s="1"/>
  <c r="C76" i="16"/>
  <c r="P9" i="15"/>
  <c r="Q6" i="15"/>
  <c r="Q21" i="15" s="1"/>
  <c r="L5" i="8"/>
  <c r="D8" i="8" s="1"/>
  <c r="H74" i="16"/>
  <c r="H22" i="16"/>
  <c r="N12" i="16"/>
  <c r="N112" i="15"/>
  <c r="K6" i="16"/>
  <c r="N14" i="16"/>
  <c r="L19" i="15"/>
  <c r="G127" i="15"/>
  <c r="K7" i="16"/>
  <c r="N7" i="16"/>
  <c r="H110" i="15"/>
  <c r="L23" i="8"/>
  <c r="D26" i="8" s="1"/>
  <c r="N6" i="16"/>
  <c r="G64" i="16"/>
  <c r="D30" i="16"/>
  <c r="E30" i="16" s="1"/>
  <c r="B46" i="16"/>
  <c r="J30" i="16"/>
  <c r="C78" i="16" l="1"/>
  <c r="I23" i="16"/>
  <c r="O27" i="15"/>
  <c r="B76" i="16" s="1"/>
  <c r="I26" i="15"/>
  <c r="P26" i="15"/>
  <c r="P27" i="15" s="1"/>
  <c r="H24" i="16"/>
  <c r="N22" i="16"/>
  <c r="B45" i="16"/>
  <c r="G45" i="16" s="1"/>
  <c r="D29" i="16"/>
  <c r="K76" i="16"/>
  <c r="J76" i="16"/>
  <c r="I30" i="16"/>
  <c r="O19" i="15"/>
  <c r="O21" i="15" s="1"/>
  <c r="L21" i="15"/>
  <c r="F19" i="15"/>
  <c r="F21" i="15" s="1"/>
  <c r="C66" i="16"/>
  <c r="G66" i="16" s="1"/>
  <c r="C65" i="16"/>
  <c r="C47" i="16"/>
  <c r="C48" i="16"/>
  <c r="G48" i="16" s="1"/>
  <c r="J31" i="16"/>
  <c r="J32" i="16" s="1"/>
  <c r="G46" i="16"/>
  <c r="I31" i="16" l="1"/>
  <c r="I32" i="16"/>
  <c r="I76" i="16"/>
  <c r="L76" i="16"/>
  <c r="K23" i="16"/>
  <c r="K24" i="16" s="1"/>
  <c r="J26" i="15"/>
  <c r="J27" i="15" s="1"/>
  <c r="I27" i="15"/>
  <c r="C42" i="8"/>
  <c r="H31" i="15"/>
  <c r="G76" i="16"/>
  <c r="B78" i="16"/>
  <c r="G78" i="16" s="1"/>
  <c r="J23" i="16"/>
  <c r="J24" i="16" s="1"/>
  <c r="I24" i="16"/>
  <c r="K29" i="16" s="1"/>
  <c r="L29" i="16" s="1"/>
  <c r="L23" i="16"/>
  <c r="E29" i="16"/>
  <c r="C49" i="16"/>
  <c r="C67" i="16"/>
  <c r="I19" i="15"/>
  <c r="I15" i="16"/>
  <c r="P19" i="15"/>
  <c r="P20" i="15" s="1"/>
  <c r="P21" i="15" s="1"/>
  <c r="H30" i="15" s="1"/>
  <c r="M23" i="16" l="1"/>
  <c r="M24" i="16" s="1"/>
  <c r="L24" i="16"/>
  <c r="J15" i="16"/>
  <c r="I16" i="16"/>
  <c r="G31" i="15"/>
  <c r="I31" i="15" s="1"/>
  <c r="P39" i="16"/>
  <c r="G140" i="15"/>
  <c r="D42" i="8"/>
  <c r="E42" i="8" s="1"/>
  <c r="L15" i="16"/>
  <c r="I21" i="15"/>
  <c r="L134" i="15"/>
  <c r="L135" i="15" s="1"/>
  <c r="M135" i="15" s="1"/>
  <c r="J19" i="15"/>
  <c r="J20" i="15" s="1"/>
  <c r="J21" i="15" s="1"/>
  <c r="N23" i="16" l="1"/>
  <c r="N24" i="16" s="1"/>
  <c r="F42" i="8"/>
  <c r="D51" i="8" s="1"/>
  <c r="D52" i="8"/>
  <c r="P40" i="16"/>
  <c r="R39" i="16"/>
  <c r="R40" i="16" s="1"/>
  <c r="R41" i="16" s="1"/>
  <c r="T39" i="16"/>
  <c r="T40" i="16" s="1"/>
  <c r="T41" i="16" s="1"/>
  <c r="M15" i="16"/>
  <c r="M16" i="16" s="1"/>
  <c r="J16" i="16"/>
  <c r="K15" i="16"/>
  <c r="K16" i="16" s="1"/>
  <c r="G30" i="16"/>
  <c r="G30" i="17"/>
  <c r="G30" i="15"/>
  <c r="G30" i="20"/>
  <c r="G30" i="8"/>
  <c r="G30" i="18"/>
  <c r="L16" i="16"/>
  <c r="C31" i="16"/>
  <c r="K28" i="16"/>
  <c r="L28" i="16" s="1"/>
  <c r="B65" i="16"/>
  <c r="G42" i="8" l="1"/>
  <c r="D53" i="8" s="1"/>
  <c r="H42" i="8"/>
  <c r="D48" i="8" s="1"/>
  <c r="D55" i="8" s="1"/>
  <c r="N15" i="16"/>
  <c r="G65" i="16"/>
  <c r="B67" i="16"/>
  <c r="G67" i="16" s="1"/>
  <c r="I30" i="15"/>
  <c r="I32" i="15" s="1"/>
  <c r="G32" i="15"/>
  <c r="H32" i="15" s="1"/>
  <c r="L30" i="16"/>
  <c r="L31" i="16" s="1"/>
  <c r="K30" i="16"/>
  <c r="K31" i="16" s="1"/>
  <c r="K32" i="16" s="1"/>
  <c r="C32" i="16"/>
  <c r="C5" i="8" s="1"/>
  <c r="D31" i="16"/>
  <c r="D32" i="16" s="1"/>
  <c r="B47" i="16"/>
  <c r="I30" i="5"/>
  <c r="K61" i="15"/>
  <c r="K134" i="15"/>
  <c r="J134" i="15" s="1"/>
  <c r="C23" i="8"/>
  <c r="H63" i="16"/>
  <c r="I42" i="8" l="1"/>
  <c r="J42" i="8"/>
  <c r="D47" i="8" s="1"/>
  <c r="N16" i="16"/>
  <c r="I38" i="16" s="1"/>
  <c r="A53" i="16"/>
  <c r="L32" i="16"/>
  <c r="D5" i="8"/>
  <c r="E5" i="8" s="1"/>
  <c r="F5" i="8" s="1"/>
  <c r="K65" i="16"/>
  <c r="J65" i="16"/>
  <c r="E31" i="16"/>
  <c r="E32" i="16" s="1"/>
  <c r="B38" i="16" s="1"/>
  <c r="D38" i="16" s="1"/>
  <c r="D23" i="8"/>
  <c r="G47" i="16"/>
  <c r="B49" i="16"/>
  <c r="G49" i="16" s="1"/>
  <c r="K38" i="16" l="1"/>
  <c r="K39" i="16" s="1"/>
  <c r="K40" i="16" s="1"/>
  <c r="M38" i="16"/>
  <c r="M39" i="16" s="1"/>
  <c r="M40" i="16" s="1"/>
  <c r="I39" i="16"/>
  <c r="K42" i="8"/>
  <c r="D46" i="8" s="1"/>
  <c r="H5" i="8"/>
  <c r="D14" i="8"/>
  <c r="D33" i="8"/>
  <c r="L65" i="16"/>
  <c r="I65" i="16"/>
  <c r="D39" i="16"/>
  <c r="D40" i="16" s="1"/>
  <c r="D65" i="16" s="1"/>
  <c r="F65" i="16" s="1"/>
  <c r="F38" i="16"/>
  <c r="F39" i="16" s="1"/>
  <c r="F40" i="16" s="1"/>
  <c r="E65" i="16" s="1"/>
  <c r="B39" i="16"/>
  <c r="D15" i="8"/>
  <c r="G5" i="8"/>
  <c r="D16" i="8" s="1"/>
  <c r="E23" i="8"/>
  <c r="F23" i="8" s="1"/>
  <c r="G23" i="8" s="1"/>
  <c r="D34" i="8" s="1"/>
  <c r="C55" i="16"/>
  <c r="D55" i="16"/>
  <c r="D76" i="16" l="1"/>
  <c r="F76" i="16" s="1"/>
  <c r="D66" i="16"/>
  <c r="F66" i="16" s="1"/>
  <c r="D48" i="16"/>
  <c r="F48" i="16" s="1"/>
  <c r="E64" i="16"/>
  <c r="E75" i="16"/>
  <c r="E45" i="16"/>
  <c r="D74" i="16"/>
  <c r="E47" i="16"/>
  <c r="E63" i="16"/>
  <c r="E48" i="16"/>
  <c r="E74" i="16"/>
  <c r="D46" i="16"/>
  <c r="F46" i="16" s="1"/>
  <c r="E66" i="16"/>
  <c r="D45" i="16"/>
  <c r="H23" i="8"/>
  <c r="D32" i="8"/>
  <c r="D75" i="16"/>
  <c r="F75" i="16" s="1"/>
  <c r="E77" i="16"/>
  <c r="E46" i="16"/>
  <c r="D64" i="16"/>
  <c r="F64" i="16" s="1"/>
  <c r="E55" i="16"/>
  <c r="B55" i="16"/>
  <c r="D47" i="16"/>
  <c r="F47" i="16" s="1"/>
  <c r="D77" i="16"/>
  <c r="F77" i="16" s="1"/>
  <c r="D63" i="16"/>
  <c r="E76" i="16"/>
  <c r="I5" i="8"/>
  <c r="D11" i="8"/>
  <c r="D18" i="8" s="1"/>
  <c r="D29" i="8" l="1"/>
  <c r="D36" i="8" s="1"/>
  <c r="I23" i="8"/>
  <c r="E49" i="16"/>
  <c r="D49" i="16"/>
  <c r="F45" i="16"/>
  <c r="F49" i="16" s="1"/>
  <c r="J5" i="8"/>
  <c r="D10" i="8" s="1"/>
  <c r="E78" i="16"/>
  <c r="D78" i="16"/>
  <c r="F74" i="16"/>
  <c r="F78" i="16" s="1"/>
  <c r="D67" i="16"/>
  <c r="F63" i="16"/>
  <c r="E67" i="16"/>
  <c r="K5" i="8" l="1"/>
  <c r="D9" i="8" s="1"/>
  <c r="J23" i="8"/>
  <c r="D28" i="8" s="1"/>
  <c r="K23" i="8" l="1"/>
  <c r="D27" i="8" s="1"/>
</calcChain>
</file>

<file path=xl/comments1.xml><?xml version="1.0" encoding="utf-8"?>
<comments xmlns="http://schemas.openxmlformats.org/spreadsheetml/2006/main">
  <authors>
    <author>Ajuntament de Barcelona</author>
  </authors>
  <commentList>
    <comment ref="H7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resta0,01
</t>
        </r>
      </text>
    </comment>
    <comment ref="J7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suma0,01
</t>
        </r>
      </text>
    </comment>
    <comment ref="O10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resta 0,001
</t>
        </r>
      </text>
    </comment>
    <comment ref="N16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suma 0,001</t>
        </r>
      </text>
    </comment>
    <comment ref="N21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suma 0,001</t>
        </r>
      </text>
    </comment>
    <comment ref="O21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suma 0,01</t>
        </r>
      </text>
    </comment>
  </commentList>
</comments>
</file>

<file path=xl/comments2.xml><?xml version="1.0" encoding="utf-8"?>
<comments xmlns="http://schemas.openxmlformats.org/spreadsheetml/2006/main">
  <authors>
    <author>Ajuntament de Barcelona</author>
  </authors>
  <commentList>
    <comment ref="D7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resto 0,01
</t>
        </r>
      </text>
    </comment>
    <comment ref="M7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resto 0,01</t>
        </r>
      </text>
    </comment>
    <comment ref="D11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resto 0,01</t>
        </r>
      </text>
    </comment>
    <comment ref="J11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suma 0,01</t>
        </r>
      </text>
    </comment>
    <comment ref="D13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sumo 0,01</t>
        </r>
      </text>
    </comment>
    <comment ref="D14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sumo 0,01
</t>
        </r>
      </text>
    </comment>
    <comment ref="J14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resto 0,01</t>
        </r>
      </text>
    </comment>
    <comment ref="M14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resto 0,01
</t>
        </r>
      </text>
    </comment>
    <comment ref="F16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sumo 0,001
</t>
        </r>
      </text>
    </comment>
    <comment ref="H16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sumo 0,001</t>
        </r>
      </text>
    </comment>
    <comment ref="K16" authorId="0">
      <text>
        <r>
          <rPr>
            <b/>
            <sz val="9"/>
            <color indexed="81"/>
            <rFont val="Tahoma"/>
            <charset val="1"/>
          </rPr>
          <t>Ajuntament de Barcelona:</t>
        </r>
        <r>
          <rPr>
            <sz val="9"/>
            <color indexed="81"/>
            <rFont val="Tahoma"/>
            <charset val="1"/>
          </rPr>
          <t xml:space="preserve">
resto 0,01</t>
        </r>
      </text>
    </comment>
    <comment ref="M16" authorId="0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sumo 0,02 per quadrar el restat</t>
        </r>
      </text>
    </comment>
    <comment ref="N16" authorId="0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sumo 0,02</t>
        </r>
      </text>
    </comment>
  </commentList>
</comments>
</file>

<file path=xl/comments3.xml><?xml version="1.0" encoding="utf-8"?>
<comments xmlns="http://schemas.openxmlformats.org/spreadsheetml/2006/main">
  <authors>
    <author>Ajuntament de Barcelona</author>
  </authors>
  <commentList>
    <comment ref="B3" authorId="0">
      <text>
        <r>
          <rPr>
            <sz val="9"/>
            <color indexed="81"/>
            <rFont val="Tahoma"/>
            <family val="2"/>
          </rPr>
          <t xml:space="preserve">https://azure.microsoft.com/en-us/pricing/details/expressroute/
</t>
        </r>
      </text>
    </comment>
    <comment ref="C4" authorId="0">
      <text>
        <r>
          <rPr>
            <sz val="9"/>
            <color indexed="81"/>
            <rFont val="Tahoma"/>
            <family val="2"/>
          </rPr>
          <t xml:space="preserve">0,191/hora*24*365
</t>
        </r>
      </text>
    </comment>
  </commentList>
</comments>
</file>

<file path=xl/sharedStrings.xml><?xml version="1.0" encoding="utf-8"?>
<sst xmlns="http://schemas.openxmlformats.org/spreadsheetml/2006/main" count="781" uniqueCount="261">
  <si>
    <t>Servei plec</t>
  </si>
  <si>
    <t>Perfil</t>
  </si>
  <si>
    <t>% dedicació</t>
  </si>
  <si>
    <t>Preu perfil IVA inclòs</t>
  </si>
  <si>
    <t>Preu perfil IVA exclòs</t>
  </si>
  <si>
    <t>Preu perfil tipus</t>
  </si>
  <si>
    <t>Total</t>
  </si>
  <si>
    <t>Data inici servei</t>
  </si>
  <si>
    <t>Data inici transició</t>
  </si>
  <si>
    <t>Criticitat</t>
  </si>
  <si>
    <t>Nom Aplicació</t>
  </si>
  <si>
    <t>Codi Aplicació</t>
  </si>
  <si>
    <t>Nom Servei</t>
  </si>
  <si>
    <t>Servei</t>
  </si>
  <si>
    <t>Import total licitació</t>
  </si>
  <si>
    <t>Import Total IVA inclòs</t>
  </si>
  <si>
    <t>Data fi del contracte</t>
  </si>
  <si>
    <t>Data inici contracte</t>
  </si>
  <si>
    <t>1,5 x VEC</t>
  </si>
  <si>
    <t>2/3 VEC / anys de contracte</t>
  </si>
  <si>
    <t>1,5 x VEC / anys de contracte</t>
  </si>
  <si>
    <t>MÀXIM</t>
  </si>
  <si>
    <t>MÍNIM</t>
  </si>
  <si>
    <t>ACONSELLABLE</t>
  </si>
  <si>
    <t>Anys de contracte</t>
  </si>
  <si>
    <t>Solvència tècnica</t>
  </si>
  <si>
    <t>Solvència económica</t>
  </si>
  <si>
    <t>VEC</t>
  </si>
  <si>
    <t>SUMA</t>
  </si>
  <si>
    <t>VE modificacions contracte amb disminució de cost previstes</t>
  </si>
  <si>
    <t>VE modificacions contracte amb increment de cost previstes</t>
  </si>
  <si>
    <t>VE eventuals pròrrogues</t>
  </si>
  <si>
    <t>VE prestació</t>
  </si>
  <si>
    <t>IVA EXCLÒS</t>
  </si>
  <si>
    <t> TOTAL</t>
  </si>
  <si>
    <t xml:space="preserve">Modificacions per augment o disminució de volumetries en Serveis/Aplicacions </t>
  </si>
  <si>
    <t>Import màxim disminució (amb IVA)</t>
  </si>
  <si>
    <t>% Disminució sobre import del contracte</t>
  </si>
  <si>
    <t>Import màxim ampliació (amb IVA)</t>
  </si>
  <si>
    <t>% Ampliació sobre import del contracte</t>
  </si>
  <si>
    <t>Import contracte (IVA inclòs)</t>
  </si>
  <si>
    <t>Causes previstes de modificació</t>
  </si>
  <si>
    <t>Modificacions de contracte: ampliació / disminució</t>
  </si>
  <si>
    <t>Import total</t>
  </si>
  <si>
    <t>IVA</t>
  </si>
  <si>
    <t>Pressupost net</t>
  </si>
  <si>
    <t>Any</t>
  </si>
  <si>
    <t>TOTAL</t>
  </si>
  <si>
    <t>Distribució de pressupost per any</t>
  </si>
  <si>
    <t>Total import contracte</t>
  </si>
  <si>
    <t>Total IVA 21%</t>
  </si>
  <si>
    <t>Total import net</t>
  </si>
  <si>
    <t>Serveis</t>
  </si>
  <si>
    <t>Distribució de pressupost per any i per servei</t>
  </si>
  <si>
    <t>TOTAL DE COSTOS (directes + indirectes):</t>
  </si>
  <si>
    <t>TOTAL (Suma costos indirectes)</t>
  </si>
  <si>
    <t>Costos indirectes:</t>
  </si>
  <si>
    <t>TOTAL (Suma costos directes)</t>
  </si>
  <si>
    <t>Costos salarials - Salari Brut</t>
  </si>
  <si>
    <t>Costos directes:</t>
  </si>
  <si>
    <t>Salari 
Brut</t>
  </si>
  <si>
    <t>Seguretat 
Social (34%)</t>
  </si>
  <si>
    <t>Cost 
personal</t>
  </si>
  <si>
    <t>Suma costos 
Indirectes</t>
  </si>
  <si>
    <t>Cost Total</t>
  </si>
  <si>
    <t>Benefici 
Industrial (20%)</t>
  </si>
  <si>
    <t>Preu
 IVA exclòs</t>
  </si>
  <si>
    <t>CÀLCUL COSTOS DIRECTES I INDIRECTES PEL PROJECTE</t>
  </si>
  <si>
    <t>Infraestructura</t>
  </si>
  <si>
    <t>Preu/hora
IVA INCLÒS</t>
  </si>
  <si>
    <t>Costos 
directes</t>
  </si>
  <si>
    <t>Preu / hora /perfil (IVA inclòs)</t>
  </si>
  <si>
    <t>Capítol</t>
  </si>
  <si>
    <t>Servei LOT 1</t>
  </si>
  <si>
    <t>Digitalització de serveis públics</t>
  </si>
  <si>
    <t>Gestió projecte</t>
  </si>
  <si>
    <t>Aprovisionament Infraestructura cloud</t>
  </si>
  <si>
    <t>Llicències</t>
  </si>
  <si>
    <t>Desenvolupament de programari</t>
  </si>
  <si>
    <t>Desenvolupament programari</t>
  </si>
  <si>
    <t>LOT 1</t>
  </si>
  <si>
    <t>PMO</t>
  </si>
  <si>
    <t>Servei LOT 2</t>
  </si>
  <si>
    <t>Inici</t>
  </si>
  <si>
    <t>Fi</t>
  </si>
  <si>
    <t>OMNICANALITAT 2023</t>
  </si>
  <si>
    <t>Administració i operació Cloud</t>
  </si>
  <si>
    <t>Manteniment Plataforma</t>
  </si>
  <si>
    <t xml:space="preserve">Instal·lació i configuració </t>
  </si>
  <si>
    <t>IVA INCLÒS</t>
  </si>
  <si>
    <t xml:space="preserve">Administració I  operació </t>
  </si>
  <si>
    <t>Instal·lació i configuració</t>
  </si>
  <si>
    <t>LOT 2</t>
  </si>
  <si>
    <t xml:space="preserve">IMPORT
Instal·lació i configuració </t>
  </si>
  <si>
    <t xml:space="preserve">HORES
Instal·lació i configuració </t>
  </si>
  <si>
    <t>HORES
Administració i operació Cloud</t>
  </si>
  <si>
    <t>IMPORT
Administració i operació Cloud</t>
  </si>
  <si>
    <t>HORES
Manteniment Plataforma</t>
  </si>
  <si>
    <t>IMPORT
Manteniment Plataforma</t>
  </si>
  <si>
    <t>IMPORT
Llicències</t>
  </si>
  <si>
    <t>HORES
Desenvolupament programari</t>
  </si>
  <si>
    <t>IMPORT
Desenvolupament programari</t>
  </si>
  <si>
    <t>HORES
Digitalització de serveis públics</t>
  </si>
  <si>
    <t>IMPORT
Digitalització de serveis públics</t>
  </si>
  <si>
    <t>HORES
Gestió projecte</t>
  </si>
  <si>
    <t>IMPORT
Gestió projecte</t>
  </si>
  <si>
    <t>TOTAL PROJECTE</t>
  </si>
  <si>
    <t>Import Total 
IVA inclòs</t>
  </si>
  <si>
    <t>Import Total 
IVA exclòs</t>
  </si>
  <si>
    <t>Import 1r any
IVA inc</t>
  </si>
  <si>
    <t>Import 2n any
IVA inc</t>
  </si>
  <si>
    <t>import 1r any
IVA exc</t>
  </si>
  <si>
    <t>import 2n any
IVA exc</t>
  </si>
  <si>
    <t>Mensual</t>
  </si>
  <si>
    <t>Import 1r any
IVA exc</t>
  </si>
  <si>
    <t>Import 2n any
IVA exc</t>
  </si>
  <si>
    <t>Lot</t>
  </si>
  <si>
    <t>Pressupost 2023</t>
  </si>
  <si>
    <t>Pressupost 2024</t>
  </si>
  <si>
    <t>Import màxim total</t>
  </si>
  <si>
    <t>Lot 1</t>
  </si>
  <si>
    <t>Lot 2</t>
  </si>
  <si>
    <t>Sub_TOTAL</t>
  </si>
  <si>
    <t>Benefici industrial (20%)</t>
  </si>
  <si>
    <t>Cost 
Indirecte (6,4%)</t>
  </si>
  <si>
    <t>Despeses generals d’estructura (6,4%)***</t>
  </si>
  <si>
    <t>Costos salarials - Seguretat Social (34%)*</t>
  </si>
  <si>
    <t>Infraestructura**</t>
  </si>
  <si>
    <t>TOTAL 
(IVA inc)</t>
  </si>
  <si>
    <t>Transició</t>
  </si>
  <si>
    <t xml:space="preserve">    Transició</t>
  </si>
  <si>
    <t>HORES
Transició</t>
  </si>
  <si>
    <t>IMPORT
Transició</t>
  </si>
  <si>
    <t>import 2023
IVA exc</t>
  </si>
  <si>
    <t>import 2024
IVA exc</t>
  </si>
  <si>
    <t>import 2025
IVA exc</t>
  </si>
  <si>
    <t>import 2023
IVA inc</t>
  </si>
  <si>
    <t>import 2024
IVA inc</t>
  </si>
  <si>
    <t>import 2025
IVA inc</t>
  </si>
  <si>
    <t xml:space="preserve">  2023          IVA INCLÒS</t>
  </si>
  <si>
    <t>Import net
2023</t>
  </si>
  <si>
    <t>IVA 21%
2023</t>
  </si>
  <si>
    <t>Import total
2023</t>
  </si>
  <si>
    <t>Import net
2024</t>
  </si>
  <si>
    <t>IVA 21%
2024</t>
  </si>
  <si>
    <t>Import total
2024</t>
  </si>
  <si>
    <t>Import total
2025</t>
  </si>
  <si>
    <t>Import net
2025</t>
  </si>
  <si>
    <t>IVA 21%
2025</t>
  </si>
  <si>
    <t>Pressupost 2025</t>
  </si>
  <si>
    <t>VEC LOT1 - LOT 2</t>
  </si>
  <si>
    <t>1 mes transició</t>
  </si>
  <si>
    <t>Fi possible pròrroga</t>
  </si>
  <si>
    <t>IMPORTS SENSE IVA</t>
  </si>
  <si>
    <t>Aprovisionament Infraestructura cloud + comunicacions</t>
  </si>
  <si>
    <t>Aprovisionament Infraestructura cloud+ comunicacions</t>
  </si>
  <si>
    <t>Serveis professionals de suport</t>
  </si>
  <si>
    <t xml:space="preserve">      Serveis professionals de suport</t>
  </si>
  <si>
    <t>IMPORT
Serveis prof suport</t>
  </si>
  <si>
    <t>HORES
Serveis prof suport</t>
  </si>
  <si>
    <t>VEC LOT1</t>
  </si>
  <si>
    <t>VEC LOT 2</t>
  </si>
  <si>
    <t>Marges possibles solvènvia LOT 1 - LOT 2</t>
  </si>
  <si>
    <t>Elements comunicacions</t>
  </si>
  <si>
    <t>cost encriptació</t>
  </si>
  <si>
    <t>Infraestructura + Manteniment/operació</t>
  </si>
  <si>
    <t>Backup línia comunicacions</t>
  </si>
  <si>
    <t>cost linia comunicacions</t>
  </si>
  <si>
    <t>TOTAL ANUAL</t>
  </si>
  <si>
    <t>TOTAL 2 ANYS PROJECTE</t>
  </si>
  <si>
    <t>cost mensual 1 GB
iva exc</t>
  </si>
  <si>
    <t>cost anual 1 GB
iva exc</t>
  </si>
  <si>
    <t>cost anual 
iva exc</t>
  </si>
  <si>
    <t>cost mensual 
iva exc</t>
  </si>
  <si>
    <t>cost gateway</t>
  </si>
  <si>
    <t>Preu / hora /perfil (IVA exc)</t>
  </si>
  <si>
    <t>Total general</t>
  </si>
  <si>
    <t>Suma de % dedicació</t>
  </si>
  <si>
    <t>Arquitecte/a</t>
  </si>
  <si>
    <t>Cap de projecte - Responsable dels serveis</t>
  </si>
  <si>
    <t>Subservei LOT 1</t>
  </si>
  <si>
    <t xml:space="preserve">Servei administració, operació i manteniment </t>
  </si>
  <si>
    <t xml:space="preserve">Servei Desenvolupament </t>
  </si>
  <si>
    <t xml:space="preserve">Servei Gestió projecte i transició </t>
  </si>
  <si>
    <t xml:space="preserve">Servei d’Aprovisionament i configuració  </t>
  </si>
  <si>
    <t>SUBSERVEI 1</t>
  </si>
  <si>
    <t>SUBSERVEI 2</t>
  </si>
  <si>
    <t>SUBSERVEI 3</t>
  </si>
  <si>
    <t>SUBSERVEI 4</t>
  </si>
  <si>
    <t>SUBSERVEI 5</t>
  </si>
  <si>
    <t>Sub Servei</t>
  </si>
  <si>
    <t>Servei Desenvolupament</t>
  </si>
  <si>
    <t>Servei de llicències</t>
  </si>
  <si>
    <t>Servei de desenvolupament</t>
  </si>
  <si>
    <t>Servei Gestió projecte i transició</t>
  </si>
  <si>
    <t>Columna1</t>
  </si>
  <si>
    <t>Columna2</t>
  </si>
  <si>
    <t>2023          IVA INCLÒS</t>
  </si>
  <si>
    <t xml:space="preserve">  2024          IVA INCLÒS</t>
  </si>
  <si>
    <t>2024          IVA INCLÒS</t>
  </si>
  <si>
    <t>2024 IVA INCLÒS</t>
  </si>
  <si>
    <t xml:space="preserve">  2025          IVA INCLÒS</t>
  </si>
  <si>
    <t>2025          IVA INCLÒS</t>
  </si>
  <si>
    <t>2025 IVA INCLÒS</t>
  </si>
  <si>
    <t>2024         IVA INCLÒS</t>
  </si>
  <si>
    <t>Preu/hora 
IVA exclòs</t>
  </si>
  <si>
    <t>Preu/hora
IVA inclòs</t>
  </si>
  <si>
    <t>Perfils LOT 1</t>
  </si>
  <si>
    <t>Perfils LOT2</t>
  </si>
  <si>
    <t>Aprovisionament Infraestructura cloud i comunicacions</t>
  </si>
  <si>
    <t>FTEs</t>
  </si>
  <si>
    <t>VI</t>
  </si>
  <si>
    <t>Cost any
IVA Exclòs</t>
  </si>
  <si>
    <t>Import total lot1</t>
  </si>
  <si>
    <t>Import total lot2</t>
  </si>
  <si>
    <t>x resta</t>
  </si>
  <si>
    <t>x suma</t>
  </si>
  <si>
    <t>2 integracions altas + 4 int media + 8 int basicas</t>
  </si>
  <si>
    <t>2 cas us alt+3 cas mig +4 cas simple</t>
  </si>
  <si>
    <t>Modificacions de contracte LOT1: ampliació / disminució</t>
  </si>
  <si>
    <t>Modificacions de contracte LOT2: ampliació / disminució</t>
  </si>
  <si>
    <t>Marges possibles solvènvia  LOT 2</t>
  </si>
  <si>
    <t>Marges possibles solvènvia LOT 1</t>
  </si>
  <si>
    <t xml:space="preserve">Máquina virtual de proposito general: 4 vCPUs, 16 GB RAM </t>
  </si>
  <si>
    <t>Espai ciutadà</t>
  </si>
  <si>
    <t>Infraestructura/Manteniment/operació de les comunicacions</t>
  </si>
  <si>
    <t>Instal·lació i configuració components</t>
  </si>
  <si>
    <t>Any 1</t>
  </si>
  <si>
    <t>Any 2</t>
  </si>
  <si>
    <t>Any 3</t>
  </si>
  <si>
    <t>Perfils</t>
  </si>
  <si>
    <t xml:space="preserve">        100.000 </t>
  </si>
  <si>
    <t xml:space="preserve">        500.000 </t>
  </si>
  <si>
    <t xml:space="preserve">        1.500.000 </t>
  </si>
  <si>
    <t>Preu</t>
  </si>
  <si>
    <t>TOTAL 3 anys</t>
  </si>
  <si>
    <t>Mitjana</t>
  </si>
  <si>
    <t>Producte CDP
1.500.000 perfils</t>
  </si>
  <si>
    <t>Mitjana sense 2 més baix</t>
  </si>
  <si>
    <t>0</t>
  </si>
  <si>
    <t xml:space="preserve"> -   € </t>
  </si>
  <si>
    <t>TOTALS</t>
  </si>
  <si>
    <t>Pressupost 1</t>
  </si>
  <si>
    <t>Pressupost 2</t>
  </si>
  <si>
    <t>Pressupost 3</t>
  </si>
  <si>
    <t>Pressupost 4</t>
  </si>
  <si>
    <t>Pressupost 5</t>
  </si>
  <si>
    <t>Pressupost 6</t>
  </si>
  <si>
    <t>Disc SSD 1T</t>
  </si>
  <si>
    <t>SUPORT PROFESSIONAL</t>
  </si>
  <si>
    <t>mesos</t>
  </si>
  <si>
    <t>Import</t>
  </si>
  <si>
    <t>Serveis a tant alçat</t>
  </si>
  <si>
    <t>Cost serveis a preus unitaris</t>
  </si>
  <si>
    <t>Programador/a júnior</t>
  </si>
  <si>
    <t>Tècnic/a especialista productes - Consultor/a especialista</t>
  </si>
  <si>
    <t>Administrador/a i Tècnic/a de  Sistemes - Consultor júnior</t>
  </si>
  <si>
    <t>Analista programador/a - analista user experience -Programador/a sènior</t>
  </si>
  <si>
    <t>Tècnic/a sistemes júnior - Tecnic testing</t>
  </si>
  <si>
    <t>LOT1</t>
  </si>
  <si>
    <t>LOT2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</si>
</sst>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3]_-;\-* #,##0.00\ [$€-403]_-;_-* &quot;-&quot;??\ [$€-403]_-;_-@_-"/>
    <numFmt numFmtId="165" formatCode="_-* #,##0.00&quot; €&quot;_-;\-* #,##0.00&quot; €&quot;_-;_-* \-??&quot; €&quot;_-;_-@_-"/>
    <numFmt numFmtId="166" formatCode="#,##0.00\ &quot;€&quot;"/>
    <numFmt numFmtId="167" formatCode="0.0000%"/>
    <numFmt numFmtId="168" formatCode="#,##0.00\ [$€-1]"/>
    <numFmt numFmtId="169" formatCode="#,##0.00&quot;€&quot;"/>
    <numFmt numFmtId="170" formatCode="###0.0_);[Red]\(###0.0\)"/>
    <numFmt numFmtId="171" formatCode="#,##0.00\ [$€-C0A]"/>
    <numFmt numFmtId="172" formatCode="0.0%"/>
    <numFmt numFmtId="173" formatCode="_-* #,##0.00\ [$€-C0A]_-;\-* #,##0.00\ [$€-C0A]_-;_-* &quot;-&quot;??\ [$€-C0A]_-;_-@_-"/>
  </numFmts>
  <fonts count="7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0"/>
      <color theme="1"/>
      <name val="Calibri"/>
      <family val="2"/>
    </font>
    <font>
      <b/>
      <sz val="11"/>
      <color theme="0"/>
      <name val="Calibri"/>
      <family val="2"/>
    </font>
    <font>
      <b/>
      <sz val="12"/>
      <color theme="0"/>
      <name val="Calibri"/>
      <family val="2"/>
    </font>
    <font>
      <b/>
      <sz val="10"/>
      <color theme="1"/>
      <name val="Calibri"/>
      <family val="2"/>
    </font>
    <font>
      <b/>
      <sz val="10"/>
      <name val="Calibri"/>
      <family val="2"/>
    </font>
    <font>
      <b/>
      <sz val="10"/>
      <color theme="0"/>
      <name val="Calibri"/>
      <family val="2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rgb="FFFFFFFF"/>
      <name val="Calibri"/>
      <family val="2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</font>
    <font>
      <b/>
      <sz val="11"/>
      <name val="&quot;Calibri&quot;"/>
    </font>
    <font>
      <sz val="11"/>
      <name val="&quot;Calibri&quot;"/>
    </font>
    <font>
      <b/>
      <sz val="11"/>
      <color rgb="FF000000"/>
      <name val="&quot;Calibri&quot;"/>
    </font>
    <font>
      <i/>
      <sz val="11"/>
      <color rgb="FF0000FF"/>
      <name val="Calibri"/>
      <family val="2"/>
    </font>
    <font>
      <sz val="11"/>
      <color rgb="FF0000FF"/>
      <name val="Calibri"/>
      <family val="2"/>
    </font>
    <font>
      <b/>
      <sz val="11"/>
      <color rgb="FF0000FF"/>
      <name val="Calibri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Geneva"/>
      <family val="2"/>
    </font>
    <font>
      <sz val="9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36"/>
      <name val="Arial"/>
      <family val="2"/>
    </font>
    <font>
      <sz val="9"/>
      <color indexed="12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sz val="10"/>
      <color theme="1"/>
      <name val="Arial"/>
      <family val="2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2"/>
      <color theme="0" tint="-0.499984740745262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9"/>
      <color indexed="81"/>
      <name val="Tahoma"/>
      <family val="2"/>
    </font>
    <font>
      <b/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2"/>
      <color theme="1"/>
      <name val="Arial Narrow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8"/>
      <color theme="0" tint="-4.9989318521683403E-2"/>
      <name val="Calibri"/>
      <family val="2"/>
      <scheme val="minor"/>
    </font>
    <font>
      <sz val="9"/>
      <color theme="0" tint="-4.9989318521683403E-2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scheme val="minor"/>
    </font>
    <font>
      <sz val="12"/>
      <color rgb="FF000000"/>
      <name val="Calibri"/>
      <family val="2"/>
    </font>
    <font>
      <sz val="11"/>
      <color theme="1"/>
      <name val="Calibri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rgb="FFFFFFFF"/>
      <name val="Calibri"/>
      <family val="2"/>
    </font>
    <font>
      <b/>
      <sz val="11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9D9D9"/>
        <bgColor rgb="FFD9D9D9"/>
      </patternFill>
    </fill>
    <fill>
      <patternFill patternType="solid">
        <fgColor rgb="FFDDEBF7"/>
        <bgColor rgb="FFDDEBF7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mediumGray">
        <fgColor indexed="22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ACB9CA"/>
        <bgColor indexed="64"/>
      </patternFill>
    </fill>
    <fill>
      <patternFill patternType="solid">
        <fgColor rgb="FFD5DCE4"/>
        <bgColor indexed="64"/>
      </patternFill>
    </fill>
    <fill>
      <patternFill patternType="solid">
        <fgColor rgb="FF8496B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0" tint="-0.14999847407452621"/>
        <bgColor indexed="64"/>
      </patternFill>
    </fill>
  </fills>
  <borders count="1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medium">
        <color indexed="64"/>
      </bottom>
      <diagonal/>
    </border>
    <border>
      <left style="thin">
        <color theme="2"/>
      </left>
      <right style="medium">
        <color indexed="64"/>
      </right>
      <top style="thin">
        <color theme="2"/>
      </top>
      <bottom style="medium">
        <color indexed="64"/>
      </bottom>
      <diagonal/>
    </border>
    <border>
      <left style="thin">
        <color theme="2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2"/>
      </left>
      <right style="thin">
        <color theme="2"/>
      </right>
      <top style="medium">
        <color indexed="64"/>
      </top>
      <bottom/>
      <diagonal/>
    </border>
    <border>
      <left style="thin">
        <color theme="2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theme="2"/>
      </right>
      <top style="medium">
        <color indexed="64"/>
      </top>
      <bottom/>
      <diagonal/>
    </border>
    <border>
      <left style="medium">
        <color indexed="64"/>
      </left>
      <right style="thin">
        <color theme="2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50505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theme="2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2"/>
      </bottom>
      <diagonal/>
    </border>
    <border>
      <left style="medium">
        <color indexed="64"/>
      </left>
      <right/>
      <top style="thin">
        <color theme="2"/>
      </top>
      <bottom style="thin">
        <color theme="2"/>
      </bottom>
      <diagonal/>
    </border>
    <border>
      <left style="medium">
        <color indexed="64"/>
      </left>
      <right/>
      <top style="thin">
        <color theme="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 style="thin">
        <color indexed="64"/>
      </left>
      <right/>
      <top/>
      <bottom style="medium">
        <color theme="1"/>
      </bottom>
      <diagonal/>
    </border>
    <border>
      <left style="medium">
        <color indexed="64"/>
      </left>
      <right/>
      <top/>
      <bottom style="double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505050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medium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medium">
        <color rgb="FF505050"/>
      </bottom>
      <diagonal/>
    </border>
    <border>
      <left style="thin">
        <color rgb="FF505050"/>
      </left>
      <right/>
      <top style="medium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medium">
        <color rgb="FF505050"/>
      </bottom>
      <diagonal/>
    </border>
    <border>
      <left/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medium">
        <color rgb="FF505050"/>
      </bottom>
      <diagonal/>
    </border>
    <border>
      <left style="medium">
        <color rgb="FF505050"/>
      </left>
      <right/>
      <top style="medium">
        <color rgb="FF505050"/>
      </top>
      <bottom/>
      <diagonal/>
    </border>
    <border>
      <left/>
      <right/>
      <top style="medium">
        <color rgb="FF505050"/>
      </top>
      <bottom/>
      <diagonal/>
    </border>
    <border>
      <left/>
      <right style="medium">
        <color rgb="FF505050"/>
      </right>
      <top style="medium">
        <color rgb="FF505050"/>
      </top>
      <bottom/>
      <diagonal/>
    </border>
    <border>
      <left style="medium">
        <color rgb="FF505050"/>
      </left>
      <right/>
      <top style="medium">
        <color rgb="FF505050"/>
      </top>
      <bottom style="thin">
        <color rgb="FF505050"/>
      </bottom>
      <diagonal/>
    </border>
    <border>
      <left style="medium">
        <color rgb="FF505050"/>
      </left>
      <right/>
      <top style="thin">
        <color rgb="FF505050"/>
      </top>
      <bottom style="thin">
        <color rgb="FF505050"/>
      </bottom>
      <diagonal/>
    </border>
    <border>
      <left style="medium">
        <color rgb="FF505050"/>
      </left>
      <right/>
      <top style="thin">
        <color rgb="FF505050"/>
      </top>
      <bottom style="medium">
        <color rgb="FF505050"/>
      </bottom>
      <diagonal/>
    </border>
    <border>
      <left style="medium">
        <color rgb="FF505050"/>
      </left>
      <right/>
      <top/>
      <bottom style="medium">
        <color rgb="FF505050"/>
      </bottom>
      <diagonal/>
    </border>
    <border>
      <left style="medium">
        <color rgb="FF505050"/>
      </left>
      <right/>
      <top style="medium">
        <color rgb="FF505050"/>
      </top>
      <bottom style="medium">
        <color rgb="FF505050"/>
      </bottom>
      <diagonal/>
    </border>
    <border>
      <left style="medium">
        <color indexed="64"/>
      </left>
      <right/>
      <top style="medium">
        <color rgb="FF505050"/>
      </top>
      <bottom style="medium">
        <color rgb="FF505050"/>
      </bottom>
      <diagonal/>
    </border>
    <border>
      <left style="thin">
        <color indexed="64"/>
      </left>
      <right style="thin">
        <color indexed="64"/>
      </right>
      <top style="medium">
        <color rgb="FF505050"/>
      </top>
      <bottom style="medium">
        <color rgb="FF505050"/>
      </bottom>
      <diagonal/>
    </border>
    <border>
      <left/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/>
      <right/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/>
      <bottom style="thin">
        <color rgb="FF505050"/>
      </bottom>
      <diagonal/>
    </border>
    <border>
      <left/>
      <right style="thin">
        <color rgb="FF505050"/>
      </right>
      <top/>
      <bottom style="thin">
        <color rgb="FF505050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/>
      <diagonal/>
    </border>
    <border>
      <left style="thin">
        <color theme="2" tint="-9.9978637043366805E-2"/>
      </left>
      <right/>
      <top/>
      <bottom/>
      <diagonal/>
    </border>
    <border>
      <left/>
      <right/>
      <top style="thin">
        <color theme="2" tint="-9.9978637043366805E-2"/>
      </top>
      <bottom/>
      <diagonal/>
    </border>
    <border>
      <left/>
      <right/>
      <top/>
      <bottom style="medium">
        <color rgb="FF505050"/>
      </bottom>
      <diagonal/>
    </border>
    <border>
      <left/>
      <right/>
      <top style="double">
        <color theme="1"/>
      </top>
      <bottom style="medium">
        <color theme="1"/>
      </bottom>
      <diagonal/>
    </border>
    <border>
      <left style="medium">
        <color indexed="64"/>
      </left>
      <right/>
      <top style="double">
        <color theme="5"/>
      </top>
      <bottom style="thin">
        <color theme="5" tint="0.39997558519241921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</borders>
  <cellStyleXfs count="7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9" fillId="0" borderId="0" applyBorder="0" applyProtection="0"/>
    <xf numFmtId="0" fontId="9" fillId="0" borderId="0"/>
    <xf numFmtId="0" fontId="10" fillId="0" borderId="0"/>
    <xf numFmtId="0" fontId="1" fillId="0" borderId="0"/>
    <xf numFmtId="0" fontId="1" fillId="0" borderId="0"/>
    <xf numFmtId="0" fontId="36" fillId="0" borderId="0"/>
    <xf numFmtId="0" fontId="38" fillId="0" borderId="0"/>
    <xf numFmtId="0" fontId="38" fillId="0" borderId="0"/>
    <xf numFmtId="0" fontId="38" fillId="0" borderId="0"/>
    <xf numFmtId="0" fontId="39" fillId="12" borderId="0" applyNumberFormat="0">
      <alignment horizontal="right" vertical="top" wrapText="1"/>
    </xf>
    <xf numFmtId="0" fontId="39" fillId="13" borderId="0" applyNumberFormat="0">
      <alignment horizontal="right" vertical="top" wrapText="1"/>
    </xf>
    <xf numFmtId="0" fontId="37" fillId="0" borderId="0"/>
    <xf numFmtId="44" fontId="37" fillId="0" borderId="0" applyFont="0" applyFill="0" applyBorder="0" applyAlignment="0" applyProtection="0"/>
    <xf numFmtId="38" fontId="40" fillId="14" borderId="0" applyNumberFormat="0" applyBorder="0" applyAlignment="0" applyProtection="0"/>
    <xf numFmtId="0" fontId="41" fillId="0" borderId="23" applyNumberFormat="0" applyAlignment="0" applyProtection="0">
      <alignment horizontal="left" vertical="center"/>
    </xf>
    <xf numFmtId="0" fontId="41" fillId="0" borderId="13">
      <alignment horizontal="left"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10" fontId="40" fillId="15" borderId="1" applyNumberFormat="0" applyBorder="0" applyAlignment="0" applyProtection="0"/>
    <xf numFmtId="3" fontId="44" fillId="14" borderId="0">
      <alignment horizontal="right"/>
      <protection locked="0"/>
    </xf>
    <xf numFmtId="0" fontId="45" fillId="0" borderId="0"/>
    <xf numFmtId="170" fontId="37" fillId="0" borderId="0"/>
    <xf numFmtId="0" fontId="37" fillId="0" borderId="0"/>
    <xf numFmtId="3" fontId="39" fillId="0" borderId="0"/>
    <xf numFmtId="10" fontId="37" fillId="0" borderId="0" applyFont="0" applyFill="0" applyBorder="0" applyAlignment="0" applyProtection="0"/>
    <xf numFmtId="0" fontId="46" fillId="0" borderId="0" applyNumberFormat="0" applyFont="0" applyFill="0" applyBorder="0" applyAlignment="0" applyProtection="0">
      <alignment horizontal="left"/>
    </xf>
    <xf numFmtId="15" fontId="46" fillId="0" borderId="0" applyFont="0" applyFill="0" applyBorder="0" applyAlignment="0" applyProtection="0"/>
    <xf numFmtId="4" fontId="46" fillId="0" borderId="0" applyFont="0" applyFill="0" applyBorder="0" applyAlignment="0" applyProtection="0"/>
    <xf numFmtId="0" fontId="47" fillId="0" borderId="20">
      <alignment horizontal="center"/>
    </xf>
    <xf numFmtId="3" fontId="46" fillId="0" borderId="0" applyFont="0" applyFill="0" applyBorder="0" applyAlignment="0" applyProtection="0"/>
    <xf numFmtId="0" fontId="46" fillId="16" borderId="0" applyNumberFormat="0" applyFont="0" applyBorder="0" applyAlignment="0" applyProtection="0"/>
    <xf numFmtId="0" fontId="37" fillId="0" borderId="0"/>
    <xf numFmtId="44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6" fillId="0" borderId="0"/>
    <xf numFmtId="44" fontId="36" fillId="0" borderId="0" applyFont="0" applyFill="0" applyBorder="0" applyAlignment="0" applyProtection="0"/>
    <xf numFmtId="170" fontId="36" fillId="0" borderId="0"/>
    <xf numFmtId="0" fontId="36" fillId="0" borderId="0"/>
    <xf numFmtId="10" fontId="36" fillId="0" borderId="0" applyFont="0" applyFill="0" applyBorder="0" applyAlignment="0" applyProtection="0"/>
    <xf numFmtId="0" fontId="36" fillId="0" borderId="0"/>
    <xf numFmtId="44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</cellStyleXfs>
  <cellXfs count="686">
    <xf numFmtId="0" fontId="0" fillId="0" borderId="0" xfId="0"/>
    <xf numFmtId="0" fontId="2" fillId="0" borderId="0" xfId="0" applyFont="1"/>
    <xf numFmtId="2" fontId="0" fillId="0" borderId="0" xfId="0" applyNumberFormat="1"/>
    <xf numFmtId="0" fontId="8" fillId="0" borderId="0" xfId="0" applyFont="1" applyAlignment="1">
      <alignment vertical="center"/>
    </xf>
    <xf numFmtId="10" fontId="0" fillId="0" borderId="0" xfId="0" applyNumberFormat="1"/>
    <xf numFmtId="0" fontId="0" fillId="0" borderId="2" xfId="0" applyBorder="1"/>
    <xf numFmtId="0" fontId="6" fillId="3" borderId="3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1" fillId="0" borderId="0" xfId="0" applyFont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wrapText="1"/>
    </xf>
    <xf numFmtId="14" fontId="4" fillId="0" borderId="8" xfId="0" applyNumberFormat="1" applyFont="1" applyFill="1" applyBorder="1" applyAlignment="1">
      <alignment horizontal="center"/>
    </xf>
    <xf numFmtId="166" fontId="4" fillId="0" borderId="0" xfId="0" applyNumberFormat="1" applyFont="1" applyBorder="1" applyAlignment="1">
      <alignment horizontal="right" vertical="center"/>
    </xf>
    <xf numFmtId="4" fontId="4" fillId="0" borderId="0" xfId="0" applyNumberFormat="1" applyFont="1" applyFill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9" xfId="0" applyFill="1" applyBorder="1" applyAlignment="1">
      <alignment horizontal="left"/>
    </xf>
    <xf numFmtId="0" fontId="0" fillId="0" borderId="9" xfId="0" applyBorder="1" applyAlignment="1">
      <alignment wrapText="1"/>
    </xf>
    <xf numFmtId="0" fontId="0" fillId="0" borderId="9" xfId="0" applyBorder="1" applyAlignment="1">
      <alignment horizontal="center" vertical="center"/>
    </xf>
    <xf numFmtId="166" fontId="5" fillId="5" borderId="0" xfId="0" applyNumberFormat="1" applyFont="1" applyFill="1" applyAlignment="1"/>
    <xf numFmtId="4" fontId="5" fillId="5" borderId="0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wrapText="1"/>
    </xf>
    <xf numFmtId="0" fontId="0" fillId="5" borderId="9" xfId="0" applyFill="1" applyBorder="1" applyAlignment="1">
      <alignment horizontal="left"/>
    </xf>
    <xf numFmtId="0" fontId="0" fillId="5" borderId="9" xfId="0" applyFill="1" applyBorder="1" applyAlignment="1">
      <alignment wrapText="1"/>
    </xf>
    <xf numFmtId="0" fontId="11" fillId="6" borderId="0" xfId="0" applyFont="1" applyFill="1" applyAlignment="1">
      <alignment horizontal="center" vertical="center" wrapText="1"/>
    </xf>
    <xf numFmtId="0" fontId="0" fillId="0" borderId="1" xfId="0" applyFill="1" applyBorder="1"/>
    <xf numFmtId="14" fontId="2" fillId="0" borderId="0" xfId="0" applyNumberFormat="1" applyFont="1"/>
    <xf numFmtId="0" fontId="0" fillId="0" borderId="0" xfId="0" applyFont="1" applyFill="1"/>
    <xf numFmtId="0" fontId="0" fillId="0" borderId="0" xfId="0" applyFont="1" applyProtection="1">
      <protection locked="0"/>
    </xf>
    <xf numFmtId="14" fontId="1" fillId="0" borderId="0" xfId="0" applyNumberFormat="1" applyFont="1"/>
    <xf numFmtId="14" fontId="0" fillId="0" borderId="0" xfId="0" applyNumberFormat="1" applyFont="1"/>
    <xf numFmtId="8" fontId="1" fillId="0" borderId="0" xfId="0" applyNumberFormat="1" applyFont="1" applyFill="1" applyAlignment="1">
      <alignment horizontal="right" wrapText="1"/>
    </xf>
    <xf numFmtId="0" fontId="2" fillId="0" borderId="0" xfId="0" applyNumberFormat="1" applyFont="1" applyFill="1" applyBorder="1" applyProtection="1">
      <protection hidden="1"/>
    </xf>
    <xf numFmtId="0" fontId="6" fillId="6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right" wrapText="1"/>
    </xf>
    <xf numFmtId="0" fontId="5" fillId="0" borderId="0" xfId="0" applyNumberFormat="1" applyFont="1" applyFill="1" applyBorder="1" applyProtection="1">
      <protection hidden="1"/>
    </xf>
    <xf numFmtId="0" fontId="1" fillId="0" borderId="0" xfId="0" applyFont="1" applyFill="1" applyAlignment="1">
      <alignment wrapText="1"/>
    </xf>
    <xf numFmtId="0" fontId="7" fillId="7" borderId="0" xfId="0" applyFont="1" applyFill="1" applyAlignment="1">
      <alignment wrapText="1"/>
    </xf>
    <xf numFmtId="0" fontId="13" fillId="7" borderId="0" xfId="0" applyNumberFormat="1" applyFont="1" applyFill="1" applyBorder="1" applyAlignment="1" applyProtection="1">
      <alignment horizontal="left" vertical="center"/>
      <protection hidden="1"/>
    </xf>
    <xf numFmtId="0" fontId="6" fillId="7" borderId="0" xfId="0" applyFont="1" applyFill="1"/>
    <xf numFmtId="0" fontId="1" fillId="7" borderId="0" xfId="0" applyFont="1" applyFill="1" applyAlignment="1">
      <alignment wrapText="1"/>
    </xf>
    <xf numFmtId="0" fontId="14" fillId="0" borderId="0" xfId="0" applyFont="1"/>
    <xf numFmtId="8" fontId="16" fillId="0" borderId="1" xfId="0" applyNumberFormat="1" applyFont="1" applyBorder="1" applyAlignment="1">
      <alignment horizontal="right" vertical="center"/>
    </xf>
    <xf numFmtId="8" fontId="19" fillId="5" borderId="1" xfId="0" applyNumberFormat="1" applyFont="1" applyFill="1" applyBorder="1" applyAlignment="1">
      <alignment horizontal="right" vertical="center"/>
    </xf>
    <xf numFmtId="0" fontId="21" fillId="3" borderId="10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14" fillId="8" borderId="1" xfId="0" applyFont="1" applyFill="1" applyBorder="1" applyAlignment="1">
      <alignment horizontal="right"/>
    </xf>
    <xf numFmtId="8" fontId="16" fillId="8" borderId="1" xfId="0" applyNumberFormat="1" applyFont="1" applyFill="1" applyBorder="1" applyAlignment="1">
      <alignment horizontal="right" vertical="center"/>
    </xf>
    <xf numFmtId="166" fontId="19" fillId="5" borderId="1" xfId="0" applyNumberFormat="1" applyFont="1" applyFill="1" applyBorder="1" applyAlignment="1">
      <alignment horizontal="right" vertical="center" wrapText="1"/>
    </xf>
    <xf numFmtId="0" fontId="23" fillId="5" borderId="1" xfId="0" applyFont="1" applyFill="1" applyBorder="1" applyAlignment="1">
      <alignment horizontal="left" vertical="center"/>
    </xf>
    <xf numFmtId="166" fontId="16" fillId="0" borderId="1" xfId="0" applyNumberFormat="1" applyFont="1" applyBorder="1" applyAlignment="1">
      <alignment horizontal="righ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4" fillId="3" borderId="1" xfId="0" applyFont="1" applyFill="1" applyBorder="1" applyAlignment="1">
      <alignment horizontal="center" vertical="center" wrapText="1"/>
    </xf>
    <xf numFmtId="44" fontId="25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44" fontId="14" fillId="0" borderId="1" xfId="0" applyNumberFormat="1" applyFont="1" applyFill="1" applyBorder="1" applyAlignment="1">
      <alignment horizontal="center" vertical="center"/>
    </xf>
    <xf numFmtId="0" fontId="14" fillId="0" borderId="0" xfId="0" applyFont="1" applyBorder="1"/>
    <xf numFmtId="0" fontId="22" fillId="0" borderId="0" xfId="0" applyFont="1" applyFill="1" applyAlignment="1">
      <alignment horizontal="left"/>
    </xf>
    <xf numFmtId="0" fontId="0" fillId="0" borderId="0" xfId="0" applyFont="1" applyAlignment="1"/>
    <xf numFmtId="168" fontId="28" fillId="0" borderId="0" xfId="0" applyNumberFormat="1" applyFont="1"/>
    <xf numFmtId="166" fontId="0" fillId="0" borderId="0" xfId="0" applyNumberFormat="1" applyFont="1" applyAlignment="1"/>
    <xf numFmtId="0" fontId="29" fillId="10" borderId="15" xfId="0" applyFont="1" applyFill="1" applyBorder="1" applyAlignment="1">
      <alignment vertical="top"/>
    </xf>
    <xf numFmtId="0" fontId="28" fillId="0" borderId="0" xfId="0" applyFont="1" applyAlignment="1">
      <alignment vertical="top"/>
    </xf>
    <xf numFmtId="0" fontId="30" fillId="0" borderId="15" xfId="0" applyFont="1" applyBorder="1" applyAlignment="1">
      <alignment horizontal="left" vertical="top"/>
    </xf>
    <xf numFmtId="0" fontId="28" fillId="0" borderId="17" xfId="0" applyFont="1" applyBorder="1" applyAlignment="1">
      <alignment vertical="top"/>
    </xf>
    <xf numFmtId="0" fontId="30" fillId="0" borderId="15" xfId="0" applyFont="1" applyBorder="1" applyAlignment="1">
      <alignment vertical="top"/>
    </xf>
    <xf numFmtId="0" fontId="28" fillId="10" borderId="15" xfId="0" applyFont="1" applyFill="1" applyBorder="1" applyAlignment="1">
      <alignment vertical="top"/>
    </xf>
    <xf numFmtId="0" fontId="31" fillId="10" borderId="15" xfId="0" applyFont="1" applyFill="1" applyBorder="1" applyAlignment="1">
      <alignment horizontal="left" vertical="top"/>
    </xf>
    <xf numFmtId="0" fontId="12" fillId="0" borderId="0" xfId="0" applyFont="1" applyAlignment="1"/>
    <xf numFmtId="168" fontId="32" fillId="11" borderId="15" xfId="0" applyNumberFormat="1" applyFont="1" applyFill="1" applyBorder="1" applyAlignment="1">
      <alignment horizontal="center"/>
    </xf>
    <xf numFmtId="169" fontId="32" fillId="11" borderId="15" xfId="0" applyNumberFormat="1" applyFont="1" applyFill="1" applyBorder="1" applyAlignment="1">
      <alignment horizontal="center"/>
    </xf>
    <xf numFmtId="169" fontId="32" fillId="0" borderId="15" xfId="0" applyNumberFormat="1" applyFont="1" applyBorder="1" applyAlignment="1">
      <alignment horizontal="center"/>
    </xf>
    <xf numFmtId="4" fontId="3" fillId="0" borderId="0" xfId="0" applyNumberFormat="1" applyFont="1" applyAlignment="1">
      <alignment horizontal="center"/>
    </xf>
    <xf numFmtId="0" fontId="33" fillId="0" borderId="15" xfId="0" applyFont="1" applyBorder="1" applyAlignment="1">
      <alignment horizontal="center"/>
    </xf>
    <xf numFmtId="0" fontId="34" fillId="0" borderId="15" xfId="0" applyFont="1" applyBorder="1" applyAlignment="1">
      <alignment horizontal="right"/>
    </xf>
    <xf numFmtId="0" fontId="0" fillId="0" borderId="0" xfId="0" applyFont="1" applyAlignment="1">
      <alignment wrapText="1"/>
    </xf>
    <xf numFmtId="168" fontId="34" fillId="11" borderId="15" xfId="0" applyNumberFormat="1" applyFont="1" applyFill="1" applyBorder="1" applyAlignment="1">
      <alignment horizontal="center" wrapText="1"/>
    </xf>
    <xf numFmtId="0" fontId="34" fillId="11" borderId="15" xfId="0" applyFont="1" applyFill="1" applyBorder="1" applyAlignment="1">
      <alignment horizontal="center" wrapText="1"/>
    </xf>
    <xf numFmtId="0" fontId="33" fillId="0" borderId="15" xfId="0" applyFont="1" applyBorder="1" applyAlignment="1">
      <alignment horizontal="center" wrapText="1"/>
    </xf>
    <xf numFmtId="0" fontId="34" fillId="0" borderId="15" xfId="0" applyFont="1" applyBorder="1" applyAlignment="1">
      <alignment horizontal="center" wrapText="1"/>
    </xf>
    <xf numFmtId="0" fontId="33" fillId="0" borderId="15" xfId="0" applyFont="1" applyBorder="1" applyAlignment="1">
      <alignment wrapText="1"/>
    </xf>
    <xf numFmtId="0" fontId="33" fillId="0" borderId="15" xfId="0" applyFont="1" applyBorder="1" applyAlignment="1"/>
    <xf numFmtId="168" fontId="33" fillId="0" borderId="15" xfId="0" applyNumberFormat="1" applyFont="1" applyBorder="1" applyAlignment="1"/>
    <xf numFmtId="0" fontId="34" fillId="0" borderId="15" xfId="0" applyFont="1" applyBorder="1" applyAlignment="1"/>
    <xf numFmtId="0" fontId="0" fillId="0" borderId="0" xfId="0"/>
    <xf numFmtId="0" fontId="0" fillId="0" borderId="0" xfId="0" applyFont="1" applyBorder="1"/>
    <xf numFmtId="0" fontId="0" fillId="5" borderId="25" xfId="0" applyFill="1" applyBorder="1" applyAlignment="1">
      <alignment wrapText="1"/>
    </xf>
    <xf numFmtId="9" fontId="19" fillId="5" borderId="1" xfId="0" applyNumberFormat="1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44" fontId="30" fillId="0" borderId="16" xfId="1" applyFont="1" applyBorder="1" applyAlignment="1">
      <alignment horizontal="right" vertical="top"/>
    </xf>
    <xf numFmtId="44" fontId="29" fillId="0" borderId="16" xfId="1" applyFont="1" applyBorder="1" applyAlignment="1">
      <alignment horizontal="right" vertical="top"/>
    </xf>
    <xf numFmtId="44" fontId="28" fillId="0" borderId="17" xfId="1" applyFont="1" applyBorder="1" applyAlignment="1">
      <alignment vertical="top"/>
    </xf>
    <xf numFmtId="44" fontId="28" fillId="10" borderId="16" xfId="1" applyFont="1" applyFill="1" applyBorder="1" applyAlignment="1">
      <alignment vertical="top"/>
    </xf>
    <xf numFmtId="44" fontId="29" fillId="0" borderId="14" xfId="1" applyFont="1" applyBorder="1" applyAlignment="1">
      <alignment horizontal="right" vertical="top"/>
    </xf>
    <xf numFmtId="44" fontId="28" fillId="0" borderId="0" xfId="1" applyFont="1" applyAlignment="1">
      <alignment vertical="top"/>
    </xf>
    <xf numFmtId="44" fontId="29" fillId="10" borderId="14" xfId="1" applyFont="1" applyFill="1" applyBorder="1" applyAlignment="1">
      <alignment horizontal="right" vertical="top"/>
    </xf>
    <xf numFmtId="0" fontId="0" fillId="0" borderId="0" xfId="0" applyBorder="1"/>
    <xf numFmtId="14" fontId="4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44" fontId="5" fillId="5" borderId="0" xfId="1" applyFont="1" applyFill="1" applyBorder="1" applyAlignment="1">
      <alignment horizontal="center" vertical="center"/>
    </xf>
    <xf numFmtId="166" fontId="2" fillId="0" borderId="0" xfId="0" applyNumberFormat="1" applyFont="1"/>
    <xf numFmtId="166" fontId="5" fillId="5" borderId="0" xfId="1" applyNumberFormat="1" applyFont="1" applyFill="1" applyBorder="1" applyAlignment="1">
      <alignment horizontal="center" vertical="center"/>
    </xf>
    <xf numFmtId="167" fontId="0" fillId="0" borderId="0" xfId="2" applyNumberFormat="1" applyFont="1"/>
    <xf numFmtId="0" fontId="1" fillId="17" borderId="0" xfId="0" applyFont="1" applyFill="1"/>
    <xf numFmtId="0" fontId="1" fillId="17" borderId="0" xfId="0" applyFont="1" applyFill="1" applyAlignment="1" applyProtection="1">
      <alignment wrapText="1"/>
      <protection locked="0"/>
    </xf>
    <xf numFmtId="4" fontId="2" fillId="17" borderId="0" xfId="0" applyNumberFormat="1" applyFont="1" applyFill="1" applyAlignment="1">
      <alignment horizontal="left" wrapText="1"/>
    </xf>
    <xf numFmtId="166" fontId="4" fillId="17" borderId="0" xfId="0" applyNumberFormat="1" applyFont="1" applyFill="1" applyAlignment="1"/>
    <xf numFmtId="166" fontId="5" fillId="17" borderId="0" xfId="0" applyNumberFormat="1" applyFont="1" applyFill="1" applyAlignment="1"/>
    <xf numFmtId="166" fontId="2" fillId="17" borderId="0" xfId="0" applyNumberFormat="1" applyFont="1" applyFill="1"/>
    <xf numFmtId="10" fontId="0" fillId="0" borderId="33" xfId="0" applyNumberFormat="1" applyBorder="1"/>
    <xf numFmtId="10" fontId="0" fillId="0" borderId="37" xfId="0" applyNumberFormat="1" applyBorder="1"/>
    <xf numFmtId="0" fontId="6" fillId="3" borderId="38" xfId="0" applyFont="1" applyFill="1" applyBorder="1" applyAlignment="1">
      <alignment horizontal="center" vertical="center"/>
    </xf>
    <xf numFmtId="14" fontId="4" fillId="0" borderId="18" xfId="0" applyNumberFormat="1" applyFont="1" applyFill="1" applyBorder="1" applyAlignment="1">
      <alignment horizontal="center"/>
    </xf>
    <xf numFmtId="0" fontId="11" fillId="3" borderId="19" xfId="0" applyFont="1" applyFill="1" applyBorder="1" applyAlignment="1">
      <alignment horizontal="center" vertical="center" wrapText="1"/>
    </xf>
    <xf numFmtId="0" fontId="11" fillId="17" borderId="0" xfId="0" applyFont="1" applyFill="1" applyBorder="1" applyAlignment="1">
      <alignment horizontal="center" vertical="center" wrapText="1"/>
    </xf>
    <xf numFmtId="0" fontId="0" fillId="17" borderId="0" xfId="0" applyFont="1" applyFill="1" applyProtection="1">
      <protection locked="0"/>
    </xf>
    <xf numFmtId="4" fontId="0" fillId="0" borderId="0" xfId="0" applyNumberFormat="1" applyFont="1" applyBorder="1" applyAlignment="1">
      <alignment horizontal="left" vertical="top" wrapText="1"/>
    </xf>
    <xf numFmtId="44" fontId="4" fillId="0" borderId="0" xfId="1" applyFont="1" applyBorder="1" applyAlignment="1">
      <alignment horizontal="center" vertical="center"/>
    </xf>
    <xf numFmtId="44" fontId="14" fillId="0" borderId="7" xfId="0" applyNumberFormat="1" applyFont="1" applyFill="1" applyBorder="1" applyAlignment="1">
      <alignment horizontal="center" vertical="center"/>
    </xf>
    <xf numFmtId="44" fontId="14" fillId="0" borderId="10" xfId="0" applyNumberFormat="1" applyFont="1" applyFill="1" applyBorder="1" applyAlignment="1">
      <alignment horizontal="center" vertical="center"/>
    </xf>
    <xf numFmtId="0" fontId="8" fillId="0" borderId="0" xfId="0" applyFont="1"/>
    <xf numFmtId="4" fontId="2" fillId="0" borderId="44" xfId="0" applyNumberFormat="1" applyFont="1" applyBorder="1" applyAlignment="1">
      <alignment horizontal="left" vertical="top" wrapText="1"/>
    </xf>
    <xf numFmtId="44" fontId="1" fillId="0" borderId="5" xfId="1" applyFont="1" applyBorder="1" applyProtection="1">
      <protection locked="0"/>
    </xf>
    <xf numFmtId="44" fontId="1" fillId="0" borderId="6" xfId="1" applyFont="1" applyBorder="1"/>
    <xf numFmtId="44" fontId="1" fillId="0" borderId="24" xfId="1" applyFont="1" applyBorder="1" applyAlignment="1">
      <alignment wrapText="1"/>
    </xf>
    <xf numFmtId="166" fontId="8" fillId="18" borderId="20" xfId="0" applyNumberFormat="1" applyFont="1" applyFill="1" applyBorder="1" applyAlignment="1">
      <alignment wrapText="1"/>
    </xf>
    <xf numFmtId="166" fontId="8" fillId="18" borderId="46" xfId="0" applyNumberFormat="1" applyFont="1" applyFill="1" applyBorder="1" applyAlignment="1">
      <alignment wrapText="1"/>
    </xf>
    <xf numFmtId="44" fontId="2" fillId="0" borderId="0" xfId="0" applyNumberFormat="1" applyFont="1"/>
    <xf numFmtId="0" fontId="11" fillId="3" borderId="41" xfId="0" applyFont="1" applyFill="1" applyBorder="1" applyAlignment="1">
      <alignment horizontal="center" vertical="center" wrapText="1"/>
    </xf>
    <xf numFmtId="0" fontId="11" fillId="3" borderId="47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5" borderId="48" xfId="0" applyFont="1" applyFill="1" applyBorder="1" applyAlignment="1"/>
    <xf numFmtId="0" fontId="6" fillId="3" borderId="35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10" fontId="0" fillId="17" borderId="1" xfId="0" applyNumberFormat="1" applyFill="1" applyBorder="1"/>
    <xf numFmtId="44" fontId="0" fillId="17" borderId="1" xfId="1" applyFont="1" applyFill="1" applyBorder="1"/>
    <xf numFmtId="10" fontId="0" fillId="0" borderId="1" xfId="0" applyNumberFormat="1" applyBorder="1"/>
    <xf numFmtId="0" fontId="0" fillId="17" borderId="2" xfId="0" applyFill="1" applyBorder="1" applyAlignment="1">
      <alignment horizontal="left"/>
    </xf>
    <xf numFmtId="10" fontId="0" fillId="17" borderId="28" xfId="0" applyNumberFormat="1" applyFill="1" applyBorder="1"/>
    <xf numFmtId="44" fontId="0" fillId="17" borderId="28" xfId="1" applyFont="1" applyFill="1" applyBorder="1"/>
    <xf numFmtId="44" fontId="0" fillId="17" borderId="3" xfId="1" applyFont="1" applyFill="1" applyBorder="1"/>
    <xf numFmtId="0" fontId="0" fillId="17" borderId="53" xfId="0" applyFill="1" applyBorder="1" applyAlignment="1">
      <alignment horizontal="left"/>
    </xf>
    <xf numFmtId="44" fontId="0" fillId="17" borderId="54" xfId="1" applyFont="1" applyFill="1" applyBorder="1"/>
    <xf numFmtId="0" fontId="2" fillId="5" borderId="55" xfId="0" applyFont="1" applyFill="1" applyBorder="1" applyAlignment="1"/>
    <xf numFmtId="0" fontId="2" fillId="5" borderId="56" xfId="0" applyFont="1" applyFill="1" applyBorder="1" applyAlignment="1"/>
    <xf numFmtId="0" fontId="0" fillId="17" borderId="53" xfId="0" applyFill="1" applyBorder="1" applyAlignment="1">
      <alignment horizontal="left" wrapText="1"/>
    </xf>
    <xf numFmtId="0" fontId="0" fillId="0" borderId="2" xfId="0" applyBorder="1" applyAlignment="1">
      <alignment horizontal="left"/>
    </xf>
    <xf numFmtId="10" fontId="0" fillId="0" borderId="28" xfId="0" applyNumberFormat="1" applyBorder="1"/>
    <xf numFmtId="0" fontId="0" fillId="0" borderId="53" xfId="0" applyBorder="1" applyAlignment="1">
      <alignment horizontal="left" wrapText="1"/>
    </xf>
    <xf numFmtId="0" fontId="0" fillId="0" borderId="53" xfId="0" applyBorder="1" applyAlignment="1">
      <alignment horizontal="left"/>
    </xf>
    <xf numFmtId="0" fontId="48" fillId="0" borderId="53" xfId="0" applyFont="1" applyBorder="1" applyAlignment="1">
      <alignment wrapText="1"/>
    </xf>
    <xf numFmtId="44" fontId="2" fillId="5" borderId="56" xfId="1" applyFont="1" applyFill="1" applyBorder="1" applyAlignment="1"/>
    <xf numFmtId="44" fontId="2" fillId="5" borderId="56" xfId="1" applyFont="1" applyFill="1" applyBorder="1" applyAlignment="1">
      <alignment horizontal="left"/>
    </xf>
    <xf numFmtId="44" fontId="2" fillId="5" borderId="57" xfId="1" applyFont="1" applyFill="1" applyBorder="1" applyAlignment="1">
      <alignment horizontal="right"/>
    </xf>
    <xf numFmtId="44" fontId="0" fillId="0" borderId="28" xfId="1" applyFont="1" applyFill="1" applyBorder="1"/>
    <xf numFmtId="44" fontId="0" fillId="0" borderId="28" xfId="1" applyFont="1" applyBorder="1"/>
    <xf numFmtId="44" fontId="0" fillId="0" borderId="3" xfId="1" applyFont="1" applyBorder="1"/>
    <xf numFmtId="44" fontId="0" fillId="0" borderId="1" xfId="1" applyFont="1" applyFill="1" applyBorder="1"/>
    <xf numFmtId="44" fontId="0" fillId="0" borderId="1" xfId="1" applyFont="1" applyBorder="1"/>
    <xf numFmtId="44" fontId="0" fillId="0" borderId="54" xfId="1" applyFont="1" applyBorder="1"/>
    <xf numFmtId="0" fontId="2" fillId="5" borderId="58" xfId="0" applyFont="1" applyFill="1" applyBorder="1" applyAlignment="1"/>
    <xf numFmtId="44" fontId="0" fillId="0" borderId="35" xfId="1" applyFont="1" applyFill="1" applyBorder="1"/>
    <xf numFmtId="44" fontId="0" fillId="0" borderId="35" xfId="1" applyFont="1" applyBorder="1"/>
    <xf numFmtId="44" fontId="0" fillId="0" borderId="36" xfId="1" applyFont="1" applyBorder="1"/>
    <xf numFmtId="44" fontId="0" fillId="0" borderId="31" xfId="1" applyFont="1" applyFill="1" applyBorder="1"/>
    <xf numFmtId="44" fontId="0" fillId="0" borderId="31" xfId="1" applyFont="1" applyBorder="1"/>
    <xf numFmtId="44" fontId="0" fillId="0" borderId="32" xfId="1" applyFont="1" applyBorder="1"/>
    <xf numFmtId="44" fontId="2" fillId="5" borderId="49" xfId="1" applyFont="1" applyFill="1" applyBorder="1" applyAlignment="1"/>
    <xf numFmtId="44" fontId="2" fillId="5" borderId="29" xfId="1" applyFont="1" applyFill="1" applyBorder="1" applyAlignment="1">
      <alignment horizontal="left"/>
    </xf>
    <xf numFmtId="44" fontId="2" fillId="5" borderId="30" xfId="1" applyFont="1" applyFill="1" applyBorder="1" applyAlignment="1">
      <alignment horizontal="right"/>
    </xf>
    <xf numFmtId="0" fontId="2" fillId="5" borderId="59" xfId="0" applyFont="1" applyFill="1" applyBorder="1" applyAlignment="1"/>
    <xf numFmtId="0" fontId="2" fillId="5" borderId="43" xfId="0" applyFont="1" applyFill="1" applyBorder="1" applyAlignment="1"/>
    <xf numFmtId="44" fontId="2" fillId="5" borderId="43" xfId="1" applyFont="1" applyFill="1" applyBorder="1" applyAlignment="1"/>
    <xf numFmtId="44" fontId="2" fillId="5" borderId="43" xfId="1" applyFont="1" applyFill="1" applyBorder="1" applyAlignment="1">
      <alignment horizontal="left"/>
    </xf>
    <xf numFmtId="44" fontId="2" fillId="5" borderId="60" xfId="1" applyFont="1" applyFill="1" applyBorder="1" applyAlignment="1">
      <alignment horizontal="right"/>
    </xf>
    <xf numFmtId="0" fontId="0" fillId="0" borderId="61" xfId="0" applyBorder="1" applyAlignment="1">
      <alignment horizontal="left"/>
    </xf>
    <xf numFmtId="10" fontId="0" fillId="0" borderId="27" xfId="0" applyNumberFormat="1" applyBorder="1"/>
    <xf numFmtId="44" fontId="0" fillId="0" borderId="27" xfId="1" applyFont="1" applyFill="1" applyBorder="1"/>
    <xf numFmtId="44" fontId="0" fillId="0" borderId="27" xfId="1" applyFont="1" applyBorder="1"/>
    <xf numFmtId="44" fontId="0" fillId="0" borderId="62" xfId="1" applyFont="1" applyBorder="1"/>
    <xf numFmtId="9" fontId="48" fillId="0" borderId="28" xfId="0" applyNumberFormat="1" applyFont="1" applyBorder="1" applyAlignment="1">
      <alignment wrapText="1"/>
    </xf>
    <xf numFmtId="44" fontId="48" fillId="0" borderId="28" xfId="0" applyNumberFormat="1" applyFont="1" applyBorder="1" applyAlignment="1">
      <alignment wrapText="1"/>
    </xf>
    <xf numFmtId="44" fontId="48" fillId="0" borderId="1" xfId="0" applyNumberFormat="1" applyFont="1" applyBorder="1" applyAlignment="1">
      <alignment wrapText="1"/>
    </xf>
    <xf numFmtId="9" fontId="48" fillId="0" borderId="1" xfId="2" applyFont="1" applyBorder="1" applyAlignment="1">
      <alignment wrapText="1"/>
    </xf>
    <xf numFmtId="44" fontId="48" fillId="0" borderId="3" xfId="1" applyFont="1" applyBorder="1" applyAlignment="1">
      <alignment wrapText="1"/>
    </xf>
    <xf numFmtId="0" fontId="52" fillId="3" borderId="0" xfId="0" applyFont="1" applyFill="1" applyAlignment="1">
      <alignment horizontal="center" vertical="center" wrapText="1"/>
    </xf>
    <xf numFmtId="0" fontId="53" fillId="3" borderId="0" xfId="0" applyFont="1" applyFill="1" applyAlignment="1">
      <alignment horizontal="center" vertical="center" wrapText="1"/>
    </xf>
    <xf numFmtId="166" fontId="1" fillId="17" borderId="0" xfId="0" applyNumberFormat="1" applyFont="1" applyFill="1" applyAlignment="1">
      <alignment vertical="center"/>
    </xf>
    <xf numFmtId="166" fontId="54" fillId="17" borderId="0" xfId="0" applyNumberFormat="1" applyFont="1" applyFill="1" applyAlignment="1">
      <alignment vertical="center"/>
    </xf>
    <xf numFmtId="44" fontId="1" fillId="17" borderId="0" xfId="1" applyFont="1" applyFill="1"/>
    <xf numFmtId="166" fontId="2" fillId="19" borderId="0" xfId="0" applyNumberFormat="1" applyFont="1" applyFill="1"/>
    <xf numFmtId="0" fontId="0" fillId="0" borderId="0" xfId="0" applyFont="1" applyAlignment="1">
      <alignment horizontal="center" wrapText="1"/>
    </xf>
    <xf numFmtId="44" fontId="48" fillId="0" borderId="54" xfId="1" applyFont="1" applyBorder="1" applyAlignment="1">
      <alignment wrapText="1"/>
    </xf>
    <xf numFmtId="0" fontId="27" fillId="3" borderId="27" xfId="0" applyFont="1" applyFill="1" applyBorder="1" applyAlignment="1">
      <alignment horizontal="center" vertical="center" wrapText="1"/>
    </xf>
    <xf numFmtId="0" fontId="22" fillId="9" borderId="12" xfId="0" applyFont="1" applyFill="1" applyBorder="1" applyAlignment="1">
      <alignment vertical="center" wrapText="1"/>
    </xf>
    <xf numFmtId="0" fontId="27" fillId="3" borderId="67" xfId="0" applyFont="1" applyFill="1" applyBorder="1" applyAlignment="1">
      <alignment horizontal="center" vertical="center" wrapText="1"/>
    </xf>
    <xf numFmtId="0" fontId="27" fillId="3" borderId="62" xfId="0" applyFont="1" applyFill="1" applyBorder="1" applyAlignment="1">
      <alignment horizontal="center" vertical="center" wrapText="1"/>
    </xf>
    <xf numFmtId="166" fontId="1" fillId="0" borderId="68" xfId="0" applyNumberFormat="1" applyFont="1" applyFill="1" applyBorder="1" applyAlignment="1">
      <alignment vertical="center"/>
    </xf>
    <xf numFmtId="44" fontId="14" fillId="0" borderId="54" xfId="0" applyNumberFormat="1" applyFont="1" applyFill="1" applyBorder="1" applyAlignment="1">
      <alignment horizontal="center" vertical="center"/>
    </xf>
    <xf numFmtId="44" fontId="14" fillId="0" borderId="53" xfId="0" applyNumberFormat="1" applyFont="1" applyFill="1" applyBorder="1" applyAlignment="1">
      <alignment horizontal="center" vertical="center"/>
    </xf>
    <xf numFmtId="166" fontId="14" fillId="0" borderId="53" xfId="0" applyNumberFormat="1" applyFont="1" applyFill="1" applyBorder="1" applyAlignment="1">
      <alignment horizontal="center" vertical="center"/>
    </xf>
    <xf numFmtId="44" fontId="22" fillId="19" borderId="69" xfId="0" applyNumberFormat="1" applyFont="1" applyFill="1" applyBorder="1" applyAlignment="1">
      <alignment horizontal="center" vertical="center"/>
    </xf>
    <xf numFmtId="44" fontId="14" fillId="0" borderId="5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4" fontId="0" fillId="0" borderId="0" xfId="1" applyFont="1"/>
    <xf numFmtId="0" fontId="26" fillId="3" borderId="27" xfId="0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 wrapText="1"/>
    </xf>
    <xf numFmtId="0" fontId="27" fillId="3" borderId="28" xfId="0" applyFont="1" applyFill="1" applyBorder="1" applyAlignment="1">
      <alignment horizontal="center" vertical="center" wrapText="1"/>
    </xf>
    <xf numFmtId="0" fontId="27" fillId="3" borderId="71" xfId="0" applyFont="1" applyFill="1" applyBorder="1" applyAlignment="1">
      <alignment horizontal="center" vertical="center" wrapText="1"/>
    </xf>
    <xf numFmtId="18" fontId="0" fillId="0" borderId="0" xfId="0" applyNumberFormat="1" applyFont="1"/>
    <xf numFmtId="164" fontId="22" fillId="0" borderId="0" xfId="0" applyNumberFormat="1" applyFont="1"/>
    <xf numFmtId="44" fontId="20" fillId="5" borderId="1" xfId="1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14" fontId="1" fillId="19" borderId="0" xfId="0" applyNumberFormat="1" applyFont="1" applyFill="1" applyAlignment="1" applyProtection="1">
      <alignment horizontal="right"/>
      <protection locked="0"/>
    </xf>
    <xf numFmtId="0" fontId="0" fillId="19" borderId="0" xfId="0" applyFont="1" applyFill="1" applyAlignment="1" applyProtection="1">
      <alignment horizontal="right"/>
      <protection locked="0"/>
    </xf>
    <xf numFmtId="44" fontId="16" fillId="0" borderId="1" xfId="0" applyNumberFormat="1" applyFont="1" applyFill="1" applyBorder="1" applyAlignment="1">
      <alignment horizontal="right" vertical="center"/>
    </xf>
    <xf numFmtId="164" fontId="14" fillId="0" borderId="0" xfId="0" applyNumberFormat="1" applyFont="1"/>
    <xf numFmtId="8" fontId="19" fillId="5" borderId="1" xfId="0" applyNumberFormat="1" applyFont="1" applyFill="1" applyBorder="1" applyAlignment="1">
      <alignment horizontal="right" vertical="center"/>
    </xf>
    <xf numFmtId="44" fontId="19" fillId="5" borderId="1" xfId="0" applyNumberFormat="1" applyFont="1" applyFill="1" applyBorder="1" applyAlignment="1">
      <alignment horizontal="right" vertical="center"/>
    </xf>
    <xf numFmtId="8" fontId="16" fillId="0" borderId="1" xfId="0" applyNumberFormat="1" applyFont="1" applyFill="1" applyBorder="1" applyAlignment="1">
      <alignment horizontal="right" vertical="center"/>
    </xf>
    <xf numFmtId="0" fontId="0" fillId="0" borderId="0" xfId="0" applyFont="1"/>
    <xf numFmtId="0" fontId="14" fillId="0" borderId="0" xfId="0" applyFont="1"/>
    <xf numFmtId="0" fontId="14" fillId="0" borderId="0" xfId="0" quotePrefix="1" applyFont="1" applyAlignment="1">
      <alignment horizontal="center"/>
    </xf>
    <xf numFmtId="0" fontId="14" fillId="0" borderId="0" xfId="0" quotePrefix="1" applyFont="1"/>
    <xf numFmtId="8" fontId="16" fillId="0" borderId="1" xfId="0" applyNumberFormat="1" applyFont="1" applyBorder="1" applyAlignment="1">
      <alignment horizontal="right" vertical="center"/>
    </xf>
    <xf numFmtId="0" fontId="14" fillId="0" borderId="0" xfId="0" applyFont="1" applyAlignment="1">
      <alignment horizontal="center"/>
    </xf>
    <xf numFmtId="0" fontId="15" fillId="0" borderId="1" xfId="0" applyFont="1" applyBorder="1" applyAlignment="1">
      <alignment horizontal="center" wrapText="1"/>
    </xf>
    <xf numFmtId="164" fontId="14" fillId="0" borderId="0" xfId="0" applyNumberFormat="1" applyFont="1"/>
    <xf numFmtId="8" fontId="16" fillId="0" borderId="1" xfId="0" applyNumberFormat="1" applyFont="1" applyFill="1" applyBorder="1" applyAlignment="1">
      <alignment horizontal="right" vertical="center"/>
    </xf>
    <xf numFmtId="44" fontId="0" fillId="0" borderId="0" xfId="0" applyNumberFormat="1"/>
    <xf numFmtId="0" fontId="2" fillId="5" borderId="64" xfId="0" applyFont="1" applyFill="1" applyBorder="1" applyAlignment="1"/>
    <xf numFmtId="44" fontId="2" fillId="5" borderId="64" xfId="1" applyFont="1" applyFill="1" applyBorder="1" applyAlignment="1"/>
    <xf numFmtId="44" fontId="2" fillId="5" borderId="64" xfId="1" applyFont="1" applyFill="1" applyBorder="1" applyAlignment="1">
      <alignment horizontal="left"/>
    </xf>
    <xf numFmtId="44" fontId="2" fillId="5" borderId="72" xfId="1" applyFont="1" applyFill="1" applyBorder="1" applyAlignment="1">
      <alignment horizontal="right"/>
    </xf>
    <xf numFmtId="0" fontId="2" fillId="19" borderId="21" xfId="0" applyFont="1" applyFill="1" applyBorder="1" applyAlignment="1">
      <alignment horizontal="left" wrapText="1"/>
    </xf>
    <xf numFmtId="44" fontId="14" fillId="19" borderId="70" xfId="0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wrapText="1"/>
    </xf>
    <xf numFmtId="0" fontId="15" fillId="0" borderId="53" xfId="0" applyFont="1" applyBorder="1" applyAlignment="1">
      <alignment horizontal="center" wrapText="1"/>
    </xf>
    <xf numFmtId="0" fontId="15" fillId="0" borderId="54" xfId="0" applyFont="1" applyBorder="1" applyAlignment="1">
      <alignment horizontal="center" wrapText="1"/>
    </xf>
    <xf numFmtId="0" fontId="14" fillId="0" borderId="21" xfId="0" applyFont="1" applyBorder="1" applyAlignment="1">
      <alignment horizontal="center"/>
    </xf>
    <xf numFmtId="8" fontId="16" fillId="0" borderId="54" xfId="0" applyNumberFormat="1" applyFont="1" applyBorder="1" applyAlignment="1">
      <alignment horizontal="right" vertical="center"/>
    </xf>
    <xf numFmtId="0" fontId="14" fillId="0" borderId="22" xfId="0" applyFont="1" applyBorder="1"/>
    <xf numFmtId="0" fontId="14" fillId="0" borderId="20" xfId="0" quotePrefix="1" applyFont="1" applyBorder="1" applyAlignment="1">
      <alignment horizontal="center"/>
    </xf>
    <xf numFmtId="0" fontId="14" fillId="0" borderId="20" xfId="0" quotePrefix="1" applyFont="1" applyBorder="1"/>
    <xf numFmtId="0" fontId="14" fillId="0" borderId="46" xfId="0" quotePrefix="1" applyFont="1" applyBorder="1" applyAlignment="1">
      <alignment horizontal="center"/>
    </xf>
    <xf numFmtId="0" fontId="0" fillId="0" borderId="0" xfId="0"/>
    <xf numFmtId="44" fontId="0" fillId="0" borderId="0" xfId="1" applyFont="1"/>
    <xf numFmtId="44" fontId="0" fillId="0" borderId="0" xfId="0" applyNumberFormat="1"/>
    <xf numFmtId="44" fontId="51" fillId="0" borderId="0" xfId="0" applyNumberFormat="1" applyFont="1"/>
    <xf numFmtId="0" fontId="51" fillId="0" borderId="0" xfId="0" applyNumberFormat="1" applyFont="1"/>
    <xf numFmtId="0" fontId="2" fillId="0" borderId="39" xfId="0" applyFont="1" applyBorder="1"/>
    <xf numFmtId="0" fontId="2" fillId="0" borderId="23" xfId="0" applyFont="1" applyBorder="1"/>
    <xf numFmtId="44" fontId="2" fillId="0" borderId="23" xfId="0" applyNumberFormat="1" applyFont="1" applyBorder="1"/>
    <xf numFmtId="0" fontId="2" fillId="24" borderId="39" xfId="0" applyFont="1" applyFill="1" applyBorder="1"/>
    <xf numFmtId="0" fontId="2" fillId="24" borderId="23" xfId="0" applyFont="1" applyFill="1" applyBorder="1"/>
    <xf numFmtId="0" fontId="35" fillId="0" borderId="0" xfId="0" applyFont="1"/>
    <xf numFmtId="0" fontId="0" fillId="0" borderId="0" xfId="0" applyAlignment="1">
      <alignment horizontal="center" wrapText="1"/>
    </xf>
    <xf numFmtId="0" fontId="6" fillId="25" borderId="78" xfId="0" applyFont="1" applyFill="1" applyBorder="1" applyAlignment="1">
      <alignment horizontal="center" wrapText="1"/>
    </xf>
    <xf numFmtId="0" fontId="0" fillId="0" borderId="79" xfId="0" applyBorder="1"/>
    <xf numFmtId="44" fontId="51" fillId="0" borderId="76" xfId="1" applyFont="1" applyBorder="1"/>
    <xf numFmtId="44" fontId="2" fillId="0" borderId="76" xfId="1" applyFont="1" applyBorder="1"/>
    <xf numFmtId="44" fontId="2" fillId="0" borderId="0" xfId="1" applyFont="1" applyBorder="1"/>
    <xf numFmtId="0" fontId="1" fillId="0" borderId="76" xfId="0" applyNumberFormat="1" applyFont="1" applyBorder="1"/>
    <xf numFmtId="44" fontId="2" fillId="24" borderId="23" xfId="0" applyNumberFormat="1" applyFont="1" applyFill="1" applyBorder="1"/>
    <xf numFmtId="0" fontId="6" fillId="3" borderId="8" xfId="0" applyFont="1" applyFill="1" applyBorder="1" applyAlignment="1">
      <alignment horizontal="center" vertical="center" wrapText="1"/>
    </xf>
    <xf numFmtId="44" fontId="2" fillId="5" borderId="0" xfId="1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166" fontId="1" fillId="0" borderId="0" xfId="0" applyNumberFormat="1" applyFont="1" applyFill="1" applyBorder="1" applyAlignment="1">
      <alignment vertical="center"/>
    </xf>
    <xf numFmtId="44" fontId="8" fillId="26" borderId="46" xfId="1" applyFont="1" applyFill="1" applyBorder="1" applyAlignment="1">
      <alignment vertical="center"/>
    </xf>
    <xf numFmtId="166" fontId="2" fillId="26" borderId="20" xfId="0" applyNumberFormat="1" applyFont="1" applyFill="1" applyBorder="1" applyAlignment="1">
      <alignment vertical="center"/>
    </xf>
    <xf numFmtId="0" fontId="2" fillId="26" borderId="22" xfId="0" applyFont="1" applyFill="1" applyBorder="1" applyAlignment="1">
      <alignment horizontal="center" vertical="center" wrapText="1"/>
    </xf>
    <xf numFmtId="44" fontId="0" fillId="0" borderId="24" xfId="1" applyFont="1" applyFill="1" applyBorder="1" applyAlignment="1">
      <alignment vertical="center"/>
    </xf>
    <xf numFmtId="44" fontId="0" fillId="0" borderId="6" xfId="1" applyFont="1" applyFill="1" applyBorder="1" applyAlignment="1">
      <alignment vertical="center"/>
    </xf>
    <xf numFmtId="166" fontId="51" fillId="0" borderId="5" xfId="0" applyNumberFormat="1" applyFont="1" applyFill="1" applyBorder="1" applyAlignment="1">
      <alignment vertical="center"/>
    </xf>
    <xf numFmtId="166" fontId="1" fillId="0" borderId="5" xfId="0" applyNumberFormat="1" applyFont="1" applyFill="1" applyBorder="1" applyAlignment="1">
      <alignment vertical="center"/>
    </xf>
    <xf numFmtId="166" fontId="54" fillId="0" borderId="5" xfId="0" applyNumberFormat="1" applyFont="1" applyFill="1" applyBorder="1" applyAlignment="1">
      <alignment vertical="center"/>
    </xf>
    <xf numFmtId="4" fontId="14" fillId="0" borderId="5" xfId="0" applyNumberFormat="1" applyFont="1" applyBorder="1" applyAlignment="1">
      <alignment horizontal="left" vertical="top" wrapText="1"/>
    </xf>
    <xf numFmtId="166" fontId="54" fillId="0" borderId="0" xfId="0" applyNumberFormat="1" applyFont="1" applyFill="1" applyBorder="1" applyAlignment="1">
      <alignment vertical="center"/>
    </xf>
    <xf numFmtId="166" fontId="8" fillId="26" borderId="20" xfId="0" applyNumberFormat="1" applyFont="1" applyFill="1" applyBorder="1" applyAlignment="1">
      <alignment vertical="center"/>
    </xf>
    <xf numFmtId="166" fontId="2" fillId="26" borderId="0" xfId="0" applyNumberFormat="1" applyFont="1" applyFill="1" applyBorder="1" applyAlignment="1">
      <alignment vertical="center"/>
    </xf>
    <xf numFmtId="166" fontId="51" fillId="0" borderId="0" xfId="0" applyNumberFormat="1" applyFont="1" applyFill="1" applyBorder="1" applyAlignment="1">
      <alignment vertical="center"/>
    </xf>
    <xf numFmtId="0" fontId="6" fillId="3" borderId="80" xfId="0" applyFont="1" applyFill="1" applyBorder="1" applyAlignment="1">
      <alignment horizontal="center" vertical="center" wrapText="1"/>
    </xf>
    <xf numFmtId="4" fontId="14" fillId="0" borderId="0" xfId="0" applyNumberFormat="1" applyFont="1" applyBorder="1" applyAlignment="1">
      <alignment horizontal="left" wrapText="1"/>
    </xf>
    <xf numFmtId="0" fontId="0" fillId="0" borderId="0" xfId="0"/>
    <xf numFmtId="0" fontId="2" fillId="0" borderId="0" xfId="0" applyFont="1"/>
    <xf numFmtId="14" fontId="0" fillId="0" borderId="0" xfId="0" applyNumberFormat="1" applyFill="1" applyAlignment="1">
      <alignment wrapText="1"/>
    </xf>
    <xf numFmtId="4" fontId="14" fillId="0" borderId="5" xfId="0" applyNumberFormat="1" applyFont="1" applyBorder="1" applyAlignment="1">
      <alignment horizontal="left" wrapText="1"/>
    </xf>
    <xf numFmtId="0" fontId="2" fillId="26" borderId="39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wrapText="1"/>
      <protection locked="0"/>
    </xf>
    <xf numFmtId="4" fontId="22" fillId="26" borderId="20" xfId="0" applyNumberFormat="1" applyFont="1" applyFill="1" applyBorder="1" applyAlignment="1">
      <alignment horizontal="left" wrapText="1"/>
    </xf>
    <xf numFmtId="166" fontId="53" fillId="26" borderId="20" xfId="0" applyNumberFormat="1" applyFont="1" applyFill="1" applyBorder="1" applyAlignment="1">
      <alignment vertical="center"/>
    </xf>
    <xf numFmtId="4" fontId="22" fillId="0" borderId="0" xfId="0" applyNumberFormat="1" applyFont="1" applyAlignment="1">
      <alignment wrapText="1"/>
    </xf>
    <xf numFmtId="4" fontId="14" fillId="0" borderId="83" xfId="0" applyNumberFormat="1" applyFont="1" applyBorder="1" applyAlignment="1">
      <alignment horizontal="left" wrapText="1"/>
    </xf>
    <xf numFmtId="166" fontId="54" fillId="0" borderId="83" xfId="0" applyNumberFormat="1" applyFont="1" applyFill="1" applyBorder="1" applyAlignment="1">
      <alignment vertical="center"/>
    </xf>
    <xf numFmtId="166" fontId="1" fillId="0" borderId="83" xfId="0" applyNumberFormat="1" applyFont="1" applyFill="1" applyBorder="1" applyAlignment="1">
      <alignment vertical="center"/>
    </xf>
    <xf numFmtId="166" fontId="51" fillId="0" borderId="83" xfId="0" applyNumberFormat="1" applyFont="1" applyFill="1" applyBorder="1" applyAlignment="1">
      <alignment vertical="center"/>
    </xf>
    <xf numFmtId="166" fontId="0" fillId="0" borderId="83" xfId="0" applyNumberFormat="1" applyFont="1" applyFill="1" applyBorder="1" applyAlignment="1">
      <alignment vertical="center"/>
    </xf>
    <xf numFmtId="4" fontId="22" fillId="26" borderId="0" xfId="0" applyNumberFormat="1" applyFont="1" applyFill="1" applyBorder="1" applyAlignment="1">
      <alignment horizontal="left" wrapText="1"/>
    </xf>
    <xf numFmtId="166" fontId="53" fillId="26" borderId="0" xfId="0" applyNumberFormat="1" applyFont="1" applyFill="1" applyBorder="1" applyAlignment="1">
      <alignment vertical="center"/>
    </xf>
    <xf numFmtId="166" fontId="8" fillId="26" borderId="0" xfId="0" applyNumberFormat="1" applyFont="1" applyFill="1" applyBorder="1" applyAlignment="1">
      <alignment vertical="center"/>
    </xf>
    <xf numFmtId="44" fontId="8" fillId="26" borderId="24" xfId="1" applyFont="1" applyFill="1" applyBorder="1" applyAlignment="1">
      <alignment vertical="center"/>
    </xf>
    <xf numFmtId="166" fontId="0" fillId="0" borderId="5" xfId="0" applyNumberFormat="1" applyFont="1" applyFill="1" applyBorder="1" applyAlignment="1">
      <alignment vertical="center"/>
    </xf>
    <xf numFmtId="44" fontId="0" fillId="0" borderId="84" xfId="1" applyFont="1" applyFill="1" applyBorder="1" applyAlignment="1">
      <alignment vertical="center"/>
    </xf>
    <xf numFmtId="0" fontId="2" fillId="26" borderId="21" xfId="0" applyFont="1" applyFill="1" applyBorder="1" applyAlignment="1">
      <alignment horizontal="center" vertical="center" wrapText="1"/>
    </xf>
    <xf numFmtId="166" fontId="56" fillId="0" borderId="83" xfId="0" applyNumberFormat="1" applyFont="1" applyFill="1" applyBorder="1" applyAlignment="1">
      <alignment vertical="center"/>
    </xf>
    <xf numFmtId="44" fontId="51" fillId="0" borderId="84" xfId="1" applyFont="1" applyFill="1" applyBorder="1" applyAlignment="1">
      <alignment vertical="center"/>
    </xf>
    <xf numFmtId="0" fontId="2" fillId="0" borderId="85" xfId="0" applyFont="1" applyFill="1" applyBorder="1" applyAlignment="1">
      <alignment horizontal="center" vertical="center" wrapText="1"/>
    </xf>
    <xf numFmtId="4" fontId="14" fillId="0" borderId="87" xfId="0" applyNumberFormat="1" applyFont="1" applyBorder="1" applyAlignment="1">
      <alignment horizontal="left" wrapText="1"/>
    </xf>
    <xf numFmtId="166" fontId="54" fillId="0" borderId="87" xfId="0" applyNumberFormat="1" applyFont="1" applyFill="1" applyBorder="1" applyAlignment="1">
      <alignment vertical="center"/>
    </xf>
    <xf numFmtId="166" fontId="1" fillId="0" borderId="87" xfId="0" applyNumberFormat="1" applyFont="1" applyFill="1" applyBorder="1" applyAlignment="1">
      <alignment vertical="center"/>
    </xf>
    <xf numFmtId="166" fontId="51" fillId="0" borderId="87" xfId="0" applyNumberFormat="1" applyFont="1" applyFill="1" applyBorder="1" applyAlignment="1">
      <alignment vertical="center"/>
    </xf>
    <xf numFmtId="44" fontId="0" fillId="0" borderId="88" xfId="1" applyFont="1" applyFill="1" applyBorder="1" applyAlignment="1">
      <alignment vertical="center"/>
    </xf>
    <xf numFmtId="0" fontId="35" fillId="0" borderId="0" xfId="0" applyFont="1" applyAlignment="1" applyProtection="1">
      <alignment wrapText="1"/>
      <protection locked="0"/>
    </xf>
    <xf numFmtId="0" fontId="8" fillId="19" borderId="81" xfId="0" applyFont="1" applyFill="1" applyBorder="1" applyAlignment="1">
      <alignment horizontal="left" wrapText="1"/>
    </xf>
    <xf numFmtId="0" fontId="8" fillId="19" borderId="0" xfId="0" applyFont="1" applyFill="1" applyAlignment="1">
      <alignment horizontal="left" wrapText="1"/>
    </xf>
    <xf numFmtId="166" fontId="57" fillId="19" borderId="0" xfId="0" applyNumberFormat="1" applyFont="1" applyFill="1" applyAlignment="1">
      <alignment vertical="center"/>
    </xf>
    <xf numFmtId="166" fontId="8" fillId="19" borderId="0" xfId="0" applyNumberFormat="1" applyFont="1" applyFill="1" applyAlignment="1">
      <alignment vertical="center"/>
    </xf>
    <xf numFmtId="44" fontId="8" fillId="19" borderId="0" xfId="0" applyNumberFormat="1" applyFont="1" applyFill="1"/>
    <xf numFmtId="44" fontId="14" fillId="0" borderId="0" xfId="1" applyFont="1"/>
    <xf numFmtId="44" fontId="22" fillId="0" borderId="0" xfId="1" applyFont="1"/>
    <xf numFmtId="44" fontId="22" fillId="0" borderId="0" xfId="0" applyNumberFormat="1" applyFont="1"/>
    <xf numFmtId="0" fontId="14" fillId="0" borderId="0" xfId="0" applyFont="1" applyAlignment="1">
      <alignment horizontal="center" vertical="center"/>
    </xf>
    <xf numFmtId="0" fontId="22" fillId="9" borderId="0" xfId="0" applyFont="1" applyFill="1" applyBorder="1" applyAlignment="1">
      <alignment vertical="center" wrapText="1"/>
    </xf>
    <xf numFmtId="0" fontId="27" fillId="3" borderId="64" xfId="0" applyFont="1" applyFill="1" applyBorder="1" applyAlignment="1">
      <alignment horizontal="center" vertical="center" wrapText="1"/>
    </xf>
    <xf numFmtId="0" fontId="27" fillId="3" borderId="72" xfId="0" applyFont="1" applyFill="1" applyBorder="1" applyAlignment="1">
      <alignment horizontal="center" vertical="center" wrapText="1"/>
    </xf>
    <xf numFmtId="0" fontId="27" fillId="3" borderId="34" xfId="0" applyFont="1" applyFill="1" applyBorder="1" applyAlignment="1">
      <alignment horizontal="center" vertical="center" wrapText="1"/>
    </xf>
    <xf numFmtId="0" fontId="27" fillId="3" borderId="89" xfId="0" applyFont="1" applyFill="1" applyBorder="1" applyAlignment="1">
      <alignment horizontal="center" vertical="center" wrapText="1"/>
    </xf>
    <xf numFmtId="166" fontId="0" fillId="19" borderId="90" xfId="0" applyNumberFormat="1" applyFont="1" applyFill="1" applyBorder="1" applyAlignment="1">
      <alignment vertical="center"/>
    </xf>
    <xf numFmtId="166" fontId="0" fillId="19" borderId="47" xfId="0" applyNumberFormat="1" applyFont="1" applyFill="1" applyBorder="1" applyAlignment="1">
      <alignment vertical="center"/>
    </xf>
    <xf numFmtId="0" fontId="27" fillId="9" borderId="79" xfId="0" applyFont="1" applyFill="1" applyBorder="1" applyAlignment="1">
      <alignment vertical="center" wrapText="1"/>
    </xf>
    <xf numFmtId="44" fontId="14" fillId="0" borderId="28" xfId="0" applyNumberFormat="1" applyFont="1" applyFill="1" applyBorder="1" applyAlignment="1">
      <alignment horizontal="center" vertical="center"/>
    </xf>
    <xf numFmtId="44" fontId="14" fillId="0" borderId="3" xfId="0" applyNumberFormat="1" applyFont="1" applyFill="1" applyBorder="1" applyAlignment="1">
      <alignment horizontal="center" vertical="center"/>
    </xf>
    <xf numFmtId="44" fontId="14" fillId="0" borderId="56" xfId="0" applyNumberFormat="1" applyFont="1" applyFill="1" applyBorder="1" applyAlignment="1">
      <alignment horizontal="center" vertical="center"/>
    </xf>
    <xf numFmtId="44" fontId="14" fillId="0" borderId="57" xfId="0" applyNumberFormat="1" applyFont="1" applyFill="1" applyBorder="1" applyAlignment="1">
      <alignment horizontal="center" vertical="center"/>
    </xf>
    <xf numFmtId="0" fontId="27" fillId="9" borderId="39" xfId="0" applyFont="1" applyFill="1" applyBorder="1" applyAlignment="1">
      <alignment horizontal="center" vertical="center" wrapText="1"/>
    </xf>
    <xf numFmtId="44" fontId="14" fillId="0" borderId="74" xfId="0" applyNumberFormat="1" applyFont="1" applyFill="1" applyBorder="1" applyAlignment="1">
      <alignment horizontal="center" vertical="center"/>
    </xf>
    <xf numFmtId="44" fontId="14" fillId="0" borderId="91" xfId="0" applyNumberFormat="1" applyFont="1" applyFill="1" applyBorder="1" applyAlignment="1">
      <alignment horizontal="center" vertical="center"/>
    </xf>
    <xf numFmtId="44" fontId="55" fillId="0" borderId="56" xfId="0" applyNumberFormat="1" applyFont="1" applyFill="1" applyBorder="1" applyAlignment="1">
      <alignment horizontal="center" vertical="center"/>
    </xf>
    <xf numFmtId="166" fontId="1" fillId="0" borderId="71" xfId="0" applyNumberFormat="1" applyFont="1" applyFill="1" applyBorder="1" applyAlignment="1">
      <alignment vertical="center" wrapText="1"/>
    </xf>
    <xf numFmtId="4" fontId="0" fillId="0" borderId="10" xfId="0" applyNumberFormat="1" applyFont="1" applyBorder="1" applyAlignment="1">
      <alignment horizontal="left" wrapText="1"/>
    </xf>
    <xf numFmtId="166" fontId="1" fillId="0" borderId="92" xfId="0" applyNumberFormat="1" applyFont="1" applyFill="1" applyBorder="1" applyAlignment="1">
      <alignment vertical="center" wrapText="1"/>
    </xf>
    <xf numFmtId="4" fontId="0" fillId="0" borderId="71" xfId="0" applyNumberFormat="1" applyFont="1" applyBorder="1" applyAlignment="1">
      <alignment horizontal="left" wrapText="1"/>
    </xf>
    <xf numFmtId="4" fontId="0" fillId="0" borderId="93" xfId="0" applyNumberFormat="1" applyFont="1" applyBorder="1" applyAlignment="1">
      <alignment horizontal="left" wrapText="1"/>
    </xf>
    <xf numFmtId="4" fontId="0" fillId="0" borderId="92" xfId="0" applyNumberFormat="1" applyFont="1" applyBorder="1" applyAlignment="1">
      <alignment horizontal="left" wrapText="1"/>
    </xf>
    <xf numFmtId="166" fontId="1" fillId="0" borderId="2" xfId="0" applyNumberFormat="1" applyFont="1" applyFill="1" applyBorder="1" applyAlignment="1">
      <alignment vertical="center"/>
    </xf>
    <xf numFmtId="166" fontId="1" fillId="0" borderId="53" xfId="0" applyNumberFormat="1" applyFont="1" applyFill="1" applyBorder="1" applyAlignment="1">
      <alignment vertical="center"/>
    </xf>
    <xf numFmtId="166" fontId="1" fillId="0" borderId="55" xfId="0" applyNumberFormat="1" applyFont="1" applyFill="1" applyBorder="1" applyAlignment="1">
      <alignment vertical="center"/>
    </xf>
    <xf numFmtId="166" fontId="1" fillId="0" borderId="97" xfId="0" applyNumberFormat="1" applyFont="1" applyFill="1" applyBorder="1" applyAlignment="1">
      <alignment vertical="center"/>
    </xf>
    <xf numFmtId="0" fontId="27" fillId="3" borderId="98" xfId="0" applyFont="1" applyFill="1" applyBorder="1" applyAlignment="1">
      <alignment horizontal="center" vertical="center" wrapText="1"/>
    </xf>
    <xf numFmtId="166" fontId="14" fillId="0" borderId="94" xfId="0" applyNumberFormat="1" applyFont="1" applyFill="1" applyBorder="1" applyAlignment="1">
      <alignment horizontal="center" vertical="center"/>
    </xf>
    <xf numFmtId="166" fontId="14" fillId="0" borderId="7" xfId="0" applyNumberFormat="1" applyFont="1" applyFill="1" applyBorder="1" applyAlignment="1">
      <alignment horizontal="center" vertical="center"/>
    </xf>
    <xf numFmtId="166" fontId="14" fillId="0" borderId="95" xfId="0" applyNumberFormat="1" applyFont="1" applyFill="1" applyBorder="1" applyAlignment="1">
      <alignment horizontal="center" vertical="center"/>
    </xf>
    <xf numFmtId="166" fontId="14" fillId="0" borderId="96" xfId="0" applyNumberFormat="1" applyFont="1" applyFill="1" applyBorder="1" applyAlignment="1">
      <alignment horizontal="center" vertical="center"/>
    </xf>
    <xf numFmtId="166" fontId="14" fillId="19" borderId="99" xfId="0" applyNumberFormat="1" applyFont="1" applyFill="1" applyBorder="1" applyAlignment="1">
      <alignment horizontal="center" vertical="center"/>
    </xf>
    <xf numFmtId="44" fontId="14" fillId="0" borderId="2" xfId="0" applyNumberFormat="1" applyFont="1" applyFill="1" applyBorder="1" applyAlignment="1">
      <alignment horizontal="center" vertical="center"/>
    </xf>
    <xf numFmtId="44" fontId="14" fillId="0" borderId="55" xfId="0" applyNumberFormat="1" applyFont="1" applyFill="1" applyBorder="1" applyAlignment="1">
      <alignment horizontal="center" vertical="center"/>
    </xf>
    <xf numFmtId="44" fontId="14" fillId="0" borderId="97" xfId="0" applyNumberFormat="1" applyFont="1" applyFill="1" applyBorder="1" applyAlignment="1">
      <alignment horizontal="center" vertical="center"/>
    </xf>
    <xf numFmtId="44" fontId="55" fillId="0" borderId="55" xfId="0" applyNumberFormat="1" applyFont="1" applyFill="1" applyBorder="1" applyAlignment="1">
      <alignment horizontal="center" vertical="center"/>
    </xf>
    <xf numFmtId="44" fontId="55" fillId="0" borderId="57" xfId="0" applyNumberFormat="1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 wrapText="1"/>
    </xf>
    <xf numFmtId="0" fontId="11" fillId="25" borderId="77" xfId="0" applyFont="1" applyFill="1" applyBorder="1" applyAlignment="1">
      <alignment wrapText="1"/>
    </xf>
    <xf numFmtId="0" fontId="11" fillId="3" borderId="0" xfId="0" applyFont="1" applyFill="1" applyAlignment="1">
      <alignment vertical="center" wrapText="1"/>
    </xf>
    <xf numFmtId="0" fontId="0" fillId="0" borderId="0" xfId="0" applyFont="1" applyBorder="1" applyAlignment="1" applyProtection="1">
      <alignment horizontal="center" vertical="center" wrapText="1"/>
      <protection locked="0"/>
    </xf>
    <xf numFmtId="4" fontId="0" fillId="0" borderId="0" xfId="0" applyNumberFormat="1" applyFont="1" applyBorder="1" applyAlignment="1">
      <alignment horizontal="left" wrapText="1"/>
    </xf>
    <xf numFmtId="0" fontId="0" fillId="0" borderId="0" xfId="0" applyFill="1" applyBorder="1" applyAlignment="1">
      <alignment horizontal="center"/>
    </xf>
    <xf numFmtId="166" fontId="4" fillId="0" borderId="0" xfId="1" applyNumberFormat="1" applyFont="1" applyFill="1" applyBorder="1" applyAlignment="1">
      <alignment horizontal="center" vertical="center"/>
    </xf>
    <xf numFmtId="0" fontId="0" fillId="0" borderId="42" xfId="0" applyFill="1" applyBorder="1"/>
    <xf numFmtId="4" fontId="0" fillId="0" borderId="42" xfId="0" applyNumberFormat="1" applyFont="1" applyBorder="1" applyAlignment="1">
      <alignment horizontal="left" wrapText="1"/>
    </xf>
    <xf numFmtId="44" fontId="0" fillId="0" borderId="42" xfId="1" applyFont="1" applyFill="1" applyBorder="1"/>
    <xf numFmtId="4" fontId="0" fillId="0" borderId="101" xfId="0" applyNumberFormat="1" applyFont="1" applyBorder="1" applyAlignment="1">
      <alignment horizontal="left" vertical="top" wrapText="1"/>
    </xf>
    <xf numFmtId="0" fontId="0" fillId="0" borderId="101" xfId="0" applyFill="1" applyBorder="1"/>
    <xf numFmtId="0" fontId="0" fillId="0" borderId="102" xfId="0" applyFill="1" applyBorder="1"/>
    <xf numFmtId="0" fontId="0" fillId="0" borderId="104" xfId="0" applyFill="1" applyBorder="1"/>
    <xf numFmtId="4" fontId="0" fillId="0" borderId="106" xfId="0" applyNumberFormat="1" applyFont="1" applyBorder="1" applyAlignment="1">
      <alignment horizontal="left" wrapText="1"/>
    </xf>
    <xf numFmtId="4" fontId="4" fillId="0" borderId="106" xfId="0" applyNumberFormat="1" applyFont="1" applyBorder="1" applyAlignment="1">
      <alignment horizontal="center" vertical="center"/>
    </xf>
    <xf numFmtId="0" fontId="0" fillId="0" borderId="106" xfId="0" applyFill="1" applyBorder="1" applyAlignment="1">
      <alignment horizontal="center"/>
    </xf>
    <xf numFmtId="44" fontId="4" fillId="0" borderId="106" xfId="1" applyFont="1" applyFill="1" applyBorder="1" applyAlignment="1">
      <alignment horizontal="center" vertical="center"/>
    </xf>
    <xf numFmtId="44" fontId="4" fillId="0" borderId="107" xfId="1" applyFont="1" applyFill="1" applyBorder="1" applyAlignment="1">
      <alignment horizontal="center" vertical="center"/>
    </xf>
    <xf numFmtId="0" fontId="0" fillId="0" borderId="108" xfId="0" applyFill="1" applyBorder="1"/>
    <xf numFmtId="44" fontId="14" fillId="0" borderId="109" xfId="1" applyFont="1" applyFill="1" applyBorder="1"/>
    <xf numFmtId="0" fontId="0" fillId="0" borderId="110" xfId="0" applyBorder="1"/>
    <xf numFmtId="0" fontId="11" fillId="3" borderId="113" xfId="0" applyFont="1" applyFill="1" applyBorder="1" applyAlignment="1">
      <alignment horizontal="center" vertical="center" wrapText="1"/>
    </xf>
    <xf numFmtId="0" fontId="11" fillId="3" borderId="114" xfId="0" applyFont="1" applyFill="1" applyBorder="1" applyAlignment="1">
      <alignment horizontal="center" vertical="center" wrapText="1"/>
    </xf>
    <xf numFmtId="0" fontId="11" fillId="3" borderId="115" xfId="0" applyFont="1" applyFill="1" applyBorder="1" applyAlignment="1">
      <alignment horizontal="center" vertical="center" wrapText="1"/>
    </xf>
    <xf numFmtId="0" fontId="0" fillId="0" borderId="100" xfId="0" applyFill="1" applyBorder="1"/>
    <xf numFmtId="2" fontId="0" fillId="0" borderId="103" xfId="0" applyNumberFormat="1" applyFill="1" applyBorder="1" applyAlignment="1">
      <alignment horizontal="center"/>
    </xf>
    <xf numFmtId="0" fontId="0" fillId="0" borderId="105" xfId="0" applyFill="1" applyBorder="1" applyAlignment="1">
      <alignment horizontal="center"/>
    </xf>
    <xf numFmtId="4" fontId="4" fillId="0" borderId="107" xfId="0" applyNumberFormat="1" applyFont="1" applyBorder="1" applyAlignment="1">
      <alignment horizontal="center" vertical="center"/>
    </xf>
    <xf numFmtId="4" fontId="4" fillId="0" borderId="117" xfId="0" applyNumberFormat="1" applyFont="1" applyBorder="1" applyAlignment="1">
      <alignment horizontal="center" vertical="center"/>
    </xf>
    <xf numFmtId="4" fontId="4" fillId="0" borderId="118" xfId="0" applyNumberFormat="1" applyFont="1" applyBorder="1" applyAlignment="1">
      <alignment horizontal="center" vertical="center"/>
    </xf>
    <xf numFmtId="4" fontId="4" fillId="0" borderId="112" xfId="0" applyNumberFormat="1" applyFont="1" applyFill="1" applyBorder="1" applyAlignment="1">
      <alignment horizontal="center" vertical="center"/>
    </xf>
    <xf numFmtId="0" fontId="0" fillId="0" borderId="103" xfId="0" applyFill="1" applyBorder="1"/>
    <xf numFmtId="4" fontId="4" fillId="0" borderId="105" xfId="0" applyNumberFormat="1" applyFont="1" applyFill="1" applyBorder="1" applyAlignment="1">
      <alignment horizontal="center" vertical="center"/>
    </xf>
    <xf numFmtId="166" fontId="0" fillId="0" borderId="109" xfId="0" applyNumberFormat="1" applyFill="1" applyBorder="1"/>
    <xf numFmtId="4" fontId="4" fillId="0" borderId="110" xfId="0" applyNumberFormat="1" applyFont="1" applyBorder="1" applyAlignment="1">
      <alignment horizontal="center" vertical="center"/>
    </xf>
    <xf numFmtId="4" fontId="0" fillId="0" borderId="101" xfId="0" applyNumberFormat="1" applyFont="1" applyBorder="1" applyAlignment="1">
      <alignment horizontal="left" wrapText="1"/>
    </xf>
    <xf numFmtId="44" fontId="4" fillId="0" borderId="101" xfId="1" applyFont="1" applyFill="1" applyBorder="1" applyAlignment="1">
      <alignment horizontal="center" vertical="center"/>
    </xf>
    <xf numFmtId="0" fontId="2" fillId="0" borderId="101" xfId="0" applyFont="1" applyBorder="1"/>
    <xf numFmtId="0" fontId="2" fillId="0" borderId="102" xfId="0" applyFont="1" applyBorder="1"/>
    <xf numFmtId="166" fontId="4" fillId="0" borderId="107" xfId="0" applyNumberFormat="1" applyFont="1" applyBorder="1" applyAlignment="1">
      <alignment horizontal="right" vertical="center"/>
    </xf>
    <xf numFmtId="4" fontId="0" fillId="0" borderId="121" xfId="0" applyNumberFormat="1" applyFont="1" applyBorder="1" applyAlignment="1">
      <alignment horizontal="left" wrapText="1"/>
    </xf>
    <xf numFmtId="0" fontId="0" fillId="0" borderId="122" xfId="0" applyBorder="1"/>
    <xf numFmtId="171" fontId="0" fillId="5" borderId="0" xfId="0" applyNumberFormat="1" applyFill="1" applyBorder="1" applyAlignment="1">
      <alignment wrapText="1"/>
    </xf>
    <xf numFmtId="171" fontId="4" fillId="0" borderId="123" xfId="0" applyNumberFormat="1" applyFont="1" applyBorder="1" applyAlignment="1">
      <alignment horizontal="right" vertical="center"/>
    </xf>
    <xf numFmtId="171" fontId="2" fillId="19" borderId="0" xfId="0" applyNumberFormat="1" applyFont="1" applyFill="1" applyBorder="1" applyAlignment="1">
      <alignment horizontal="center"/>
    </xf>
    <xf numFmtId="0" fontId="0" fillId="0" borderId="120" xfId="0" applyFont="1" applyBorder="1" applyAlignment="1" applyProtection="1">
      <alignment horizontal="center" vertical="center"/>
      <protection locked="0"/>
    </xf>
    <xf numFmtId="166" fontId="4" fillId="0" borderId="102" xfId="0" applyNumberFormat="1" applyFont="1" applyBorder="1" applyAlignment="1">
      <alignment horizontal="right" vertical="center"/>
    </xf>
    <xf numFmtId="166" fontId="4" fillId="0" borderId="106" xfId="0" applyNumberFormat="1" applyFont="1" applyBorder="1" applyAlignment="1">
      <alignment horizontal="right" vertical="center"/>
    </xf>
    <xf numFmtId="166" fontId="4" fillId="0" borderId="124" xfId="0" applyNumberFormat="1" applyFont="1" applyBorder="1" applyAlignment="1">
      <alignment horizontal="right" vertical="center"/>
    </xf>
    <xf numFmtId="0" fontId="11" fillId="3" borderId="120" xfId="0" applyFont="1" applyFill="1" applyBorder="1" applyAlignment="1">
      <alignment horizontal="center" vertical="center" wrapText="1"/>
    </xf>
    <xf numFmtId="0" fontId="11" fillId="3" borderId="125" xfId="0" applyFont="1" applyFill="1" applyBorder="1" applyAlignment="1">
      <alignment horizontal="center" vertical="center" wrapText="1"/>
    </xf>
    <xf numFmtId="0" fontId="11" fillId="3" borderId="123" xfId="0" applyFont="1" applyFill="1" applyBorder="1" applyAlignment="1">
      <alignment horizontal="center" vertical="center" wrapText="1"/>
    </xf>
    <xf numFmtId="4" fontId="4" fillId="0" borderId="100" xfId="0" applyNumberFormat="1" applyFont="1" applyBorder="1" applyAlignment="1">
      <alignment horizontal="center" vertical="center"/>
    </xf>
    <xf numFmtId="4" fontId="4" fillId="0" borderId="105" xfId="0" applyNumberFormat="1" applyFont="1" applyBorder="1" applyAlignment="1">
      <alignment horizontal="center" vertical="center"/>
    </xf>
    <xf numFmtId="0" fontId="0" fillId="0" borderId="108" xfId="0" applyBorder="1"/>
    <xf numFmtId="166" fontId="4" fillId="0" borderId="111" xfId="0" applyNumberFormat="1" applyFont="1" applyBorder="1" applyAlignment="1">
      <alignment horizontal="right" vertical="center"/>
    </xf>
    <xf numFmtId="2" fontId="4" fillId="0" borderId="126" xfId="0" applyNumberFormat="1" applyFont="1" applyBorder="1" applyAlignment="1">
      <alignment horizontal="right" vertical="center"/>
    </xf>
    <xf numFmtId="166" fontId="4" fillId="0" borderId="127" xfId="0" applyNumberFormat="1" applyFont="1" applyBorder="1" applyAlignment="1">
      <alignment horizontal="right" vertical="center"/>
    </xf>
    <xf numFmtId="2" fontId="4" fillId="0" borderId="112" xfId="0" applyNumberFormat="1" applyFont="1" applyBorder="1" applyAlignment="1">
      <alignment horizontal="right" vertical="center"/>
    </xf>
    <xf numFmtId="166" fontId="4" fillId="0" borderId="128" xfId="0" applyNumberFormat="1" applyFont="1" applyBorder="1" applyAlignment="1">
      <alignment horizontal="right" vertical="center"/>
    </xf>
    <xf numFmtId="166" fontId="4" fillId="17" borderId="101" xfId="0" applyNumberFormat="1" applyFont="1" applyFill="1" applyBorder="1" applyAlignment="1">
      <alignment horizontal="right" vertical="center"/>
    </xf>
    <xf numFmtId="166" fontId="4" fillId="17" borderId="102" xfId="0" applyNumberFormat="1" applyFont="1" applyFill="1" applyBorder="1" applyAlignment="1">
      <alignment horizontal="right" vertical="center"/>
    </xf>
    <xf numFmtId="166" fontId="4" fillId="17" borderId="106" xfId="0" applyNumberFormat="1" applyFont="1" applyFill="1" applyBorder="1" applyAlignment="1">
      <alignment horizontal="right" vertical="center"/>
    </xf>
    <xf numFmtId="166" fontId="4" fillId="17" borderId="107" xfId="0" applyNumberFormat="1" applyFont="1" applyFill="1" applyBorder="1" applyAlignment="1">
      <alignment horizontal="right" vertical="center"/>
    </xf>
    <xf numFmtId="2" fontId="4" fillId="17" borderId="100" xfId="0" applyNumberFormat="1" applyFont="1" applyFill="1" applyBorder="1" applyAlignment="1">
      <alignment horizontal="center" vertical="center"/>
    </xf>
    <xf numFmtId="2" fontId="4" fillId="17" borderId="105" xfId="0" applyNumberFormat="1" applyFont="1" applyFill="1" applyBorder="1" applyAlignment="1">
      <alignment horizontal="center" vertical="center"/>
    </xf>
    <xf numFmtId="166" fontId="4" fillId="17" borderId="111" xfId="0" applyNumberFormat="1" applyFont="1" applyFill="1" applyBorder="1" applyAlignment="1">
      <alignment horizontal="right" vertical="center"/>
    </xf>
    <xf numFmtId="2" fontId="4" fillId="17" borderId="112" xfId="0" applyNumberFormat="1" applyFont="1" applyFill="1" applyBorder="1" applyAlignment="1">
      <alignment horizontal="right" vertical="center"/>
    </xf>
    <xf numFmtId="0" fontId="0" fillId="0" borderId="129" xfId="0" applyBorder="1" applyAlignment="1">
      <alignment wrapText="1"/>
    </xf>
    <xf numFmtId="0" fontId="0" fillId="5" borderId="130" xfId="0" applyFill="1" applyBorder="1" applyAlignment="1">
      <alignment wrapText="1"/>
    </xf>
    <xf numFmtId="0" fontId="0" fillId="0" borderId="0" xfId="0" applyFill="1" applyBorder="1" applyAlignment="1">
      <alignment horizontal="left"/>
    </xf>
    <xf numFmtId="0" fontId="0" fillId="5" borderId="130" xfId="0" applyFill="1" applyBorder="1" applyAlignment="1">
      <alignment horizontal="left"/>
    </xf>
    <xf numFmtId="0" fontId="11" fillId="3" borderId="131" xfId="0" applyFont="1" applyFill="1" applyBorder="1" applyAlignment="1">
      <alignment vertical="center" wrapText="1"/>
    </xf>
    <xf numFmtId="166" fontId="2" fillId="5" borderId="0" xfId="0" applyNumberFormat="1" applyFont="1" applyFill="1" applyBorder="1" applyAlignment="1">
      <alignment wrapText="1"/>
    </xf>
    <xf numFmtId="0" fontId="2" fillId="5" borderId="0" xfId="0" applyFont="1" applyFill="1" applyBorder="1" applyAlignment="1">
      <alignment wrapText="1"/>
    </xf>
    <xf numFmtId="166" fontId="5" fillId="9" borderId="0" xfId="0" applyNumberFormat="1" applyFont="1" applyFill="1" applyBorder="1" applyAlignment="1">
      <alignment horizontal="center"/>
    </xf>
    <xf numFmtId="166" fontId="5" fillId="19" borderId="0" xfId="0" applyNumberFormat="1" applyFont="1" applyFill="1" applyBorder="1" applyAlignment="1">
      <alignment horizontal="center"/>
    </xf>
    <xf numFmtId="4" fontId="5" fillId="19" borderId="0" xfId="0" applyNumberFormat="1" applyFont="1" applyFill="1" applyBorder="1" applyAlignment="1">
      <alignment horizontal="center" vertical="center"/>
    </xf>
    <xf numFmtId="166" fontId="4" fillId="0" borderId="116" xfId="1" applyNumberFormat="1" applyFont="1" applyBorder="1" applyAlignment="1">
      <alignment horizontal="right" vertical="center"/>
    </xf>
    <xf numFmtId="171" fontId="2" fillId="5" borderId="0" xfId="0" applyNumberFormat="1" applyFont="1" applyFill="1" applyBorder="1" applyAlignment="1">
      <alignment wrapText="1"/>
    </xf>
    <xf numFmtId="166" fontId="1" fillId="0" borderId="0" xfId="0" applyNumberFormat="1" applyFont="1"/>
    <xf numFmtId="166" fontId="4" fillId="0" borderId="107" xfId="1" applyNumberFormat="1" applyFont="1" applyFill="1" applyBorder="1" applyAlignment="1">
      <alignment horizontal="right" vertical="center"/>
    </xf>
    <xf numFmtId="0" fontId="11" fillId="27" borderId="0" xfId="0" applyFont="1" applyFill="1" applyAlignment="1">
      <alignment vertical="center" wrapText="1"/>
    </xf>
    <xf numFmtId="0" fontId="11" fillId="27" borderId="113" xfId="0" applyFont="1" applyFill="1" applyBorder="1" applyAlignment="1">
      <alignment horizontal="center" vertical="center" wrapText="1"/>
    </xf>
    <xf numFmtId="0" fontId="11" fillId="27" borderId="114" xfId="0" applyFont="1" applyFill="1" applyBorder="1" applyAlignment="1">
      <alignment horizontal="center" vertical="center" wrapText="1"/>
    </xf>
    <xf numFmtId="0" fontId="11" fillId="27" borderId="115" xfId="0" applyFont="1" applyFill="1" applyBorder="1" applyAlignment="1">
      <alignment horizontal="center" vertical="center" wrapText="1"/>
    </xf>
    <xf numFmtId="0" fontId="11" fillId="27" borderId="5" xfId="0" applyFont="1" applyFill="1" applyBorder="1" applyAlignment="1">
      <alignment horizontal="center" vertical="center" wrapText="1"/>
    </xf>
    <xf numFmtId="0" fontId="11" fillId="27" borderId="6" xfId="0" applyFont="1" applyFill="1" applyBorder="1" applyAlignment="1">
      <alignment horizontal="center" vertical="center" wrapText="1"/>
    </xf>
    <xf numFmtId="0" fontId="11" fillId="27" borderId="4" xfId="0" applyFont="1" applyFill="1" applyBorder="1" applyAlignment="1">
      <alignment horizontal="center" vertical="center" wrapText="1"/>
    </xf>
    <xf numFmtId="0" fontId="11" fillId="27" borderId="120" xfId="0" applyFont="1" applyFill="1" applyBorder="1" applyAlignment="1">
      <alignment horizontal="center" vertical="center" wrapText="1"/>
    </xf>
    <xf numFmtId="0" fontId="11" fillId="27" borderId="125" xfId="0" applyFont="1" applyFill="1" applyBorder="1" applyAlignment="1">
      <alignment horizontal="center" vertical="center" wrapText="1"/>
    </xf>
    <xf numFmtId="0" fontId="11" fillId="27" borderId="123" xfId="0" applyFont="1" applyFill="1" applyBorder="1" applyAlignment="1">
      <alignment horizontal="center" vertical="center" wrapText="1"/>
    </xf>
    <xf numFmtId="0" fontId="58" fillId="3" borderId="0" xfId="0" applyFont="1" applyFill="1" applyAlignment="1">
      <alignment vertical="center" wrapText="1"/>
    </xf>
    <xf numFmtId="0" fontId="11" fillId="28" borderId="0" xfId="0" applyFont="1" applyFill="1" applyAlignment="1">
      <alignment vertical="center" wrapText="1"/>
    </xf>
    <xf numFmtId="0" fontId="11" fillId="28" borderId="113" xfId="0" applyFont="1" applyFill="1" applyBorder="1" applyAlignment="1">
      <alignment horizontal="center" vertical="center" wrapText="1"/>
    </xf>
    <xf numFmtId="0" fontId="11" fillId="28" borderId="114" xfId="0" applyFont="1" applyFill="1" applyBorder="1" applyAlignment="1">
      <alignment horizontal="center" vertical="center" wrapText="1"/>
    </xf>
    <xf numFmtId="0" fontId="11" fillId="28" borderId="115" xfId="0" applyFont="1" applyFill="1" applyBorder="1" applyAlignment="1">
      <alignment horizontal="center" vertical="center" wrapText="1"/>
    </xf>
    <xf numFmtId="0" fontId="11" fillId="28" borderId="5" xfId="0" applyFont="1" applyFill="1" applyBorder="1" applyAlignment="1">
      <alignment horizontal="center" vertical="center" wrapText="1"/>
    </xf>
    <xf numFmtId="0" fontId="11" fillId="28" borderId="6" xfId="0" applyFont="1" applyFill="1" applyBorder="1" applyAlignment="1">
      <alignment horizontal="center" vertical="center" wrapText="1"/>
    </xf>
    <xf numFmtId="0" fontId="11" fillId="28" borderId="4" xfId="0" applyFont="1" applyFill="1" applyBorder="1" applyAlignment="1">
      <alignment horizontal="center" vertical="center" wrapText="1"/>
    </xf>
    <xf numFmtId="0" fontId="11" fillId="28" borderId="120" xfId="0" applyFont="1" applyFill="1" applyBorder="1" applyAlignment="1">
      <alignment horizontal="center" vertical="center" wrapText="1"/>
    </xf>
    <xf numFmtId="0" fontId="11" fillId="28" borderId="125" xfId="0" applyFont="1" applyFill="1" applyBorder="1" applyAlignment="1">
      <alignment horizontal="center" vertical="center" wrapText="1"/>
    </xf>
    <xf numFmtId="0" fontId="11" fillId="28" borderId="123" xfId="0" applyFont="1" applyFill="1" applyBorder="1" applyAlignment="1">
      <alignment horizontal="center" vertical="center" wrapText="1"/>
    </xf>
    <xf numFmtId="0" fontId="0" fillId="0" borderId="0" xfId="0" applyFont="1" applyFill="1" applyProtection="1">
      <protection locked="0"/>
    </xf>
    <xf numFmtId="14" fontId="1" fillId="0" borderId="0" xfId="0" applyNumberFormat="1" applyFont="1" applyFill="1"/>
    <xf numFmtId="0" fontId="1" fillId="0" borderId="0" xfId="0" applyFont="1" applyFill="1" applyProtection="1">
      <protection locked="0"/>
    </xf>
    <xf numFmtId="4" fontId="14" fillId="0" borderId="83" xfId="0" applyNumberFormat="1" applyFont="1" applyBorder="1" applyAlignment="1">
      <alignment horizontal="left" vertical="top" wrapText="1"/>
    </xf>
    <xf numFmtId="172" fontId="16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0" fillId="0" borderId="0" xfId="0" applyAlignment="1">
      <alignment wrapText="1"/>
    </xf>
    <xf numFmtId="0" fontId="2" fillId="29" borderId="78" xfId="0" applyFont="1" applyFill="1" applyBorder="1" applyAlignment="1">
      <alignment wrapText="1"/>
    </xf>
    <xf numFmtId="10" fontId="0" fillId="0" borderId="0" xfId="2" applyNumberFormat="1" applyFont="1"/>
    <xf numFmtId="9" fontId="0" fillId="0" borderId="0" xfId="0" applyNumberFormat="1"/>
    <xf numFmtId="166" fontId="14" fillId="0" borderId="21" xfId="0" applyNumberFormat="1" applyFont="1" applyBorder="1"/>
    <xf numFmtId="166" fontId="14" fillId="0" borderId="0" xfId="0" applyNumberFormat="1" applyFont="1"/>
    <xf numFmtId="166" fontId="0" fillId="0" borderId="0" xfId="0" applyNumberFormat="1"/>
    <xf numFmtId="0" fontId="60" fillId="0" borderId="64" xfId="0" applyFont="1" applyBorder="1" applyAlignment="1">
      <alignment horizontal="center" vertical="center" wrapText="1"/>
    </xf>
    <xf numFmtId="44" fontId="61" fillId="0" borderId="0" xfId="0" applyNumberFormat="1" applyFont="1"/>
    <xf numFmtId="44" fontId="0" fillId="0" borderId="0" xfId="1" applyFont="1" applyAlignment="1">
      <alignment wrapText="1"/>
    </xf>
    <xf numFmtId="0" fontId="62" fillId="0" borderId="0" xfId="0" applyFont="1" applyAlignment="1">
      <alignment horizontal="left" vertical="center" readingOrder="1"/>
    </xf>
    <xf numFmtId="0" fontId="63" fillId="0" borderId="0" xfId="0" applyFont="1"/>
    <xf numFmtId="44" fontId="0" fillId="0" borderId="0" xfId="1" applyFont="1" applyBorder="1"/>
    <xf numFmtId="44" fontId="1" fillId="0" borderId="0" xfId="0" applyNumberFormat="1" applyFont="1" applyAlignment="1">
      <alignment wrapText="1"/>
    </xf>
    <xf numFmtId="0" fontId="66" fillId="0" borderId="0" xfId="0" applyFont="1"/>
    <xf numFmtId="0" fontId="67" fillId="0" borderId="0" xfId="0" applyFont="1"/>
    <xf numFmtId="4" fontId="1" fillId="0" borderId="0" xfId="0" applyNumberFormat="1" applyFont="1"/>
    <xf numFmtId="172" fontId="16" fillId="0" borderId="1" xfId="0" applyNumberFormat="1" applyFont="1" applyFill="1" applyBorder="1" applyAlignment="1">
      <alignment horizontal="center" vertical="center" wrapText="1"/>
    </xf>
    <xf numFmtId="166" fontId="16" fillId="0" borderId="1" xfId="0" applyNumberFormat="1" applyFont="1" applyFill="1" applyBorder="1" applyAlignment="1">
      <alignment horizontal="right" vertical="center" wrapText="1"/>
    </xf>
    <xf numFmtId="4" fontId="2" fillId="0" borderId="21" xfId="0" applyNumberFormat="1" applyFont="1" applyBorder="1" applyAlignment="1">
      <alignment horizontal="left" vertical="top" wrapText="1"/>
    </xf>
    <xf numFmtId="4" fontId="0" fillId="0" borderId="0" xfId="0" applyNumberFormat="1"/>
    <xf numFmtId="0" fontId="70" fillId="0" borderId="0" xfId="0" applyFont="1" applyAlignment="1">
      <alignment vertical="center"/>
    </xf>
    <xf numFmtId="8" fontId="51" fillId="0" borderId="0" xfId="1" applyNumberFormat="1" applyFont="1" applyBorder="1"/>
    <xf numFmtId="0" fontId="1" fillId="0" borderId="0" xfId="0" applyNumberFormat="1" applyFont="1" applyBorder="1"/>
    <xf numFmtId="44" fontId="2" fillId="0" borderId="0" xfId="0" applyNumberFormat="1" applyFont="1" applyBorder="1"/>
    <xf numFmtId="44" fontId="69" fillId="0" borderId="0" xfId="0" applyNumberFormat="1" applyFont="1"/>
    <xf numFmtId="8" fontId="71" fillId="0" borderId="0" xfId="0" applyNumberFormat="1" applyFont="1"/>
    <xf numFmtId="0" fontId="12" fillId="31" borderId="0" xfId="0" applyFont="1" applyFill="1" applyAlignment="1">
      <alignment vertical="center"/>
    </xf>
    <xf numFmtId="0" fontId="12" fillId="31" borderId="39" xfId="0" applyFont="1" applyFill="1" applyBorder="1" applyAlignment="1">
      <alignment vertical="center"/>
    </xf>
    <xf numFmtId="0" fontId="12" fillId="31" borderId="23" xfId="0" applyFont="1" applyFill="1" applyBorder="1" applyAlignment="1">
      <alignment vertical="center"/>
    </xf>
    <xf numFmtId="44" fontId="12" fillId="31" borderId="23" xfId="0" applyNumberFormat="1" applyFont="1" applyFill="1" applyBorder="1" applyAlignment="1">
      <alignment vertical="center"/>
    </xf>
    <xf numFmtId="44" fontId="64" fillId="31" borderId="40" xfId="1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164" fontId="64" fillId="31" borderId="40" xfId="0" applyNumberFormat="1" applyFont="1" applyFill="1" applyBorder="1" applyAlignment="1">
      <alignment vertical="center"/>
    </xf>
    <xf numFmtId="164" fontId="12" fillId="31" borderId="23" xfId="0" applyNumberFormat="1" applyFont="1" applyFill="1" applyBorder="1" applyAlignment="1">
      <alignment vertical="center"/>
    </xf>
    <xf numFmtId="44" fontId="0" fillId="0" borderId="0" xfId="0" applyNumberFormat="1" applyFont="1"/>
    <xf numFmtId="173" fontId="0" fillId="0" borderId="0" xfId="0" applyNumberFormat="1" applyBorder="1"/>
    <xf numFmtId="0" fontId="12" fillId="0" borderId="55" xfId="0" applyFont="1" applyBorder="1" applyAlignment="1">
      <alignment vertical="center"/>
    </xf>
    <xf numFmtId="44" fontId="0" fillId="0" borderId="0" xfId="0" applyNumberFormat="1" applyBorder="1"/>
    <xf numFmtId="0" fontId="12" fillId="0" borderId="53" xfId="0" applyFont="1" applyBorder="1" applyAlignment="1">
      <alignment vertical="center"/>
    </xf>
    <xf numFmtId="0" fontId="12" fillId="0" borderId="54" xfId="0" applyFont="1" applyBorder="1" applyAlignment="1">
      <alignment vertical="center"/>
    </xf>
    <xf numFmtId="44" fontId="12" fillId="0" borderId="56" xfId="1" applyFont="1" applyBorder="1" applyAlignment="1">
      <alignment horizontal="center" vertical="center"/>
    </xf>
    <xf numFmtId="44" fontId="12" fillId="0" borderId="56" xfId="1" applyFont="1" applyBorder="1" applyAlignment="1">
      <alignment vertical="center"/>
    </xf>
    <xf numFmtId="44" fontId="0" fillId="0" borderId="57" xfId="1" applyFont="1" applyBorder="1"/>
    <xf numFmtId="44" fontId="0" fillId="0" borderId="56" xfId="1" applyFont="1" applyBorder="1"/>
    <xf numFmtId="44" fontId="2" fillId="0" borderId="40" xfId="1" applyFont="1" applyBorder="1"/>
    <xf numFmtId="166" fontId="0" fillId="19" borderId="133" xfId="0" applyNumberFormat="1" applyFont="1" applyFill="1" applyBorder="1"/>
    <xf numFmtId="166" fontId="2" fillId="19" borderId="133" xfId="0" applyNumberFormat="1" applyFont="1" applyFill="1" applyBorder="1"/>
    <xf numFmtId="166" fontId="54" fillId="19" borderId="133" xfId="0" applyNumberFormat="1" applyFont="1" applyFill="1" applyBorder="1"/>
    <xf numFmtId="44" fontId="0" fillId="19" borderId="133" xfId="0" applyNumberFormat="1" applyFont="1" applyFill="1" applyBorder="1"/>
    <xf numFmtId="44" fontId="2" fillId="19" borderId="133" xfId="0" applyNumberFormat="1" applyFont="1" applyFill="1" applyBorder="1"/>
    <xf numFmtId="44" fontId="14" fillId="32" borderId="54" xfId="0" applyNumberFormat="1" applyFont="1" applyFill="1" applyBorder="1" applyAlignment="1">
      <alignment horizontal="center" vertical="center"/>
    </xf>
    <xf numFmtId="0" fontId="2" fillId="19" borderId="133" xfId="0" applyFont="1" applyFill="1" applyBorder="1" applyAlignment="1">
      <alignment horizontal="left" wrapText="1"/>
    </xf>
    <xf numFmtId="44" fontId="54" fillId="17" borderId="0" xfId="0" applyNumberFormat="1" applyFont="1" applyFill="1" applyAlignment="1">
      <alignment horizontal="right" vertical="center"/>
    </xf>
    <xf numFmtId="44" fontId="54" fillId="17" borderId="0" xfId="0" applyNumberFormat="1" applyFont="1" applyFill="1" applyAlignment="1">
      <alignment vertical="center"/>
    </xf>
    <xf numFmtId="164" fontId="0" fillId="0" borderId="0" xfId="0" applyNumberFormat="1" applyFont="1" applyAlignment="1">
      <alignment horizontal="right"/>
    </xf>
    <xf numFmtId="166" fontId="1" fillId="0" borderId="0" xfId="1" applyNumberFormat="1" applyFont="1" applyBorder="1" applyAlignment="1">
      <alignment wrapText="1"/>
    </xf>
    <xf numFmtId="0" fontId="27" fillId="3" borderId="63" xfId="0" applyFont="1" applyFill="1" applyBorder="1" applyAlignment="1">
      <alignment vertical="center"/>
    </xf>
    <xf numFmtId="0" fontId="27" fillId="3" borderId="65" xfId="0" applyFont="1" applyFill="1" applyBorder="1" applyAlignment="1">
      <alignment vertical="center"/>
    </xf>
    <xf numFmtId="0" fontId="27" fillId="3" borderId="66" xfId="0" applyFont="1" applyFill="1" applyBorder="1" applyAlignment="1">
      <alignment vertical="center"/>
    </xf>
    <xf numFmtId="0" fontId="20" fillId="5" borderId="10" xfId="0" applyFont="1" applyFill="1" applyBorder="1" applyAlignment="1">
      <alignment horizontal="center" vertical="center"/>
    </xf>
    <xf numFmtId="44" fontId="69" fillId="0" borderId="76" xfId="0" applyNumberFormat="1" applyFont="1" applyBorder="1"/>
    <xf numFmtId="44" fontId="71" fillId="0" borderId="0" xfId="0" applyNumberFormat="1" applyFont="1"/>
    <xf numFmtId="0" fontId="2" fillId="0" borderId="61" xfId="0" applyFont="1" applyBorder="1"/>
    <xf numFmtId="0" fontId="2" fillId="0" borderId="62" xfId="0" applyFont="1" applyBorder="1"/>
    <xf numFmtId="44" fontId="0" fillId="0" borderId="54" xfId="1" applyFont="1" applyBorder="1" applyAlignment="1">
      <alignment horizontal="right"/>
    </xf>
    <xf numFmtId="0" fontId="0" fillId="0" borderId="55" xfId="0" applyBorder="1" applyAlignment="1">
      <alignment horizontal="left"/>
    </xf>
    <xf numFmtId="44" fontId="0" fillId="0" borderId="57" xfId="1" applyFont="1" applyBorder="1" applyAlignment="1">
      <alignment horizontal="right"/>
    </xf>
    <xf numFmtId="0" fontId="0" fillId="0" borderId="0" xfId="0" applyAlignment="1"/>
    <xf numFmtId="0" fontId="64" fillId="33" borderId="2" xfId="0" applyFont="1" applyFill="1" applyBorder="1" applyAlignment="1">
      <alignment vertical="center"/>
    </xf>
    <xf numFmtId="0" fontId="64" fillId="33" borderId="28" xfId="0" applyFont="1" applyFill="1" applyBorder="1" applyAlignment="1">
      <alignment vertical="center"/>
    </xf>
    <xf numFmtId="0" fontId="64" fillId="33" borderId="3" xfId="0" applyFont="1" applyFill="1" applyBorder="1" applyAlignment="1">
      <alignment vertical="center"/>
    </xf>
    <xf numFmtId="44" fontId="12" fillId="31" borderId="56" xfId="1" applyFont="1" applyFill="1" applyBorder="1" applyAlignment="1">
      <alignment vertical="center"/>
    </xf>
    <xf numFmtId="44" fontId="12" fillId="31" borderId="57" xfId="0" applyNumberFormat="1" applyFont="1" applyFill="1" applyBorder="1" applyAlignment="1">
      <alignment vertical="center"/>
    </xf>
    <xf numFmtId="0" fontId="2" fillId="33" borderId="2" xfId="0" applyFont="1" applyFill="1" applyBorder="1"/>
    <xf numFmtId="164" fontId="12" fillId="0" borderId="56" xfId="1" applyNumberFormat="1" applyFont="1" applyBorder="1" applyAlignment="1">
      <alignment vertical="center"/>
    </xf>
    <xf numFmtId="164" fontId="12" fillId="0" borderId="57" xfId="1" applyNumberFormat="1" applyFont="1" applyBorder="1" applyAlignment="1">
      <alignment vertical="center"/>
    </xf>
    <xf numFmtId="0" fontId="64" fillId="30" borderId="2" xfId="0" applyFont="1" applyFill="1" applyBorder="1" applyAlignment="1">
      <alignment horizontal="left" vertical="center" wrapText="1"/>
    </xf>
    <xf numFmtId="0" fontId="64" fillId="33" borderId="28" xfId="0" applyFont="1" applyFill="1" applyBorder="1" applyAlignment="1">
      <alignment horizontal="right" vertical="center"/>
    </xf>
    <xf numFmtId="0" fontId="64" fillId="33" borderId="3" xfId="0" applyFont="1" applyFill="1" applyBorder="1" applyAlignment="1">
      <alignment horizontal="right" vertical="center"/>
    </xf>
    <xf numFmtId="44" fontId="65" fillId="0" borderId="92" xfId="1" applyFont="1" applyBorder="1" applyAlignment="1">
      <alignment vertical="center"/>
    </xf>
    <xf numFmtId="44" fontId="65" fillId="0" borderId="73" xfId="1" applyFont="1" applyBorder="1" applyAlignment="1">
      <alignment vertical="center"/>
    </xf>
    <xf numFmtId="173" fontId="0" fillId="0" borderId="20" xfId="0" applyNumberFormat="1" applyBorder="1" applyAlignment="1">
      <alignment horizontal="right"/>
    </xf>
    <xf numFmtId="173" fontId="0" fillId="0" borderId="46" xfId="0" applyNumberFormat="1" applyBorder="1" applyAlignment="1">
      <alignment horizontal="right"/>
    </xf>
    <xf numFmtId="0" fontId="72" fillId="0" borderId="0" xfId="0" applyFont="1" applyBorder="1" applyAlignment="1"/>
    <xf numFmtId="44" fontId="0" fillId="0" borderId="0" xfId="0" applyNumberFormat="1" applyFont="1" applyBorder="1" applyAlignment="1"/>
    <xf numFmtId="164" fontId="0" fillId="0" borderId="0" xfId="0" applyNumberFormat="1" applyBorder="1"/>
    <xf numFmtId="0" fontId="2" fillId="0" borderId="0" xfId="0" applyFont="1" applyBorder="1"/>
    <xf numFmtId="173" fontId="2" fillId="0" borderId="0" xfId="0" applyNumberFormat="1" applyFont="1" applyBorder="1"/>
    <xf numFmtId="44" fontId="0" fillId="0" borderId="6" xfId="1" applyFont="1" applyBorder="1"/>
    <xf numFmtId="44" fontId="0" fillId="0" borderId="24" xfId="1" applyFont="1" applyBorder="1"/>
    <xf numFmtId="4" fontId="22" fillId="26" borderId="46" xfId="0" applyNumberFormat="1" applyFont="1" applyFill="1" applyBorder="1" applyAlignment="1">
      <alignment horizontal="left" wrapText="1"/>
    </xf>
    <xf numFmtId="0" fontId="2" fillId="0" borderId="2" xfId="0" applyFont="1" applyBorder="1" applyAlignment="1">
      <alignment wrapText="1"/>
    </xf>
    <xf numFmtId="0" fontId="2" fillId="0" borderId="55" xfId="0" applyFont="1" applyBorder="1" applyAlignment="1">
      <alignment wrapText="1"/>
    </xf>
    <xf numFmtId="0" fontId="0" fillId="0" borderId="0" xfId="0" applyAlignment="1">
      <alignment vertical="center" wrapText="1"/>
    </xf>
    <xf numFmtId="44" fontId="2" fillId="0" borderId="1" xfId="1" applyFont="1" applyFill="1" applyBorder="1" applyAlignment="1">
      <alignment horizontal="right" vertical="center"/>
    </xf>
    <xf numFmtId="44" fontId="2" fillId="0" borderId="1" xfId="1" applyFont="1" applyFill="1" applyBorder="1" applyAlignment="1">
      <alignment vertical="center"/>
    </xf>
    <xf numFmtId="44" fontId="2" fillId="0" borderId="7" xfId="1" applyFont="1" applyFill="1" applyBorder="1" applyAlignment="1">
      <alignment vertical="center"/>
    </xf>
    <xf numFmtId="44" fontId="2" fillId="0" borderId="54" xfId="1" applyFont="1" applyBorder="1" applyAlignment="1"/>
    <xf numFmtId="0" fontId="0" fillId="0" borderId="53" xfId="0" applyFill="1" applyBorder="1" applyAlignment="1">
      <alignment horizontal="left"/>
    </xf>
    <xf numFmtId="0" fontId="0" fillId="0" borderId="59" xfId="0" applyBorder="1" applyAlignment="1">
      <alignment horizontal="left"/>
    </xf>
    <xf numFmtId="0" fontId="0" fillId="0" borderId="68" xfId="0" applyFont="1" applyBorder="1"/>
    <xf numFmtId="0" fontId="0" fillId="0" borderId="61" xfId="0" applyBorder="1" applyAlignment="1">
      <alignment horizontal="left" wrapText="1"/>
    </xf>
    <xf numFmtId="44" fontId="2" fillId="0" borderId="54" xfId="1" applyFont="1" applyBorder="1" applyAlignment="1">
      <alignment vertical="center"/>
    </xf>
    <xf numFmtId="0" fontId="0" fillId="0" borderId="55" xfId="0" applyFill="1" applyBorder="1"/>
    <xf numFmtId="44" fontId="2" fillId="0" borderId="95" xfId="1" applyFont="1" applyFill="1" applyBorder="1" applyAlignment="1">
      <alignment vertical="center"/>
    </xf>
    <xf numFmtId="44" fontId="2" fillId="0" borderId="57" xfId="1" applyFont="1" applyBorder="1" applyAlignment="1"/>
    <xf numFmtId="0" fontId="76" fillId="0" borderId="47" xfId="0" applyFont="1" applyBorder="1" applyAlignment="1">
      <alignment horizontal="left" vertical="center" wrapText="1"/>
    </xf>
    <xf numFmtId="166" fontId="65" fillId="0" borderId="46" xfId="1" applyNumberFormat="1" applyFont="1" applyBorder="1" applyAlignment="1">
      <alignment horizontal="right" wrapText="1"/>
    </xf>
    <xf numFmtId="44" fontId="65" fillId="0" borderId="46" xfId="1" applyFont="1" applyBorder="1" applyAlignment="1">
      <alignment horizontal="right" wrapText="1"/>
    </xf>
    <xf numFmtId="0" fontId="76" fillId="21" borderId="47" xfId="0" applyFont="1" applyFill="1" applyBorder="1" applyAlignment="1">
      <alignment horizontal="left" vertical="center" wrapText="1"/>
    </xf>
    <xf numFmtId="44" fontId="65" fillId="21" borderId="46" xfId="1" applyFont="1" applyFill="1" applyBorder="1" applyAlignment="1">
      <alignment horizontal="right" wrapText="1"/>
    </xf>
    <xf numFmtId="166" fontId="65" fillId="21" borderId="46" xfId="1" applyNumberFormat="1" applyFont="1" applyFill="1" applyBorder="1" applyAlignment="1">
      <alignment horizontal="right" wrapText="1"/>
    </xf>
    <xf numFmtId="0" fontId="75" fillId="22" borderId="47" xfId="0" applyFont="1" applyFill="1" applyBorder="1" applyAlignment="1">
      <alignment horizontal="left" vertical="center" wrapText="1"/>
    </xf>
    <xf numFmtId="44" fontId="76" fillId="22" borderId="26" xfId="1" applyFont="1" applyFill="1" applyBorder="1" applyAlignment="1">
      <alignment horizontal="right" wrapText="1"/>
    </xf>
    <xf numFmtId="166" fontId="76" fillId="22" borderId="26" xfId="1" applyNumberFormat="1" applyFont="1" applyFill="1" applyBorder="1" applyAlignment="1">
      <alignment horizontal="right" wrapText="1"/>
    </xf>
    <xf numFmtId="44" fontId="2" fillId="19" borderId="134" xfId="1" applyFont="1" applyFill="1" applyBorder="1" applyAlignment="1">
      <alignment horizontal="left" wrapText="1"/>
    </xf>
    <xf numFmtId="44" fontId="30" fillId="0" borderId="16" xfId="1" applyNumberFormat="1" applyFont="1" applyBorder="1" applyAlignment="1">
      <alignment horizontal="right" vertical="top"/>
    </xf>
    <xf numFmtId="44" fontId="29" fillId="0" borderId="16" xfId="1" applyNumberFormat="1" applyFont="1" applyBorder="1" applyAlignment="1">
      <alignment horizontal="right" vertical="top"/>
    </xf>
    <xf numFmtId="0" fontId="0" fillId="0" borderId="100" xfId="0" applyFont="1" applyBorder="1" applyAlignment="1" applyProtection="1">
      <alignment horizontal="center" vertical="center"/>
      <protection locked="0"/>
    </xf>
    <xf numFmtId="0" fontId="0" fillId="0" borderId="105" xfId="0" applyFont="1" applyBorder="1" applyAlignment="1" applyProtection="1">
      <alignment horizontal="center" vertical="center"/>
      <protection locked="0"/>
    </xf>
    <xf numFmtId="0" fontId="11" fillId="28" borderId="132" xfId="0" applyFont="1" applyFill="1" applyBorder="1" applyAlignment="1">
      <alignment horizontal="center" vertical="center" wrapText="1"/>
    </xf>
    <xf numFmtId="0" fontId="11" fillId="28" borderId="0" xfId="0" applyFont="1" applyFill="1" applyBorder="1" applyAlignment="1">
      <alignment horizontal="center" vertical="center" wrapText="1"/>
    </xf>
    <xf numFmtId="0" fontId="0" fillId="0" borderId="100" xfId="0" applyFont="1" applyBorder="1" applyAlignment="1" applyProtection="1">
      <alignment horizontal="center" vertical="center" wrapText="1"/>
      <protection locked="0"/>
    </xf>
    <xf numFmtId="0" fontId="0" fillId="0" borderId="103" xfId="0" applyFont="1" applyBorder="1" applyAlignment="1" applyProtection="1">
      <alignment horizontal="center" vertical="center" wrapText="1"/>
      <protection locked="0"/>
    </xf>
    <xf numFmtId="0" fontId="0" fillId="0" borderId="105" xfId="0" applyFont="1" applyBorder="1" applyAlignment="1" applyProtection="1">
      <alignment horizontal="center" vertical="center" wrapText="1"/>
      <protection locked="0"/>
    </xf>
    <xf numFmtId="0" fontId="11" fillId="28" borderId="0" xfId="0" applyFont="1" applyFill="1" applyAlignment="1">
      <alignment horizontal="center" vertical="center" wrapText="1"/>
    </xf>
    <xf numFmtId="0" fontId="0" fillId="0" borderId="113" xfId="0" applyFont="1" applyBorder="1" applyAlignment="1" applyProtection="1">
      <alignment horizontal="center" vertical="center" wrapText="1"/>
      <protection locked="0"/>
    </xf>
    <xf numFmtId="0" fontId="0" fillId="0" borderId="119" xfId="0" applyFont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>
      <alignment horizontal="center" vertical="center" wrapText="1"/>
    </xf>
    <xf numFmtId="0" fontId="2" fillId="0" borderId="82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86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1" fillId="3" borderId="132" xfId="0" applyFont="1" applyFill="1" applyBorder="1" applyAlignment="1">
      <alignment horizontal="center" vertical="center" wrapText="1"/>
    </xf>
    <xf numFmtId="4" fontId="14" fillId="23" borderId="0" xfId="0" applyNumberFormat="1" applyFont="1" applyFill="1" applyAlignment="1">
      <alignment wrapText="1"/>
    </xf>
    <xf numFmtId="4" fontId="14" fillId="0" borderId="0" xfId="0" applyNumberFormat="1" applyFont="1" applyAlignment="1">
      <alignment wrapText="1"/>
    </xf>
    <xf numFmtId="4" fontId="14" fillId="23" borderId="0" xfId="0" applyNumberFormat="1" applyFont="1" applyFill="1" applyAlignment="1">
      <alignment vertical="top" wrapText="1"/>
    </xf>
    <xf numFmtId="4" fontId="14" fillId="0" borderId="0" xfId="0" applyNumberFormat="1" applyFont="1" applyAlignment="1">
      <alignment horizontal="left" vertical="top" wrapText="1"/>
    </xf>
    <xf numFmtId="0" fontId="0" fillId="0" borderId="113" xfId="0" applyBorder="1" applyAlignment="1">
      <alignment horizontal="center" vertical="center"/>
    </xf>
    <xf numFmtId="0" fontId="0" fillId="0" borderId="119" xfId="0" applyBorder="1" applyAlignment="1">
      <alignment horizontal="center" vertical="center"/>
    </xf>
    <xf numFmtId="0" fontId="11" fillId="27" borderId="0" xfId="0" applyFont="1" applyFill="1" applyBorder="1" applyAlignment="1">
      <alignment horizontal="center" vertical="center" wrapText="1"/>
    </xf>
    <xf numFmtId="0" fontId="11" fillId="27" borderId="0" xfId="0" applyFont="1" applyFill="1" applyAlignment="1">
      <alignment horizontal="center" vertical="center" wrapText="1"/>
    </xf>
    <xf numFmtId="0" fontId="11" fillId="27" borderId="132" xfId="0" applyFont="1" applyFill="1" applyBorder="1" applyAlignment="1">
      <alignment horizontal="center" vertical="center" wrapText="1"/>
    </xf>
    <xf numFmtId="0" fontId="50" fillId="0" borderId="24" xfId="0" applyFont="1" applyBorder="1" applyAlignment="1">
      <alignment horizontal="center" vertical="center" textRotation="90"/>
    </xf>
    <xf numFmtId="0" fontId="50" fillId="0" borderId="0" xfId="0" applyFont="1" applyBorder="1" applyAlignment="1">
      <alignment horizontal="center" vertical="center" textRotation="90"/>
    </xf>
    <xf numFmtId="0" fontId="7" fillId="4" borderId="4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center" vertical="center"/>
    </xf>
    <xf numFmtId="0" fontId="7" fillId="4" borderId="21" xfId="0" applyFont="1" applyFill="1" applyBorder="1" applyAlignment="1">
      <alignment horizontal="left" vertical="center" indent="2"/>
    </xf>
    <xf numFmtId="0" fontId="7" fillId="4" borderId="22" xfId="0" applyFont="1" applyFill="1" applyBorder="1" applyAlignment="1">
      <alignment horizontal="left" vertical="center" indent="2"/>
    </xf>
    <xf numFmtId="0" fontId="7" fillId="4" borderId="4" xfId="0" applyFont="1" applyFill="1" applyBorder="1" applyAlignment="1">
      <alignment horizontal="left" vertical="center" indent="2"/>
    </xf>
    <xf numFmtId="0" fontId="7" fillId="4" borderId="21" xfId="0" applyFont="1" applyFill="1" applyBorder="1" applyAlignment="1">
      <alignment horizontal="left" vertical="center" wrapText="1" indent="2"/>
    </xf>
    <xf numFmtId="0" fontId="7" fillId="4" borderId="50" xfId="0" applyFont="1" applyFill="1" applyBorder="1" applyAlignment="1">
      <alignment horizontal="left" vertical="center" indent="2"/>
    </xf>
    <xf numFmtId="0" fontId="7" fillId="4" borderId="51" xfId="0" applyFont="1" applyFill="1" applyBorder="1" applyAlignment="1">
      <alignment horizontal="left" vertical="center" indent="2"/>
    </xf>
    <xf numFmtId="0" fontId="7" fillId="4" borderId="52" xfId="0" applyFont="1" applyFill="1" applyBorder="1" applyAlignment="1">
      <alignment horizontal="left" vertical="center" indent="2"/>
    </xf>
    <xf numFmtId="0" fontId="7" fillId="4" borderId="4" xfId="0" applyFont="1" applyFill="1" applyBorder="1" applyAlignment="1">
      <alignment horizontal="left" vertical="center" wrapText="1" indent="2"/>
    </xf>
    <xf numFmtId="0" fontId="7" fillId="4" borderId="22" xfId="0" applyFont="1" applyFill="1" applyBorder="1" applyAlignment="1">
      <alignment horizontal="left" vertical="center" wrapText="1" indent="2"/>
    </xf>
    <xf numFmtId="0" fontId="7" fillId="4" borderId="63" xfId="0" applyFont="1" applyFill="1" applyBorder="1" applyAlignment="1">
      <alignment horizontal="left" vertical="center"/>
    </xf>
    <xf numFmtId="0" fontId="7" fillId="4" borderId="45" xfId="0" applyFont="1" applyFill="1" applyBorder="1" applyAlignment="1">
      <alignment horizontal="left" vertical="center"/>
    </xf>
    <xf numFmtId="0" fontId="7" fillId="4" borderId="58" xfId="0" applyFont="1" applyFill="1" applyBorder="1" applyAlignment="1">
      <alignment horizontal="left" vertical="center"/>
    </xf>
    <xf numFmtId="0" fontId="7" fillId="4" borderId="19" xfId="0" applyFont="1" applyFill="1" applyBorder="1" applyAlignment="1">
      <alignment horizontal="left" vertical="center"/>
    </xf>
    <xf numFmtId="0" fontId="7" fillId="4" borderId="41" xfId="0" applyFont="1" applyFill="1" applyBorder="1" applyAlignment="1">
      <alignment horizontal="left" vertical="center"/>
    </xf>
    <xf numFmtId="0" fontId="7" fillId="4" borderId="47" xfId="0" applyFont="1" applyFill="1" applyBorder="1" applyAlignment="1">
      <alignment horizontal="left" vertical="center"/>
    </xf>
    <xf numFmtId="0" fontId="18" fillId="3" borderId="71" xfId="0" applyFont="1" applyFill="1" applyBorder="1" applyAlignment="1">
      <alignment horizontal="center" vertical="center" wrapText="1"/>
    </xf>
    <xf numFmtId="0" fontId="18" fillId="3" borderId="65" xfId="0" applyFont="1" applyFill="1" applyBorder="1" applyAlignment="1">
      <alignment horizontal="center" vertical="center" wrapText="1"/>
    </xf>
    <xf numFmtId="0" fontId="18" fillId="3" borderId="66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17" fillId="3" borderId="75" xfId="0" applyFont="1" applyFill="1" applyBorder="1" applyAlignment="1">
      <alignment horizontal="center" vertical="center" wrapText="1"/>
    </xf>
    <xf numFmtId="0" fontId="27" fillId="3" borderId="63" xfId="0" applyFont="1" applyFill="1" applyBorder="1" applyAlignment="1">
      <alignment horizontal="center" vertical="center"/>
    </xf>
    <xf numFmtId="0" fontId="27" fillId="3" borderId="65" xfId="0" applyFont="1" applyFill="1" applyBorder="1" applyAlignment="1">
      <alignment horizontal="center" vertical="center"/>
    </xf>
    <xf numFmtId="0" fontId="27" fillId="3" borderId="66" xfId="0" applyFont="1" applyFill="1" applyBorder="1" applyAlignment="1">
      <alignment horizontal="center" vertical="center"/>
    </xf>
    <xf numFmtId="0" fontId="75" fillId="20" borderId="19" xfId="0" applyFont="1" applyFill="1" applyBorder="1" applyAlignment="1">
      <alignment horizontal="justify" vertical="center" wrapText="1"/>
    </xf>
    <xf numFmtId="0" fontId="75" fillId="20" borderId="47" xfId="0" applyFont="1" applyFill="1" applyBorder="1" applyAlignment="1">
      <alignment horizontal="justify" vertical="center" wrapText="1"/>
    </xf>
    <xf numFmtId="0" fontId="27" fillId="3" borderId="4" xfId="0" applyFont="1" applyFill="1" applyBorder="1" applyAlignment="1">
      <alignment horizontal="center" vertical="center"/>
    </xf>
    <xf numFmtId="0" fontId="27" fillId="3" borderId="5" xfId="0" applyFont="1" applyFill="1" applyBorder="1" applyAlignment="1">
      <alignment horizontal="center" vertical="center"/>
    </xf>
    <xf numFmtId="0" fontId="27" fillId="3" borderId="6" xfId="0" applyFont="1" applyFill="1" applyBorder="1" applyAlignment="1">
      <alignment horizontal="center" vertical="center"/>
    </xf>
    <xf numFmtId="0" fontId="27" fillId="9" borderId="4" xfId="0" applyFont="1" applyFill="1" applyBorder="1" applyAlignment="1">
      <alignment horizontal="center" vertical="center" wrapText="1"/>
    </xf>
    <xf numFmtId="0" fontId="27" fillId="9" borderId="21" xfId="0" applyFont="1" applyFill="1" applyBorder="1" applyAlignment="1">
      <alignment horizontal="center" vertical="center" wrapText="1"/>
    </xf>
    <xf numFmtId="0" fontId="27" fillId="9" borderId="22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72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 vertical="center"/>
    </xf>
    <xf numFmtId="44" fontId="65" fillId="0" borderId="92" xfId="1" applyFont="1" applyBorder="1" applyAlignment="1">
      <alignment horizontal="center" vertical="center"/>
    </xf>
    <xf numFmtId="44" fontId="65" fillId="0" borderId="73" xfId="1" applyFont="1" applyBorder="1" applyAlignment="1">
      <alignment horizontal="center" vertical="center"/>
    </xf>
    <xf numFmtId="0" fontId="2" fillId="0" borderId="97" xfId="0" applyFont="1" applyBorder="1" applyAlignment="1">
      <alignment horizontal="center"/>
    </xf>
    <xf numFmtId="0" fontId="2" fillId="0" borderId="91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17" borderId="135" xfId="0" applyFill="1" applyBorder="1" applyAlignment="1">
      <alignment horizontal="left"/>
    </xf>
    <xf numFmtId="4" fontId="0" fillId="0" borderId="1" xfId="0" applyNumberFormat="1" applyFont="1" applyBorder="1" applyAlignment="1">
      <alignment horizontal="left" vertical="top" wrapText="1"/>
    </xf>
    <xf numFmtId="0" fontId="0" fillId="17" borderId="1" xfId="0" applyFill="1" applyBorder="1" applyAlignment="1">
      <alignment horizontal="left"/>
    </xf>
    <xf numFmtId="44" fontId="0" fillId="0" borderId="1" xfId="0" applyNumberFormat="1" applyFill="1" applyBorder="1"/>
    <xf numFmtId="166" fontId="4" fillId="0" borderId="1" xfId="1" applyNumberFormat="1" applyFont="1" applyBorder="1" applyAlignment="1">
      <alignment horizontal="center" vertical="center"/>
    </xf>
    <xf numFmtId="0" fontId="0" fillId="0" borderId="135" xfId="0" applyFill="1" applyBorder="1" applyAlignment="1">
      <alignment horizontal="left"/>
    </xf>
    <xf numFmtId="2" fontId="0" fillId="0" borderId="1" xfId="0" applyNumberFormat="1" applyFill="1" applyBorder="1"/>
    <xf numFmtId="0" fontId="11" fillId="28" borderId="20" xfId="0" applyFont="1" applyFill="1" applyBorder="1" applyAlignment="1">
      <alignment vertical="center" wrapText="1"/>
    </xf>
    <xf numFmtId="0" fontId="1" fillId="0" borderId="1" xfId="0" applyFont="1" applyBorder="1" applyProtection="1">
      <protection locked="0"/>
    </xf>
    <xf numFmtId="0" fontId="1" fillId="0" borderId="1" xfId="0" applyFont="1" applyBorder="1"/>
    <xf numFmtId="0" fontId="11" fillId="27" borderId="20" xfId="0" applyFont="1" applyFill="1" applyBorder="1" applyAlignment="1">
      <alignment vertical="center" wrapText="1"/>
    </xf>
    <xf numFmtId="4" fontId="4" fillId="0" borderId="1" xfId="0" applyNumberFormat="1" applyFont="1" applyBorder="1" applyAlignment="1">
      <alignment horizontal="center" vertical="center"/>
    </xf>
    <xf numFmtId="166" fontId="4" fillId="0" borderId="1" xfId="0" applyNumberFormat="1" applyFont="1" applyBorder="1" applyAlignment="1">
      <alignment horizontal="right" vertical="center"/>
    </xf>
  </cellXfs>
  <cellStyles count="73">
    <cellStyle name="0,0_x000a__x000a_NA_x000a__x000a_" xfId="12"/>
    <cellStyle name="0,0_x000d__x000a_NA_x000d__x000a_" xfId="13"/>
    <cellStyle name="1R" xfId="14"/>
    <cellStyle name="2R" xfId="15"/>
    <cellStyle name="Coma 2" xfId="3"/>
    <cellStyle name="Diseño" xfId="16"/>
    <cellStyle name="Diseño 2" xfId="52"/>
    <cellStyle name="Estilo 1" xfId="11"/>
    <cellStyle name="Euro" xfId="17"/>
    <cellStyle name="Euro 2" xfId="53"/>
    <cellStyle name="Grey" xfId="18"/>
    <cellStyle name="Header1" xfId="19"/>
    <cellStyle name="Header2" xfId="20"/>
    <cellStyle name="Hyperlink" xfId="21"/>
    <cellStyle name="Hyperlink seguido" xfId="22"/>
    <cellStyle name="Input [yellow]" xfId="23"/>
    <cellStyle name="Input 0" xfId="24"/>
    <cellStyle name="Jun" xfId="25"/>
    <cellStyle name="Millares 2" xfId="4"/>
    <cellStyle name="Moneda" xfId="1" builtinId="4"/>
    <cellStyle name="Moneda 2" xfId="5"/>
    <cellStyle name="Moneda 3" xfId="37"/>
    <cellStyle name="Moneda 3 2" xfId="58"/>
    <cellStyle name="Normal" xfId="0" builtinId="0"/>
    <cellStyle name="Normal - Style1" xfId="26"/>
    <cellStyle name="Normal - Style1 2" xfId="54"/>
    <cellStyle name="Normal 10" xfId="46"/>
    <cellStyle name="Normal 10 2" xfId="67"/>
    <cellStyle name="Normal 11" xfId="41"/>
    <cellStyle name="Normal 11 2" xfId="62"/>
    <cellStyle name="Normal 12" xfId="45"/>
    <cellStyle name="Normal 12 2" xfId="66"/>
    <cellStyle name="Normal 13" xfId="42"/>
    <cellStyle name="Normal 13 2" xfId="63"/>
    <cellStyle name="Normal 14" xfId="44"/>
    <cellStyle name="Normal 14 2" xfId="65"/>
    <cellStyle name="Normal 15" xfId="43"/>
    <cellStyle name="Normal 15 2" xfId="64"/>
    <cellStyle name="Normal 16" xfId="48"/>
    <cellStyle name="Normal 16 2" xfId="69"/>
    <cellStyle name="Normal 17" xfId="50"/>
    <cellStyle name="Normal 17 2" xfId="71"/>
    <cellStyle name="Normal 18" xfId="49"/>
    <cellStyle name="Normal 18 2" xfId="70"/>
    <cellStyle name="Normal 19" xfId="51"/>
    <cellStyle name="Normal 19 2" xfId="72"/>
    <cellStyle name="Normal 2" xfId="6"/>
    <cellStyle name="Normal 3" xfId="7"/>
    <cellStyle name="Normal 4" xfId="8"/>
    <cellStyle name="Normal 5" xfId="9"/>
    <cellStyle name="Normal 6" xfId="10"/>
    <cellStyle name="Normal 7" xfId="39"/>
    <cellStyle name="Normal 7 2" xfId="60"/>
    <cellStyle name="Normal 8" xfId="47"/>
    <cellStyle name="Normal 8 2" xfId="68"/>
    <cellStyle name="Normal 9" xfId="40"/>
    <cellStyle name="Normal 9 2" xfId="61"/>
    <cellStyle name="Option" xfId="27"/>
    <cellStyle name="Option 2" xfId="55"/>
    <cellStyle name="PATXI" xfId="28"/>
    <cellStyle name="Percent [2]" xfId="29"/>
    <cellStyle name="Percent [2] 2" xfId="56"/>
    <cellStyle name="Percentatge" xfId="2" builtinId="5"/>
    <cellStyle name="Percentatge 2" xfId="38"/>
    <cellStyle name="Percentatge 2 2" xfId="59"/>
    <cellStyle name="PSChar" xfId="30"/>
    <cellStyle name="PSDate" xfId="31"/>
    <cellStyle name="PSDec" xfId="32"/>
    <cellStyle name="PSHeading" xfId="33"/>
    <cellStyle name="PSInt" xfId="34"/>
    <cellStyle name="PSSpacer" xfId="35"/>
    <cellStyle name="Unit" xfId="36"/>
    <cellStyle name="Unit 2" xfId="57"/>
  </cellStyles>
  <dxfs count="1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2" formatCode="#,##0.00\ &quot;€&quot;;[Red]\-#,##0.00\ &quot;€&quot;"/>
    </dxf>
    <dxf>
      <border outline="0">
        <right style="medium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border diagonalUp="0" diagonalDown="0" outline="0">
        <left/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indexed="64"/>
        </top>
        <bottom/>
        <vertical/>
        <horizontal/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rgb="FF505050"/>
        </right>
        <top style="thin">
          <color rgb="FF505050"/>
        </top>
        <bottom style="thin">
          <color rgb="FF50505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rgb="FF50505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rgb="FF505050"/>
        </right>
        <top style="thin">
          <color rgb="FF505050"/>
        </top>
        <bottom style="thin">
          <color rgb="FF50505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left" vertical="top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left" vertical="top" textRotation="0" wrapText="1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left" vertical="top" textRotation="0" wrapText="1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rgb="FF505050"/>
        </bottom>
        <vertical/>
        <horizontal/>
      </border>
    </dxf>
    <dxf>
      <fill>
        <patternFill patternType="solid">
          <fgColor indexed="64"/>
          <bgColor theme="2" tint="-9.9978637043366805E-2"/>
        </patternFill>
      </fill>
    </dxf>
    <dxf>
      <border outline="0">
        <right style="medium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numFmt numFmtId="34" formatCode="_-* #,##0.00\ &quot;€&quot;_-;\-* #,##0.00\ &quot;€&quot;_-;_-* &quot;-&quot;??\ &quot;€&quot;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rgb="FF505050"/>
        </right>
        <top/>
        <bottom style="medium">
          <color indexed="64"/>
        </bottom>
      </border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rgb="FF505050"/>
        </right>
        <top/>
        <bottom style="medium">
          <color indexed="64"/>
        </bottom>
      </border>
    </dxf>
    <dxf>
      <numFmt numFmtId="34" formatCode="_-* #,##0.00\ &quot;€&quot;_-;\-* #,##0.00\ &quot;€&quot;_-;_-* &quot;-&quot;??\ &quot;€&quot;_-;_-@_-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rgb="FF505050"/>
        </right>
        <top/>
        <bottom style="medium">
          <color indexed="64"/>
        </bottom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rgb="FF505050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rgb="FF505050"/>
        </right>
        <top/>
        <bottom style="medium">
          <color indexed="64"/>
        </bottom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rgb="FF505050"/>
        </right>
        <top/>
        <bottom style="medium">
          <color indexed="64"/>
        </bottom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rgb="FF505050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rgb="FF505050"/>
        </right>
        <top/>
        <bottom style="medium">
          <color indexed="64"/>
        </bottom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left" vertical="bottom" textRotation="0" wrapText="1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2" tint="-9.9978637043366805E-2"/>
        </patternFill>
      </fill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wrapText="1" readingOrder="0"/>
    </dxf>
    <dxf>
      <border outline="0">
        <top style="thin">
          <color theme="2" tint="-9.9978637043366805E-2"/>
        </top>
        <bottom style="thin">
          <color theme="2" tint="-9.9978637043366805E-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C00000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\ [$€-403]_-;\-* #,##0.00\ [$€-403]_-;_-* &quot;-&quot;??\ [$€-403]_-;_-@_-"/>
      <alignment horizontal="right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color theme="0" tint="-0.499984740745262"/>
      </font>
      <numFmt numFmtId="166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</dxf>
    <dxf>
      <font>
        <color theme="0" tint="-0.499984740745262"/>
      </font>
      <numFmt numFmtId="166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 tint="-9.9978637043366805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numFmt numFmtId="166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numFmt numFmtId="166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  <numFmt numFmtId="166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 tint="-0.499984740745262"/>
        <name val="Calibri"/>
        <scheme val="minor"/>
      </font>
      <numFmt numFmtId="166" formatCode="#,##0.00\ &quot;€&quot;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2" tint="-9.9978637043366805E-2"/>
        </patternFill>
      </fill>
      <alignment horizontal="left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theme="2" tint="-9.9978637043366805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8B8949"/>
      <color rgb="FF8A8048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juntament de Barcelona" refreshedDate="44981.574691550923" createdVersion="4" refreshedVersion="4" minRefreshableVersion="3" recordCount="30">
  <cacheSource type="worksheet">
    <worksheetSource ref="C2:D32" sheet="Perfils"/>
  </cacheSource>
  <cacheFields count="2">
    <cacheField name="Perfil" numFmtId="0">
      <sharedItems count="13">
        <s v="Arquitecte/a"/>
        <s v="Tècnic/a especialista productes - Consultor/a especialista"/>
        <s v="Administrador/a i Tècnic/a de  Sistemes - Consultor júnior"/>
        <s v="Preu perfil tipus"/>
        <s v="Tècnic/a sistemes júnior - Tecnic testing"/>
        <s v="Programador/a júnior"/>
        <s v="Cap de projecte - Responsable dels serveis"/>
        <s v="Analista programador/a - analista user experience -Programador/a sènior"/>
        <s v="Tècnic/a especialista productes - Consultor/a sènior" u="1"/>
        <s v="Analista programador/a júnior" u="1"/>
        <s v="Administrador/a i Tècnic/a de  Sistemes" u="1"/>
        <s v="Programador/a sènior- Analista programador/a - analista user experience" u="1"/>
        <s v="Tècnic/a sistemes júnior - Consultor/a júnior" u="1"/>
      </sharedItems>
    </cacheField>
    <cacheField name="% dedicació" numFmtId="0">
      <sharedItems containsString="0" containsBlank="1" containsNumber="1" minValue="0.05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juntament de Barcelona" refreshedDate="44981.588756134261" createdVersion="4" refreshedVersion="4" minRefreshableVersion="3" recordCount="3">
  <cacheSource type="worksheet">
    <worksheetSource ref="C35:D38" sheet="Perfils"/>
  </cacheSource>
  <cacheFields count="2">
    <cacheField name="Perfil" numFmtId="0">
      <sharedItems count="4">
        <s v="Cap de projecte - Responsable dels serveis"/>
        <s v="Tècnic/a sistemes júnior - Tecnic testing"/>
        <s v="Preu perfil tipus"/>
        <s v="Tècnic/a sistemes júnior - Consultor/a júnior" u="1"/>
      </sharedItems>
    </cacheField>
    <cacheField name="% dedicació" numFmtId="0">
      <sharedItems containsString="0" containsBlank="1" containsNumber="1" minValue="0.3" maxValue="0.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x v="0"/>
    <n v="0.2"/>
  </r>
  <r>
    <x v="1"/>
    <n v="0.6"/>
  </r>
  <r>
    <x v="2"/>
    <n v="0.2"/>
  </r>
  <r>
    <x v="3"/>
    <m/>
  </r>
  <r>
    <x v="2"/>
    <n v="0.4"/>
  </r>
  <r>
    <x v="4"/>
    <n v="0.6"/>
  </r>
  <r>
    <x v="3"/>
    <m/>
  </r>
  <r>
    <x v="5"/>
    <n v="0.7"/>
  </r>
  <r>
    <x v="0"/>
    <n v="0.1"/>
  </r>
  <r>
    <x v="1"/>
    <n v="0.2"/>
  </r>
  <r>
    <x v="3"/>
    <m/>
  </r>
  <r>
    <x v="1"/>
    <n v="0.75"/>
  </r>
  <r>
    <x v="4"/>
    <n v="0.25"/>
  </r>
  <r>
    <x v="3"/>
    <m/>
  </r>
  <r>
    <x v="6"/>
    <n v="0.2"/>
  </r>
  <r>
    <x v="0"/>
    <n v="0.1"/>
  </r>
  <r>
    <x v="1"/>
    <n v="0.1"/>
  </r>
  <r>
    <x v="7"/>
    <n v="0.6"/>
  </r>
  <r>
    <x v="3"/>
    <m/>
  </r>
  <r>
    <x v="6"/>
    <n v="0.2"/>
  </r>
  <r>
    <x v="0"/>
    <n v="0.05"/>
  </r>
  <r>
    <x v="1"/>
    <n v="0.15"/>
  </r>
  <r>
    <x v="7"/>
    <n v="0.3"/>
  </r>
  <r>
    <x v="5"/>
    <n v="0.3"/>
  </r>
  <r>
    <x v="3"/>
    <m/>
  </r>
  <r>
    <x v="1"/>
    <n v="0.3"/>
  </r>
  <r>
    <x v="2"/>
    <n v="0.7"/>
  </r>
  <r>
    <x v="3"/>
    <m/>
  </r>
  <r>
    <x v="6"/>
    <n v="1"/>
  </r>
  <r>
    <x v="3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">
  <r>
    <x v="0"/>
    <n v="0.3"/>
  </r>
  <r>
    <x v="1"/>
    <n v="0.7"/>
  </r>
  <r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ula dinàmica2" cacheId="15" applyNumberFormats="0" applyBorderFormats="0" applyFontFormats="0" applyPatternFormats="0" applyAlignmentFormats="0" applyWidthHeightFormats="1" dataCaption="Valors" updatedVersion="4" minRefreshableVersion="3" useAutoFormatting="1" itemPrintTitles="1" createdVersion="4" indent="0" outline="1" outlineData="1" multipleFieldFilters="0" rowHeaderCaption="Perfils LOT 1">
  <location ref="K2:L10" firstHeaderRow="1" firstDataRow="1" firstDataCol="1"/>
  <pivotFields count="2">
    <pivotField axis="axisRow" showAll="0" sortType="ascending">
      <items count="14">
        <item m="1" x="10"/>
        <item x="2"/>
        <item x="7"/>
        <item m="1" x="9"/>
        <item x="0"/>
        <item x="6"/>
        <item h="1" x="3"/>
        <item x="5"/>
        <item m="1" x="11"/>
        <item x="1"/>
        <item m="1" x="8"/>
        <item m="1" x="12"/>
        <item x="4"/>
        <item t="default"/>
      </items>
    </pivotField>
    <pivotField dataField="1" showAll="0"/>
  </pivotFields>
  <rowFields count="1">
    <field x="0"/>
  </rowFields>
  <rowItems count="8">
    <i>
      <x v="1"/>
    </i>
    <i>
      <x v="2"/>
    </i>
    <i>
      <x v="4"/>
    </i>
    <i>
      <x v="5"/>
    </i>
    <i>
      <x v="7"/>
    </i>
    <i>
      <x v="9"/>
    </i>
    <i>
      <x v="12"/>
    </i>
    <i t="grand">
      <x/>
    </i>
  </rowItems>
  <colItems count="1">
    <i/>
  </colItems>
  <dataFields count="1">
    <dataField name="FTEs" fld="1" baseField="0" baseItem="0"/>
  </dataFields>
  <formats count="1">
    <format dxfId="86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ula dinàmica3" cacheId="16" applyNumberFormats="0" applyBorderFormats="0" applyFontFormats="0" applyPatternFormats="0" applyAlignmentFormats="0" applyWidthHeightFormats="1" dataCaption="Valors" updatedVersion="4" minRefreshableVersion="3" useAutoFormatting="1" itemPrintTitles="1" createdVersion="4" indent="0" outline="1" outlineData="1" multipleFieldFilters="0" rowHeaderCaption="Perfils LOT2">
  <location ref="K35:L38" firstHeaderRow="1" firstDataRow="1" firstDataCol="1"/>
  <pivotFields count="2">
    <pivotField axis="axisRow" showAll="0">
      <items count="5">
        <item x="0"/>
        <item h="1" x="2"/>
        <item m="1" x="3"/>
        <item x="1"/>
        <item t="default"/>
      </items>
    </pivotField>
    <pivotField dataField="1" showAll="0"/>
  </pivotFields>
  <rowFields count="1">
    <field x="0"/>
  </rowFields>
  <rowItems count="3">
    <i>
      <x/>
    </i>
    <i>
      <x v="3"/>
    </i>
    <i t="grand">
      <x/>
    </i>
  </rowItems>
  <colItems count="1">
    <i/>
  </colItems>
  <dataFields count="1">
    <dataField name="FTEs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CalculPressup" displayName="CalculPressup" ref="D5:P21" totalsRowCount="1" headerRowDxfId="146" dataDxfId="145" totalsRowDxfId="144">
  <autoFilter ref="D5:P20"/>
  <tableColumns count="13">
    <tableColumn id="1" name="Subservei LOT 1" totalsRowLabel="Import total licitació" dataDxfId="143" totalsRowDxfId="142"/>
    <tableColumn id="3" name="Import 1r any_x000a_IVA inc" totalsRowFunction="sum" dataDxfId="141" totalsRowDxfId="140">
      <calculatedColumnFormula>K6*1.21</calculatedColumnFormula>
    </tableColumn>
    <tableColumn id="4" name="Import 2n any_x000a_IVA inc" totalsRowFunction="sum" dataDxfId="139" totalsRowDxfId="138">
      <calculatedColumnFormula>L6*1.21</calculatedColumnFormula>
    </tableColumn>
    <tableColumn id="14" name="import 2023_x000a_IVA inc" totalsRowFunction="sum" dataDxfId="137" totalsRowDxfId="136">
      <calculatedColumnFormula>CalculPressup[[#This Row],[import 2023
IVA exc]]*1.21</calculatedColumnFormula>
    </tableColumn>
    <tableColumn id="16" name="import 2024_x000a_IVA inc" totalsRowFunction="sum" dataDxfId="135" totalsRowDxfId="134">
      <calculatedColumnFormula>CalculPressup[[#This Row],[import 2024
IVA exc]]*1.21</calculatedColumnFormula>
    </tableColumn>
    <tableColumn id="15" name="import 2025_x000a_IVA inc" totalsRowFunction="sum" dataDxfId="133" totalsRowDxfId="132">
      <calculatedColumnFormula>CalculPressup[[#This Row],[import 2025
IVA exc]]*1.21</calculatedColumnFormula>
    </tableColumn>
    <tableColumn id="5" name="Import Total _x000a_IVA inclòs" totalsRowFunction="custom" dataDxfId="131" totalsRowDxfId="130">
      <calculatedColumnFormula>SUM(CalculPressup[[#This Row],[import 2023
IVA inc]:[import 2025
IVA inc]])</calculatedColumnFormula>
      <totalsRowFormula>J9+J12+J14+J17+J20</totalsRowFormula>
    </tableColumn>
    <tableColumn id="7" name="import 1r any_x000a_IVA exc" totalsRowFunction="sum" dataDxfId="129" totalsRowDxfId="128"/>
    <tableColumn id="12" name="import 2n any_x000a_IVA exc" totalsRowFunction="sum" dataDxfId="127" totalsRowDxfId="126"/>
    <tableColumn id="10" name="import 2023_x000a_IVA exc" totalsRowFunction="sum" dataDxfId="125" totalsRowDxfId="124">
      <calculatedColumnFormula>(CalculPressup[[#This Row],[import 1r any
IVA exc]]/365)*$I$4</calculatedColumnFormula>
    </tableColumn>
    <tableColumn id="8" name="import 2024_x000a_IVA exc" totalsRowFunction="custom" dataDxfId="123" totalsRowDxfId="122">
      <calculatedColumnFormula>(CalculPressup[[#This Row],[import 1r any
IVA exc]]-CalculPressup[[#This Row],[import 2023
IVA exc]])+(CalculPressup[[#This Row],[import 2n any
IVA exc]]/365)*$I$4</calculatedColumnFormula>
      <totalsRowFormula>SUBTOTAL(109,CalculPressup[import 2024
IVA exc])+0.001</totalsRowFormula>
    </tableColumn>
    <tableColumn id="11" name="import 2025_x000a_IVA exc" totalsRowFunction="sum" dataDxfId="121" totalsRowDxfId="120">
      <calculatedColumnFormula>(CalculPressup[[#This Row],[import 1r any
IVA exc]]-CalculPressup[[#This Row],[import 2023
IVA exc]])+(CalculPressup[[#This Row],[import 2n any
IVA exc]]/365)*$I$4</calculatedColumnFormula>
    </tableColumn>
    <tableColumn id="13" name="Import Total _x000a_IVA exclòs" totalsRowFunction="custom" dataDxfId="119" totalsRowDxfId="118" dataCellStyle="Moneda">
      <calculatedColumnFormula>SUM(CalculPressup[[#This Row],[import 2023
IVA exc]:[import 2025
IVA exc]])</calculatedColumnFormula>
      <totalsRowFormula>P9+P12+P14+P17+P20</totalsRowFormula>
    </tableColumn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1" name="Taula1" displayName="Taula1" ref="D24:P26" totalsRowCount="1" headerRowDxfId="117" dataDxfId="116" totalsRowDxfId="115">
  <autoFilter ref="D24:P25"/>
  <tableColumns count="13">
    <tableColumn id="1" name="Servei LOT 2" totalsRowLabel="Transició" dataDxfId="114" totalsRowDxfId="113"/>
    <tableColumn id="2" name="Import 1r any_x000a_IVA inc" totalsRowFunction="custom" dataDxfId="112" totalsRowDxfId="111">
      <calculatedColumnFormula>E24</calculatedColumnFormula>
      <totalsRowFormula>Taula1[[#Totals],[Import 1r any
IVA exc]]*1.21</totalsRowFormula>
    </tableColumn>
    <tableColumn id="3" name="Import 2n any_x000a_IVA inc" totalsRowFunction="custom" dataDxfId="110" totalsRowDxfId="109">
      <calculatedColumnFormula>F24</calculatedColumnFormula>
      <totalsRowFormula>Taula1[[#Totals],[Import 2n any
IVA exc]]*1.21</totalsRowFormula>
    </tableColumn>
    <tableColumn id="9" name="import 2023_x000a_IVA inc" dataDxfId="108" totalsRowDxfId="107">
      <calculatedColumnFormula>Taula1[import 2023
IVA exc]*1.21</calculatedColumnFormula>
    </tableColumn>
    <tableColumn id="11" name="import 2024_x000a_IVA inc" dataDxfId="106" totalsRowDxfId="105">
      <calculatedColumnFormula>Taula1[import 2024
IVA exc]*1.21</calculatedColumnFormula>
    </tableColumn>
    <tableColumn id="10" name="import 2025_x000a_IVA inc" totalsRowFunction="custom" dataDxfId="104" totalsRowDxfId="103">
      <calculatedColumnFormula>Taula1[import 2025
IVA exc]*1.21</calculatedColumnFormula>
      <totalsRowFormula>Taula1[[#Totals],[import 2025
IVA exc]]*1.21</totalsRowFormula>
    </tableColumn>
    <tableColumn id="4" name="Import Total IVA inclòs" totalsRowFunction="custom" dataDxfId="102" totalsRowDxfId="101">
      <calculatedColumnFormula>SUM(Taula1[[import 2023
IVA inc]:[import 2025
IVA inc]])</calculatedColumnFormula>
      <totalsRowFormula>Taula1[[#Totals],[import 2025
IVA inc]]</totalsRowFormula>
    </tableColumn>
    <tableColumn id="6" name="Import 1r any_x000a_IVA exc" totalsRowLabel="0" dataDxfId="100" totalsRowDxfId="99"/>
    <tableColumn id="8" name="Import 2n any_x000a_IVA exc" totalsRowFunction="custom" dataDxfId="98" totalsRowDxfId="97">
      <totalsRowFormula>Q25/2</totalsRowFormula>
    </tableColumn>
    <tableColumn id="12" name="import 2023_x000a_IVA exc" totalsRowFunction="custom" dataDxfId="96" totalsRowDxfId="95" dataCellStyle="Moneda">
      <calculatedColumnFormula>(Taula1[[#This Row],[Import 1r any
IVA exc]]/365)*$I$4</calculatedColumnFormula>
      <totalsRowFormula>Taula1[[#Totals],[Import 1r any
IVA exc]]*$I$4</totalsRowFormula>
    </tableColumn>
    <tableColumn id="13" name="import 2024_x000a_IVA exc" totalsRowLabel=" -   € " dataDxfId="94" totalsRowDxfId="93" dataCellStyle="Moneda">
      <calculatedColumnFormula>(Taula1[[#This Row],[Import 1r any
IVA exc]]-Taula1[[#This Row],[import 2023
IVA exc]])+(Taula1[[#This Row],[Import 2n any
IVA exc]]/365)*$I$4</calculatedColumnFormula>
    </tableColumn>
    <tableColumn id="14" name="import 2025_x000a_IVA exc" totalsRowFunction="custom" dataDxfId="92" totalsRowDxfId="91" dataCellStyle="Moneda">
      <calculatedColumnFormula>(Taula1[[#This Row],[Import 2n any
IVA exc]]/365)*(365-$I$4)</calculatedColumnFormula>
      <totalsRowFormula>(Taula1[[#Totals],[Import 2n any
IVA exc]])</totalsRowFormula>
    </tableColumn>
    <tableColumn id="15" name="Import Total _x000a_IVA exclòs" totalsRowFunction="custom" dataDxfId="90" totalsRowDxfId="89" dataCellStyle="Moneda">
      <calculatedColumnFormula>SUM(Taula1[[#This Row],[import 2023
IVA exc]:[import 2025
IVA exc]])</calculatedColumnFormula>
      <totalsRowFormula>SUM(Taula1[[#Totals],[import 2023
IVA exc]:[import 2025
IVA exc]])</totalsRowFormula>
    </tableColumn>
  </tableColumns>
  <tableStyleInfo name="TableStyleMedium17" showFirstColumn="0" showLastColumn="0" showRowStripes="1" showColumnStripes="0"/>
</table>
</file>

<file path=xl/tables/table3.xml><?xml version="1.0" encoding="utf-8"?>
<table xmlns="http://schemas.openxmlformats.org/spreadsheetml/2006/main" id="8" name="Tabla8" displayName="Tabla8" ref="D64:E68" totalsRowShown="0" headerRowDxfId="88" tableBorderDxfId="87">
  <autoFilter ref="D64:E68"/>
  <tableColumns count="2">
    <tableColumn id="2" name="Columna2"/>
    <tableColumn id="1" name="Columna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ServeiLot1" displayName="TServeiLot1" ref="B5:N16" totalsRowCount="1" headerRowDxfId="85" dataDxfId="84" totalsRowDxfId="82" tableBorderDxfId="83">
  <autoFilter ref="B5:N15"/>
  <tableColumns count="13">
    <tableColumn id="15" name="Sub Servei" dataDxfId="81" totalsRowDxfId="80"/>
    <tableColumn id="2" name="Import net_x000a_2023" totalsRowFunction="sum" dataDxfId="79" totalsRowDxfId="78"/>
    <tableColumn id="3" name="IVA 21%_x000a_2023" totalsRowFunction="sum" totalsRowDxfId="77"/>
    <tableColumn id="4" name="Import total_x000a_2023" totalsRowFunction="sum" dataDxfId="76" totalsRowDxfId="75"/>
    <tableColumn id="5" name="Import net_x000a_2024" totalsRowFunction="custom" dataDxfId="74" totalsRowDxfId="73">
      <totalsRowFormula>SUBTOTAL(109,TServeiLot1[Import net
2024])+0.001</totalsRowFormula>
    </tableColumn>
    <tableColumn id="6" name="IVA 21%_x000a_2024" totalsRowFunction="sum" totalsRowDxfId="72"/>
    <tableColumn id="7" name="Import total_x000a_2024" totalsRowFunction="custom" dataDxfId="71" totalsRowDxfId="70">
      <totalsRowFormula>SUBTOTAL(109,TServeiLot1[Import total
2024])+0.001</totalsRowFormula>
    </tableColumn>
    <tableColumn id="11" name="Import net_x000a_2025" totalsRowFunction="sum" dataDxfId="69" totalsRowDxfId="68">
      <calculatedColumnFormula>'Càlcul pressupost '!O7</calculatedColumnFormula>
    </tableColumn>
    <tableColumn id="12" name="IVA 21%_x000a_2025" totalsRowFunction="sum" dataDxfId="67" totalsRowDxfId="66">
      <calculatedColumnFormula>ROUND(I6*0.21,2)+0.01</calculatedColumnFormula>
    </tableColumn>
    <tableColumn id="13" name="Import total_x000a_2025" totalsRowFunction="custom" dataDxfId="65" totalsRowDxfId="64">
      <calculatedColumnFormula>TServeiLot1[[#This Row],[Import net
2025]]+TServeiLot1[[#This Row],[IVA 21%
2025]]</calculatedColumnFormula>
      <totalsRowFormula>SUBTOTAL(109,TServeiLot1[Import total
2025])-0.01</totalsRowFormula>
    </tableColumn>
    <tableColumn id="8" name="Total import net" totalsRowFunction="sum" dataDxfId="63" totalsRowDxfId="62">
      <calculatedColumnFormula>TServeiLot1[[#This Row],[Import net
2023]]+TServeiLot1[[#This Row],[Import net
2024]]+TServeiLot1[[#This Row],[Import net
2025]]</calculatedColumnFormula>
    </tableColumn>
    <tableColumn id="9" name="Total IVA 21%" totalsRowFunction="custom" dataDxfId="61" totalsRowDxfId="60">
      <calculatedColumnFormula>TServeiLot1[[#This Row],[IVA 21%
2023]]+TServeiLot1[[#This Row],[IVA 21%
2024]]+TServeiLot1[[#This Row],[IVA 21%
2025]]</calculatedColumnFormula>
      <totalsRowFormula>SUBTOTAL(109,TServeiLot1[Total IVA 21%])+0.02</totalsRowFormula>
    </tableColumn>
    <tableColumn id="10" name="Total import contracte" totalsRowFunction="custom" dataDxfId="59" totalsRowDxfId="58">
      <calculatedColumnFormula>TServeiLot1[[#This Row],[Total import net]]+TServeiLot1[[#This Row],[Total IVA 21%]]</calculatedColumnFormula>
      <totalsRowFormula>SUBTOTAL(109,TServeiLot1[Total import contracte])+0.02</totalsRowFormula>
    </tableColumn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4" name="TserveisLot2" displayName="TserveisLot2" ref="A21:N22" totalsRowDxfId="56" tableBorderDxfId="57">
  <autoFilter ref="A21:N22"/>
  <tableColumns count="14">
    <tableColumn id="1" name="Serveis" totalsRowLabel="Total" dataDxfId="55" totalsRowDxfId="54"/>
    <tableColumn id="14" name="Sub Servei" dataDxfId="53" totalsRowDxfId="52"/>
    <tableColumn id="2" name="Import net_x000a_2023" dataDxfId="51" totalsRowDxfId="50">
      <calculatedColumnFormula>Taula1[import 2023
IVA exc]</calculatedColumnFormula>
    </tableColumn>
    <tableColumn id="3" name="IVA 21%_x000a_2023" dataDxfId="49">
      <calculatedColumnFormula>ROUND(C22*0.21,2)</calculatedColumnFormula>
    </tableColumn>
    <tableColumn id="4" name="Import total_x000a_2023" dataDxfId="48">
      <calculatedColumnFormula>+C22+D22</calculatedColumnFormula>
    </tableColumn>
    <tableColumn id="5" name="Import net_x000a_2024" dataDxfId="47">
      <calculatedColumnFormula>Taula1[import 2024
IVA exc]</calculatedColumnFormula>
    </tableColumn>
    <tableColumn id="6" name="IVA 21%_x000a_2024" dataDxfId="46">
      <calculatedColumnFormula>ROUND(F22*0.21,2)</calculatedColumnFormula>
    </tableColumn>
    <tableColumn id="7" name="Import total_x000a_2024" dataDxfId="45">
      <calculatedColumnFormula>+F22+G22</calculatedColumnFormula>
    </tableColumn>
    <tableColumn id="8" name="Import net_x000a_2025" dataDxfId="44">
      <calculatedColumnFormula>Taula1[import 2025
IVA exc]</calculatedColumnFormula>
    </tableColumn>
    <tableColumn id="9" name="IVA 21%_x000a_2025" dataDxfId="43">
      <calculatedColumnFormula>ROUND(I22*0.21,2)</calculatedColumnFormula>
    </tableColumn>
    <tableColumn id="10" name="Import total_x000a_2025" dataDxfId="42">
      <calculatedColumnFormula>I22+J22</calculatedColumnFormula>
    </tableColumn>
    <tableColumn id="11" name="Total import net" totalsRowFunction="sum" dataDxfId="41" totalsRowDxfId="40">
      <calculatedColumnFormula>C22+F22+I22</calculatedColumnFormula>
    </tableColumn>
    <tableColumn id="12" name="Total IVA 21%" dataDxfId="39">
      <calculatedColumnFormula>D22+G22+J22</calculatedColumnFormula>
    </tableColumn>
    <tableColumn id="13" name="Total import contracte" totalsRowFunction="sum" dataDxfId="38" totalsRowDxfId="37">
      <calculatedColumnFormula>E22+H22+K22</calculatedColumnFormula>
    </tableColumn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id="5" name="TCapitol" displayName="TCapitol" ref="A28:E32" totalsRowCount="1" headerRowDxfId="36" dataDxfId="34" headerRowBorderDxfId="35" tableBorderDxfId="33" dataCellStyle="Moneda">
  <autoFilter ref="A28:E31"/>
  <tableColumns count="5">
    <tableColumn id="1" name="Any" totalsRowLabel="Total" dataDxfId="32" totalsRowDxfId="31"/>
    <tableColumn id="2" name="Capítol" dataDxfId="30" totalsRowDxfId="29"/>
    <tableColumn id="3" name="Pressupost net" totalsRowFunction="sum" dataDxfId="28" totalsRowDxfId="27" dataCellStyle="Moneda"/>
    <tableColumn id="4" name="IVA" totalsRowFunction="sum" dataDxfId="26" totalsRowDxfId="25" dataCellStyle="Moneda">
      <calculatedColumnFormula>C29*0.21</calculatedColumnFormula>
    </tableColumn>
    <tableColumn id="5" name="Import total" totalsRowFunction="sum" dataDxfId="24" totalsRowDxfId="23" dataCellStyle="Moneda">
      <calculatedColumnFormula>C29+D29</calculatedColumnFormula>
    </tableColumn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id="6" name="Taula6" displayName="Taula6" ref="B2:D7" totalsRowCount="1" headerRowDxfId="22" dataDxfId="21" dataCellStyle="Moneda">
  <autoFilter ref="B2:D6"/>
  <tableColumns count="3">
    <tableColumn id="1" name="Elements comunicacions" totalsRowLabel="Total"/>
    <tableColumn id="2" name="cost mensual 1 GB_x000a_iva exc" dataDxfId="20" totalsRowDxfId="19" dataCellStyle="Moneda"/>
    <tableColumn id="3" name="cost anual 1 GB_x000a_iva exc" totalsRowFunction="sum" dataDxfId="18" totalsRowDxfId="17" dataCellStyle="Moneda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ula7" displayName="Taula7" ref="B16:D18" totalsRowCount="1" headerRowDxfId="16" headerRowBorderDxfId="15" tableBorderDxfId="14" totalsRowBorderDxfId="13">
  <autoFilter ref="B16:D17"/>
  <tableColumns count="3">
    <tableColumn id="1" name="Infraestructura/Manteniment/operació de les comunicacions" totalsRowLabel="Total" dataDxfId="12" totalsRowDxfId="11"/>
    <tableColumn id="2" name="cost mensual _x000a_iva exc" dataDxfId="10" totalsRowDxfId="9" dataCellStyle="Moneda">
      <calculatedColumnFormula>Taula7[cost anual 
iva exc]/12</calculatedColumnFormula>
    </tableColumn>
    <tableColumn id="3" name="cost anual _x000a_iva exc" totalsRowFunction="sum" dataDxfId="8" totalsRowDxfId="7" dataCellStyle="Moneda">
      <calculatedColumnFormula>150000/2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ula10" displayName="Taula10" ref="B10:D13" totalsRowCount="1" tableBorderDxfId="6">
  <autoFilter ref="B10:D12"/>
  <tableColumns count="3">
    <tableColumn id="1" name="Espai ciutadà" totalsRowLabel="Total"/>
    <tableColumn id="2" name="cost mensual _x000a_iva exc" totalsRowFunction="sum" dataDxfId="5" totalsRowDxfId="4" dataCellStyle="Moneda"/>
    <tableColumn id="3" name="cost anual _x000a_iva exc" totalsRowFunction="sum" dataDxfId="3" totalsRowDxfId="2" dataCellStyle="Moneda">
      <calculatedColumnFormula>C11*12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aula9" displayName="Taula9" ref="B3:C10" totalsRowCount="1">
  <autoFilter ref="B3:C9"/>
  <tableColumns count="2">
    <tableColumn id="1" name="Producte CDP_x000a_1.500.000 perfils" totalsRowLabel="Mitjana"/>
    <tableColumn id="2" name="Cost any_x000a_IVA Exclòs" totalsRowFunction="average" dataDxfId="1" totalsRowDxfId="0" dataCellStyle="Moned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3.xml"/><Relationship Id="rId5" Type="http://schemas.openxmlformats.org/officeDocument/2006/relationships/table" Target="../tables/table9.xml"/><Relationship Id="rId4" Type="http://schemas.openxmlformats.org/officeDocument/2006/relationships/table" Target="../tables/table8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145"/>
  <sheetViews>
    <sheetView tabSelected="1" topLeftCell="A52" workbookViewId="0">
      <selection activeCell="G140" sqref="G140"/>
    </sheetView>
  </sheetViews>
  <sheetFormatPr defaultColWidth="11.42578125" defaultRowHeight="15"/>
  <cols>
    <col min="1" max="1" width="14.140625" style="7" customWidth="1"/>
    <col min="2" max="2" width="10.85546875" style="10" customWidth="1"/>
    <col min="3" max="3" width="28.140625" style="9" customWidth="1"/>
    <col min="4" max="4" width="29.28515625" style="10" customWidth="1"/>
    <col min="5" max="5" width="20.5703125" style="10" customWidth="1"/>
    <col min="6" max="6" width="18" style="9" bestFit="1" customWidth="1"/>
    <col min="7" max="7" width="18.85546875" style="9" bestFit="1" customWidth="1"/>
    <col min="8" max="9" width="16.140625" style="7" bestFit="1" customWidth="1"/>
    <col min="10" max="10" width="20.28515625" style="7" bestFit="1" customWidth="1"/>
    <col min="11" max="11" width="15.7109375" style="7" customWidth="1"/>
    <col min="12" max="12" width="19.28515625" style="7" bestFit="1" customWidth="1"/>
    <col min="13" max="13" width="17.28515625" style="7" bestFit="1" customWidth="1"/>
    <col min="14" max="15" width="16.140625" style="7" bestFit="1" customWidth="1"/>
    <col min="16" max="16" width="17.85546875" style="7" bestFit="1" customWidth="1"/>
    <col min="17" max="17" width="13.42578125" style="7" bestFit="1" customWidth="1"/>
    <col min="18" max="18" width="3.28515625" style="7" customWidth="1"/>
    <col min="19" max="19" width="15.42578125" style="7" bestFit="1" customWidth="1"/>
    <col min="20" max="20" width="21.28515625" style="7" customWidth="1"/>
    <col min="21" max="21" width="10.85546875" style="7" bestFit="1" customWidth="1"/>
    <col min="22" max="22" width="15.42578125" style="7" bestFit="1" customWidth="1"/>
    <col min="23" max="23" width="9.28515625" style="7" customWidth="1"/>
    <col min="24" max="24" width="10.85546875" style="7" bestFit="1" customWidth="1"/>
    <col min="25" max="25" width="15" style="7" bestFit="1" customWidth="1"/>
    <col min="26" max="26" width="11.5703125" style="7" customWidth="1"/>
    <col min="27" max="27" width="11.85546875" style="7" customWidth="1"/>
    <col min="28" max="28" width="13" style="7" bestFit="1" customWidth="1"/>
    <col min="29" max="29" width="17.85546875" style="7" bestFit="1" customWidth="1"/>
    <col min="30" max="31" width="10.5703125" style="7" bestFit="1" customWidth="1"/>
    <col min="32" max="32" width="14.42578125" style="7" customWidth="1"/>
    <col min="33" max="34" width="17.85546875" style="8" bestFit="1" customWidth="1"/>
    <col min="35" max="35" width="14.42578125" style="7" customWidth="1"/>
    <col min="36" max="36" width="11.5703125" style="8" bestFit="1" customWidth="1"/>
    <col min="37" max="37" width="18.28515625" style="8" bestFit="1" customWidth="1"/>
    <col min="38" max="38" width="17.28515625" style="8" customWidth="1"/>
    <col min="39" max="39" width="14" style="7" customWidth="1"/>
    <col min="40" max="41" width="11.42578125" style="7"/>
    <col min="42" max="42" width="12.7109375" style="7" bestFit="1" customWidth="1"/>
    <col min="43" max="16384" width="11.42578125" style="7"/>
  </cols>
  <sheetData>
    <row r="1" spans="1:38" ht="18.75">
      <c r="A1" s="40" t="s">
        <v>85</v>
      </c>
      <c r="B1" s="42"/>
      <c r="C1" s="41"/>
      <c r="D1" s="40"/>
      <c r="E1" s="39"/>
      <c r="F1" s="7"/>
      <c r="G1" s="7"/>
      <c r="AG1" s="7"/>
      <c r="AH1" s="7"/>
      <c r="AI1" s="8"/>
      <c r="AJ1" s="7"/>
      <c r="AK1" s="7"/>
      <c r="AL1" s="7"/>
    </row>
    <row r="2" spans="1:38">
      <c r="A2" s="37" t="s">
        <v>17</v>
      </c>
      <c r="B2" s="296">
        <v>45202</v>
      </c>
      <c r="C2" s="38"/>
      <c r="D2" s="38"/>
      <c r="E2" s="474" t="s">
        <v>83</v>
      </c>
      <c r="F2" s="475">
        <f>B2</f>
        <v>45202</v>
      </c>
      <c r="G2" s="220" t="s">
        <v>152</v>
      </c>
      <c r="I2" s="475">
        <f>F2</f>
        <v>45202</v>
      </c>
      <c r="AG2" s="7"/>
      <c r="AH2" s="7"/>
      <c r="AJ2" s="7"/>
      <c r="AK2" s="7"/>
      <c r="AL2" s="7"/>
    </row>
    <row r="3" spans="1:38">
      <c r="A3" s="1" t="s">
        <v>7</v>
      </c>
      <c r="B3" s="296">
        <v>45202</v>
      </c>
      <c r="C3" s="38"/>
      <c r="D3" s="38"/>
      <c r="E3" s="474" t="s">
        <v>84</v>
      </c>
      <c r="F3" s="475">
        <f>+B4</f>
        <v>45932</v>
      </c>
      <c r="G3" s="219">
        <v>46297</v>
      </c>
      <c r="I3" s="475">
        <v>45291</v>
      </c>
      <c r="AG3" s="7"/>
      <c r="AH3" s="7"/>
      <c r="AJ3" s="7"/>
      <c r="AK3" s="7"/>
      <c r="AL3" s="7"/>
    </row>
    <row r="4" spans="1:38" ht="15.75" thickBot="1">
      <c r="A4" s="37" t="s">
        <v>16</v>
      </c>
      <c r="B4" s="296">
        <v>45932</v>
      </c>
      <c r="C4" s="38"/>
      <c r="D4" s="11"/>
      <c r="E4" s="476"/>
      <c r="F4" s="8">
        <f>F3-F2+1</f>
        <v>731</v>
      </c>
      <c r="G4" s="220" t="s">
        <v>151</v>
      </c>
      <c r="I4" s="8">
        <f>I3-I2+1</f>
        <v>90</v>
      </c>
      <c r="K4" s="107"/>
      <c r="AF4" s="8"/>
      <c r="AG4" s="7"/>
      <c r="AH4" s="7"/>
      <c r="AJ4" s="7"/>
      <c r="AK4" s="7"/>
      <c r="AL4" s="7"/>
    </row>
    <row r="5" spans="1:38" ht="30.75" thickBot="1">
      <c r="A5" s="37"/>
      <c r="B5" s="36"/>
      <c r="C5" s="292" t="s">
        <v>73</v>
      </c>
      <c r="D5" s="35" t="s">
        <v>180</v>
      </c>
      <c r="E5" s="192" t="s">
        <v>109</v>
      </c>
      <c r="F5" s="192" t="s">
        <v>110</v>
      </c>
      <c r="G5" s="35" t="s">
        <v>136</v>
      </c>
      <c r="H5" s="35" t="s">
        <v>137</v>
      </c>
      <c r="I5" s="35" t="s">
        <v>138</v>
      </c>
      <c r="J5" s="34" t="s">
        <v>107</v>
      </c>
      <c r="K5" s="192" t="s">
        <v>111</v>
      </c>
      <c r="L5" s="192" t="s">
        <v>112</v>
      </c>
      <c r="M5" s="35" t="s">
        <v>133</v>
      </c>
      <c r="N5" s="35" t="s">
        <v>134</v>
      </c>
      <c r="O5" s="191" t="s">
        <v>135</v>
      </c>
      <c r="P5" s="34" t="s">
        <v>108</v>
      </c>
      <c r="Q5" s="332" t="s">
        <v>113</v>
      </c>
      <c r="AG5" s="7"/>
      <c r="AH5" s="7"/>
      <c r="AJ5" s="7"/>
      <c r="AK5" s="7"/>
      <c r="AL5" s="7"/>
    </row>
    <row r="6" spans="1:38" ht="25.5" customHeight="1">
      <c r="A6" s="33"/>
      <c r="B6" s="32"/>
      <c r="C6" s="609" t="s">
        <v>184</v>
      </c>
      <c r="D6" s="287" t="s">
        <v>209</v>
      </c>
      <c r="E6" s="286">
        <f t="shared" ref="E6:E19" si="0">K6*1.21</f>
        <v>188820.5</v>
      </c>
      <c r="F6" s="286">
        <f t="shared" ref="F6:F19" si="1">L6*1.21</f>
        <v>188820.5</v>
      </c>
      <c r="G6" s="285">
        <f>CalculPressup[[#This Row],[import 2023
IVA exc]]*1.21</f>
        <v>46558.479452054795</v>
      </c>
      <c r="H6" s="285">
        <f>CalculPressup[[#This Row],[import 2024
IVA exc]]*1.21</f>
        <v>188820.5</v>
      </c>
      <c r="I6" s="285">
        <f>CalculPressup[[#This Row],[import 2025
IVA exc]]*1.21</f>
        <v>142262.0205479452</v>
      </c>
      <c r="J6" s="285">
        <f>SUM(CalculPressup[[#This Row],[import 2023
IVA inc]:[import 2025
IVA inc]])</f>
        <v>377641</v>
      </c>
      <c r="K6" s="286">
        <f>MROUND(Infraestructura!D22,10)</f>
        <v>156050</v>
      </c>
      <c r="L6" s="286">
        <f>MROUND(Infraestructura!D22,10)</f>
        <v>156050</v>
      </c>
      <c r="M6" s="285">
        <f>(CalculPressup[[#This Row],[import 1r any
IVA exc]]/365)*$I$4</f>
        <v>38478.082191780821</v>
      </c>
      <c r="N6" s="285">
        <f>(CalculPressup[[#This Row],[import 1r any
IVA exc]]-CalculPressup[[#This Row],[import 2023
IVA exc]])+(CalculPressup[[#This Row],[import 2n any
IVA exc]]/365)*$I$4</f>
        <v>156050</v>
      </c>
      <c r="O6" s="284">
        <f>(CalculPressup[[#This Row],[import 1r any
IVA exc]]+CalculPressup[[#This Row],[import 2n any
IVA exc]])-(CalculPressup[[#This Row],[import 2023
IVA exc]]+CalculPressup[[#This Row],[import 2024
IVA exc]])</f>
        <v>117571.91780821918</v>
      </c>
      <c r="P6" s="283">
        <f>SUM(CalculPressup[[#This Row],[import 2023
IVA exc]:[import 2025
IVA exc]])</f>
        <v>312100</v>
      </c>
      <c r="Q6" s="329">
        <f>(CalculPressup[[#This Row],[Import Total 
IVA exclòs]]/2)/12</f>
        <v>13004.166666666666</v>
      </c>
      <c r="S6" s="618" t="s">
        <v>154</v>
      </c>
      <c r="T6" s="618"/>
      <c r="AG6" s="7"/>
      <c r="AH6" s="7"/>
      <c r="AI6" s="31"/>
      <c r="AJ6" s="31"/>
      <c r="AK6" s="7"/>
      <c r="AL6" s="7"/>
    </row>
    <row r="7" spans="1:38">
      <c r="A7" s="33"/>
      <c r="B7" s="32"/>
      <c r="C7" s="611"/>
      <c r="D7" s="293" t="s">
        <v>88</v>
      </c>
      <c r="E7" s="288">
        <f t="shared" si="0"/>
        <v>302500</v>
      </c>
      <c r="F7" s="288">
        <f t="shared" si="1"/>
        <v>0</v>
      </c>
      <c r="G7" s="278">
        <f>CalculPressup[[#This Row],[import 2023
IVA exc]]*1.21</f>
        <v>74589.041095890396</v>
      </c>
      <c r="H7" s="278">
        <f>CalculPressup[[#This Row],[import 2024
IVA exc]]*1.21-0.01</f>
        <v>227910.94890410957</v>
      </c>
      <c r="I7" s="278">
        <f>CalculPressup[[#This Row],[import 2025
IVA exc]]*1.21</f>
        <v>0</v>
      </c>
      <c r="J7" s="278">
        <f>SUM(CalculPressup[[#This Row],[import 2023
IVA inc]:[import 2025
IVA inc]])-0.01</f>
        <v>302499.98</v>
      </c>
      <c r="K7" s="288">
        <v>250000</v>
      </c>
      <c r="L7" s="288">
        <v>0</v>
      </c>
      <c r="M7" s="278">
        <f>(CalculPressup[[#This Row],[import 1r any
IVA exc]]/365)*$I$4</f>
        <v>61643.835616438351</v>
      </c>
      <c r="N7" s="278">
        <f>(CalculPressup[[#This Row],[import 1r any
IVA exc]]-CalculPressup[[#This Row],[import 2023
IVA exc]])+(CalculPressup[[#This Row],[import 2n any
IVA exc]]/365)*$I$4</f>
        <v>188356.16438356164</v>
      </c>
      <c r="O7" s="291">
        <f>(CalculPressup[[#This Row],[import 1r any
IVA exc]]+CalculPressup[[#This Row],[import 2n any
IVA exc]])-(CalculPressup[[#This Row],[import 2023
IVA exc]]+CalculPressup[[#This Row],[import 2024
IVA exc]])</f>
        <v>0</v>
      </c>
      <c r="P7" s="282">
        <f>SUM(CalculPressup[[#This Row],[import 2023
IVA exc]:[import 2025
IVA exc]])</f>
        <v>250000</v>
      </c>
      <c r="Q7" s="329">
        <f>(CalculPressup[[#This Row],[Import Total 
IVA exclòs]]/2)/12</f>
        <v>10416.666666666666</v>
      </c>
      <c r="R7" s="8"/>
      <c r="S7" s="619" t="s">
        <v>226</v>
      </c>
      <c r="T7" s="619"/>
      <c r="AG7" s="7"/>
      <c r="AH7" s="7"/>
      <c r="AI7" s="31"/>
      <c r="AJ7" s="31"/>
      <c r="AK7" s="7"/>
      <c r="AL7" s="7"/>
    </row>
    <row r="8" spans="1:38" ht="15.75" thickBot="1">
      <c r="C8" s="612"/>
      <c r="D8" s="477" t="s">
        <v>156</v>
      </c>
      <c r="E8" s="315">
        <f>K8*1.21</f>
        <v>60500</v>
      </c>
      <c r="F8" s="315">
        <f>L8*1.21</f>
        <v>60500</v>
      </c>
      <c r="G8" s="306">
        <f>CalculPressup[[#This Row],[import 2023
IVA exc]]*1.21</f>
        <v>14917.808219178081</v>
      </c>
      <c r="H8" s="306">
        <f>CalculPressup[[#This Row],[import 2024
IVA exc]]*1.21</f>
        <v>60500</v>
      </c>
      <c r="I8" s="306">
        <f>CalculPressup[[#This Row],[import 2025
IVA exc]]*1.21</f>
        <v>45582.191780821915</v>
      </c>
      <c r="J8" s="305">
        <f>SUM(CalculPressup[[#This Row],[import 2023
IVA inc]:[import 2025
IVA inc]])</f>
        <v>121000</v>
      </c>
      <c r="K8" s="315">
        <v>50000</v>
      </c>
      <c r="L8" s="315">
        <v>50000</v>
      </c>
      <c r="M8" s="306">
        <f>(CalculPressup[[#This Row],[import 1r any
IVA exc]]/365)*$I$4</f>
        <v>12328.767123287671</v>
      </c>
      <c r="N8" s="305">
        <f>(CalculPressup[[#This Row],[import 1r any
IVA exc]]-CalculPressup[[#This Row],[import 2023
IVA exc]])+(CalculPressup[[#This Row],[import 2n any
IVA exc]]/365)*$I$4</f>
        <v>50000</v>
      </c>
      <c r="O8" s="306">
        <f>(CalculPressup[[#This Row],[import 1r any
IVA exc]]+CalculPressup[[#This Row],[import 2n any
IVA exc]])-(CalculPressup[[#This Row],[import 2023
IVA exc]]+CalculPressup[[#This Row],[import 2024
IVA exc]])</f>
        <v>37671.232876712325</v>
      </c>
      <c r="P8" s="316">
        <f>SUM(CalculPressup[[#This Row],[import 2023
IVA exc]:[import 2025
IVA exc]])</f>
        <v>100000</v>
      </c>
      <c r="Q8" s="329">
        <f>(CalculPressup[[#This Row],[Import Total 
IVA exclòs]]/2)/12</f>
        <v>4166.666666666667</v>
      </c>
      <c r="R8" s="8"/>
      <c r="S8" s="618" t="s">
        <v>156</v>
      </c>
      <c r="T8" s="618"/>
      <c r="AG8" s="7"/>
      <c r="AH8" s="7"/>
      <c r="AI8" s="30"/>
      <c r="AJ8" s="30"/>
      <c r="AK8" s="7"/>
      <c r="AL8" s="7"/>
    </row>
    <row r="9" spans="1:38" s="295" customFormat="1" ht="17.25" thickTop="1" thickBot="1">
      <c r="B9" s="299"/>
      <c r="C9" s="281" t="s">
        <v>47</v>
      </c>
      <c r="D9" s="300" t="s">
        <v>185</v>
      </c>
      <c r="E9" s="301"/>
      <c r="F9" s="301"/>
      <c r="G9" s="280"/>
      <c r="H9" s="280"/>
      <c r="I9" s="280"/>
      <c r="J9" s="289">
        <f>SUM(J6:J8)</f>
        <v>801140.98</v>
      </c>
      <c r="K9" s="301"/>
      <c r="L9" s="301"/>
      <c r="M9" s="280"/>
      <c r="N9" s="280"/>
      <c r="O9" s="280"/>
      <c r="P9" s="279">
        <f>SUM(P6:P8)</f>
        <v>662100</v>
      </c>
      <c r="Q9" s="330"/>
      <c r="R9" s="479"/>
      <c r="S9" s="302"/>
      <c r="T9" s="302"/>
      <c r="AI9" s="27"/>
      <c r="AJ9" s="27"/>
    </row>
    <row r="10" spans="1:38" ht="15.75" customHeight="1">
      <c r="C10" s="609" t="s">
        <v>181</v>
      </c>
      <c r="D10" s="297" t="s">
        <v>86</v>
      </c>
      <c r="E10" s="286">
        <f t="shared" si="0"/>
        <v>60500</v>
      </c>
      <c r="F10" s="286">
        <f t="shared" si="1"/>
        <v>121000</v>
      </c>
      <c r="G10" s="285">
        <f>CalculPressup[[#This Row],[import 2023
IVA exc]]*1.21</f>
        <v>14917.808219178081</v>
      </c>
      <c r="H10" s="285">
        <f>CalculPressup[[#This Row],[import 2024
IVA exc]]*1.21</f>
        <v>75417.80821917807</v>
      </c>
      <c r="I10" s="285">
        <f>CalculPressup[[#This Row],[import 2025
IVA exc]]*1.21</f>
        <v>91164.382351643842</v>
      </c>
      <c r="J10" s="285">
        <f>SUM(CalculPressup[[#This Row],[import 2023
IVA inc]:[import 2025
IVA inc]])</f>
        <v>181499.99878999998</v>
      </c>
      <c r="K10" s="286">
        <v>50000</v>
      </c>
      <c r="L10" s="286">
        <v>100000</v>
      </c>
      <c r="M10" s="285">
        <f>(CalculPressup[[#This Row],[import 1r any
IVA exc]]/365)*$I$4</f>
        <v>12328.767123287671</v>
      </c>
      <c r="N10" s="285">
        <f>(CalculPressup[[#This Row],[import 1r any
IVA exc]]-CalculPressup[[#This Row],[import 2023
IVA exc]])+(CalculPressup[[#This Row],[import 2n any
IVA exc]]/365)*$I$4</f>
        <v>62328.767123287667</v>
      </c>
      <c r="O10" s="284">
        <f>(CalculPressup[[#This Row],[import 1r any
IVA exc]]+CalculPressup[[#This Row],[import 2n any
IVA exc]])-(CalculPressup[[#This Row],[import 2023
IVA exc]]+CalculPressup[[#This Row],[import 2024
IVA exc]])-0.001</f>
        <v>75342.464753424661</v>
      </c>
      <c r="P10" s="283">
        <f>SUM(CalculPressup[[#This Row],[import 2023
IVA exc]:[import 2025
IVA exc]])</f>
        <v>149999.99900000001</v>
      </c>
      <c r="Q10" s="329">
        <f>(CalculPressup[[#This Row],[Import Total 
IVA exclòs]]/2)/12</f>
        <v>6249.9999583333338</v>
      </c>
      <c r="R10" s="8"/>
      <c r="S10" s="616" t="s">
        <v>86</v>
      </c>
      <c r="T10" s="616"/>
      <c r="AG10" s="7"/>
      <c r="AH10" s="7"/>
      <c r="AI10" s="30"/>
      <c r="AJ10" s="30"/>
      <c r="AK10" s="7"/>
      <c r="AL10" s="7"/>
    </row>
    <row r="11" spans="1:38" ht="16.5" thickBot="1">
      <c r="C11" s="612"/>
      <c r="D11" s="303" t="s">
        <v>87</v>
      </c>
      <c r="E11" s="304">
        <f t="shared" si="0"/>
        <v>0</v>
      </c>
      <c r="F11" s="304">
        <f t="shared" si="1"/>
        <v>181500</v>
      </c>
      <c r="G11" s="305">
        <f>CalculPressup[[#This Row],[import 2023
IVA exc]]*1.21</f>
        <v>0</v>
      </c>
      <c r="H11" s="305">
        <f>CalculPressup[[#This Row],[import 2024
IVA exc]]*1.21</f>
        <v>44753.42465753424</v>
      </c>
      <c r="I11" s="305">
        <f>CalculPressup[[#This Row],[import 2025
IVA exc]]*1.21</f>
        <v>136746.57534246575</v>
      </c>
      <c r="J11" s="305">
        <f>SUM(CalculPressup[[#This Row],[import 2023
IVA inc]:[import 2025
IVA inc]])</f>
        <v>181500</v>
      </c>
      <c r="K11" s="304">
        <v>0</v>
      </c>
      <c r="L11" s="304">
        <v>150000</v>
      </c>
      <c r="M11" s="305">
        <f>(CalculPressup[[#This Row],[import 1r any
IVA exc]]/365)*$I$4</f>
        <v>0</v>
      </c>
      <c r="N11" s="305">
        <f>(CalculPressup[[#This Row],[import 1r any
IVA exc]]-CalculPressup[[#This Row],[import 2023
IVA exc]])+(CalculPressup[[#This Row],[import 2n any
IVA exc]]/365)*$I$4</f>
        <v>36986.301369863009</v>
      </c>
      <c r="O11" s="306">
        <f>(CalculPressup[[#This Row],[import 1r any
IVA exc]]+CalculPressup[[#This Row],[import 2n any
IVA exc]])-(CalculPressup[[#This Row],[import 2023
IVA exc]]+CalculPressup[[#This Row],[import 2024
IVA exc]])</f>
        <v>113013.69863013699</v>
      </c>
      <c r="P11" s="313">
        <f>SUM(CalculPressup[[#This Row],[import 2023
IVA exc]:[import 2025
IVA exc]])</f>
        <v>150000</v>
      </c>
      <c r="Q11" s="329">
        <f>(CalculPressup[[#This Row],[Import Total 
IVA exclòs]]/2)/12</f>
        <v>6250</v>
      </c>
      <c r="R11" s="8"/>
      <c r="S11" s="617" t="s">
        <v>87</v>
      </c>
      <c r="T11" s="617"/>
      <c r="AG11" s="7"/>
      <c r="AH11" s="7"/>
      <c r="AI11" s="30"/>
      <c r="AJ11" s="30"/>
      <c r="AK11" s="7"/>
      <c r="AL11" s="7"/>
    </row>
    <row r="12" spans="1:38" s="295" customFormat="1" ht="17.25" thickTop="1" thickBot="1">
      <c r="B12" s="299"/>
      <c r="C12" s="281" t="s">
        <v>47</v>
      </c>
      <c r="D12" s="300" t="s">
        <v>186</v>
      </c>
      <c r="E12" s="301"/>
      <c r="F12" s="301"/>
      <c r="G12" s="280"/>
      <c r="H12" s="280"/>
      <c r="I12" s="280"/>
      <c r="J12" s="289">
        <f>SUM(J10:J11)</f>
        <v>362999.99878999998</v>
      </c>
      <c r="K12" s="301"/>
      <c r="L12" s="301"/>
      <c r="M12" s="280"/>
      <c r="N12" s="280"/>
      <c r="O12" s="280"/>
      <c r="P12" s="279">
        <f>SUM(P10:P11)</f>
        <v>299999.99900000001</v>
      </c>
      <c r="Q12" s="330"/>
      <c r="R12" s="479"/>
      <c r="S12" s="302"/>
      <c r="T12" s="302"/>
      <c r="AI12" s="27"/>
      <c r="AJ12" s="27"/>
    </row>
    <row r="13" spans="1:38" ht="15.75" thickBot="1">
      <c r="C13" s="317" t="s">
        <v>77</v>
      </c>
      <c r="D13" s="318" t="s">
        <v>77</v>
      </c>
      <c r="E13" s="319">
        <f t="shared" si="0"/>
        <v>465850</v>
      </c>
      <c r="F13" s="319">
        <f t="shared" si="1"/>
        <v>465850</v>
      </c>
      <c r="G13" s="320">
        <f>CalculPressup[[#This Row],[import 2023
IVA exc]]*1.21</f>
        <v>114867.12328767123</v>
      </c>
      <c r="H13" s="320">
        <f>CalculPressup[[#This Row],[import 2024
IVA exc]]*1.21</f>
        <v>465850</v>
      </c>
      <c r="I13" s="320">
        <f>CalculPressup[[#This Row],[import 2025
IVA exc]]*1.21</f>
        <v>350982.87671232875</v>
      </c>
      <c r="J13" s="320">
        <f>SUM(CalculPressup[[#This Row],[import 2023
IVA inc]:[import 2025
IVA inc]])</f>
        <v>931700</v>
      </c>
      <c r="K13" s="319">
        <v>385000</v>
      </c>
      <c r="L13" s="319">
        <v>385000</v>
      </c>
      <c r="M13" s="320">
        <f>(CalculPressup[[#This Row],[import 1r any
IVA exc]]/365)*$I$4</f>
        <v>94931.506849315076</v>
      </c>
      <c r="N13" s="320">
        <f>(CalculPressup[[#This Row],[import 1r any
IVA exc]]-CalculPressup[[#This Row],[import 2023
IVA exc]])+(CalculPressup[[#This Row],[import 2n any
IVA exc]]/365)*$I$4</f>
        <v>385000</v>
      </c>
      <c r="O13" s="321">
        <f>(CalculPressup[[#This Row],[import 1r any
IVA exc]]+CalculPressup[[#This Row],[import 2n any
IVA exc]])-(CalculPressup[[#This Row],[import 2023
IVA exc]]+CalculPressup[[#This Row],[import 2024
IVA exc]])</f>
        <v>290068.49315068492</v>
      </c>
      <c r="P13" s="322">
        <f>SUM(CalculPressup[[#This Row],[import 2023
IVA exc]:[import 2025
IVA exc]])</f>
        <v>770000</v>
      </c>
      <c r="Q13" s="329">
        <f>(CalculPressup[[#This Row],[Import Total 
IVA exclòs]]/2)/12</f>
        <v>32083.333333333332</v>
      </c>
      <c r="R13" s="8"/>
      <c r="S13" s="616" t="s">
        <v>77</v>
      </c>
      <c r="T13" s="616"/>
      <c r="AG13" s="7"/>
      <c r="AH13" s="7"/>
      <c r="AI13" s="30"/>
      <c r="AJ13" s="30"/>
      <c r="AK13" s="7"/>
      <c r="AL13" s="7"/>
    </row>
    <row r="14" spans="1:38" s="295" customFormat="1" ht="17.25" thickTop="1" thickBot="1">
      <c r="B14" s="299"/>
      <c r="C14" s="314" t="s">
        <v>47</v>
      </c>
      <c r="D14" s="308" t="s">
        <v>187</v>
      </c>
      <c r="E14" s="309"/>
      <c r="F14" s="309"/>
      <c r="G14" s="290"/>
      <c r="H14" s="290"/>
      <c r="I14" s="290"/>
      <c r="J14" s="310">
        <f>SUM(J13)</f>
        <v>931700</v>
      </c>
      <c r="K14" s="309"/>
      <c r="L14" s="309"/>
      <c r="M14" s="290"/>
      <c r="N14" s="290"/>
      <c r="O14" s="290"/>
      <c r="P14" s="311">
        <f>SUM(P13)</f>
        <v>770000</v>
      </c>
      <c r="Q14" s="330"/>
      <c r="R14" s="479"/>
      <c r="S14" s="302"/>
      <c r="T14" s="302"/>
      <c r="V14" s="295">
        <f>1000*2+500*4+250*8</f>
        <v>6000</v>
      </c>
      <c r="AI14" s="27"/>
      <c r="AJ14" s="27"/>
    </row>
    <row r="15" spans="1:38" ht="15.75">
      <c r="C15" s="609" t="s">
        <v>182</v>
      </c>
      <c r="D15" s="297" t="s">
        <v>79</v>
      </c>
      <c r="E15" s="286">
        <f t="shared" si="0"/>
        <v>544500</v>
      </c>
      <c r="F15" s="286">
        <f t="shared" si="1"/>
        <v>0</v>
      </c>
      <c r="G15" s="285">
        <f>CalculPressup[[#This Row],[import 2023
IVA exc]]*1.21</f>
        <v>134260.27397260274</v>
      </c>
      <c r="H15" s="285">
        <f>CalculPressup[[#This Row],[import 2024
IVA exc]]*1.21</f>
        <v>410239.72602739721</v>
      </c>
      <c r="I15" s="285">
        <f>CalculPressup[[#This Row],[import 2025
IVA exc]]*1.21</f>
        <v>0</v>
      </c>
      <c r="J15" s="285">
        <f>SUM(CalculPressup[[#This Row],[import 2023
IVA inc]:[import 2025
IVA inc]])</f>
        <v>544500</v>
      </c>
      <c r="K15" s="286">
        <v>450000</v>
      </c>
      <c r="L15" s="286">
        <v>0</v>
      </c>
      <c r="M15" s="285">
        <f>(CalculPressup[[#This Row],[import 1r any
IVA exc]]/365)*$I$4</f>
        <v>110958.90410958904</v>
      </c>
      <c r="N15" s="285">
        <f>(CalculPressup[[#This Row],[import 1r any
IVA exc]]-CalculPressup[[#This Row],[import 2023
IVA exc]])+(CalculPressup[[#This Row],[import 2n any
IVA exc]]/365)*$I$4</f>
        <v>339041.09589041094</v>
      </c>
      <c r="O15" s="284">
        <f>(CalculPressup[[#This Row],[import 1r any
IVA exc]]+CalculPressup[[#This Row],[import 2n any
IVA exc]])-(CalculPressup[[#This Row],[import 2023
IVA exc]]+CalculPressup[[#This Row],[import 2024
IVA exc]])</f>
        <v>0</v>
      </c>
      <c r="P15" s="283">
        <f>SUM(CalculPressup[[#This Row],[import 2023
IVA exc]:[import 2025
IVA exc]])</f>
        <v>450000</v>
      </c>
      <c r="Q15" s="329">
        <f>(CalculPressup[[#This Row],[Import Total 
IVA exclòs]]/2)/12</f>
        <v>18750</v>
      </c>
      <c r="R15" s="8"/>
      <c r="S15" s="616" t="s">
        <v>79</v>
      </c>
      <c r="T15" s="616"/>
      <c r="U15" s="496">
        <f>CalculPressup[[#This Row],[Import Total 
IVA exclòs]]/H54</f>
        <v>5598.4075640706651</v>
      </c>
      <c r="V15" s="226" t="s">
        <v>217</v>
      </c>
      <c r="AG15" s="7"/>
      <c r="AH15" s="7"/>
      <c r="AI15" s="30"/>
      <c r="AJ15" s="30"/>
      <c r="AK15" s="7"/>
      <c r="AL15" s="7"/>
    </row>
    <row r="16" spans="1:38" ht="16.5" thickBot="1">
      <c r="C16" s="612"/>
      <c r="D16" s="477" t="s">
        <v>74</v>
      </c>
      <c r="E16" s="304">
        <f t="shared" si="0"/>
        <v>211750</v>
      </c>
      <c r="F16" s="304">
        <f t="shared" si="1"/>
        <v>332750</v>
      </c>
      <c r="G16" s="305">
        <f>CalculPressup[[#This Row],[import 2023
IVA exc]]*1.21</f>
        <v>52212.32876712329</v>
      </c>
      <c r="H16" s="305">
        <f>CalculPressup[[#This Row],[import 2024
IVA exc]]*1.21</f>
        <v>241585.61764835613</v>
      </c>
      <c r="I16" s="305">
        <f>CalculPressup[[#This Row],[import 2025
IVA exc]]*1.21</f>
        <v>250702.05358452056</v>
      </c>
      <c r="J16" s="305">
        <f>SUM(CalculPressup[[#This Row],[import 2023
IVA inc]:[import 2025
IVA inc]])</f>
        <v>544500</v>
      </c>
      <c r="K16" s="304">
        <v>175000</v>
      </c>
      <c r="L16" s="304">
        <v>275000</v>
      </c>
      <c r="M16" s="305">
        <f>(CalculPressup[[#This Row],[import 1r any
IVA exc]]/365)*$I$4</f>
        <v>43150.684931506854</v>
      </c>
      <c r="N16" s="305">
        <f>(CalculPressup[[#This Row],[import 1r any
IVA exc]]-CalculPressup[[#This Row],[import 2023
IVA exc]])+(CalculPressup[[#This Row],[import 2n any
IVA exc]]/365)*$I$4+0.001</f>
        <v>199657.53524657531</v>
      </c>
      <c r="O16" s="306">
        <f>(CalculPressup[[#This Row],[import 1r any
IVA exc]]+CalculPressup[[#This Row],[import 2n any
IVA exc]])-(CalculPressup[[#This Row],[import 2023
IVA exc]]+CalculPressup[[#This Row],[import 2024
IVA exc]])</f>
        <v>207191.77982191782</v>
      </c>
      <c r="P16" s="313">
        <f>SUM(CalculPressup[[#This Row],[import 2023
IVA exc]:[import 2025
IVA exc]])</f>
        <v>450000</v>
      </c>
      <c r="Q16" s="329">
        <f>(CalculPressup[[#This Row],[Import Total 
IVA exclòs]]/2)/12</f>
        <v>18750</v>
      </c>
      <c r="R16" s="8"/>
      <c r="S16" s="617" t="s">
        <v>74</v>
      </c>
      <c r="T16" s="617"/>
      <c r="U16" s="496">
        <f>CalculPressup[[#This Row],[Import Total 
IVA exclòs]]/K55</f>
        <v>6012.8273650454312</v>
      </c>
      <c r="V16" s="226" t="s">
        <v>218</v>
      </c>
      <c r="AG16" s="7"/>
      <c r="AH16" s="7"/>
      <c r="AI16" s="30"/>
      <c r="AJ16" s="30"/>
      <c r="AK16" s="7"/>
      <c r="AL16" s="7"/>
    </row>
    <row r="17" spans="2:38" s="295" customFormat="1" ht="17.25" thickTop="1" thickBot="1">
      <c r="B17" s="299"/>
      <c r="C17" s="314" t="s">
        <v>47</v>
      </c>
      <c r="D17" s="308" t="s">
        <v>188</v>
      </c>
      <c r="E17" s="309"/>
      <c r="F17" s="309"/>
      <c r="G17" s="290"/>
      <c r="H17" s="290"/>
      <c r="I17" s="290"/>
      <c r="J17" s="310">
        <f>SUM(J15:J16)</f>
        <v>1089000</v>
      </c>
      <c r="K17" s="309"/>
      <c r="L17" s="309"/>
      <c r="M17" s="290"/>
      <c r="N17" s="290"/>
      <c r="O17" s="290"/>
      <c r="P17" s="311">
        <f>SUM(P15:P16)</f>
        <v>900000</v>
      </c>
      <c r="Q17" s="330"/>
      <c r="R17" s="479"/>
      <c r="S17" s="302"/>
      <c r="T17" s="302"/>
      <c r="V17" s="295">
        <f>800*3+300*3+100*3</f>
        <v>3600</v>
      </c>
      <c r="AI17" s="27"/>
      <c r="AJ17" s="27"/>
    </row>
    <row r="18" spans="2:38" ht="15" customHeight="1">
      <c r="C18" s="609" t="s">
        <v>183</v>
      </c>
      <c r="D18" s="297" t="s">
        <v>75</v>
      </c>
      <c r="E18" s="286">
        <f t="shared" si="0"/>
        <v>121000</v>
      </c>
      <c r="F18" s="286">
        <f t="shared" si="1"/>
        <v>121000</v>
      </c>
      <c r="G18" s="285">
        <f>CalculPressup[[#This Row],[import 2023
IVA exc]]*1.21</f>
        <v>29835.616438356163</v>
      </c>
      <c r="H18" s="285">
        <f>CalculPressup[[#This Row],[import 2024
IVA exc]]*1.21</f>
        <v>121000</v>
      </c>
      <c r="I18" s="285">
        <f>CalculPressup[[#This Row],[import 2025
IVA exc]]*1.21</f>
        <v>91164.38356164383</v>
      </c>
      <c r="J18" s="285">
        <f>SUM(CalculPressup[[#This Row],[import 2023
IVA inc]:[import 2025
IVA inc]])</f>
        <v>242000</v>
      </c>
      <c r="K18" s="286">
        <v>100000</v>
      </c>
      <c r="L18" s="286">
        <v>100000</v>
      </c>
      <c r="M18" s="312">
        <f>(CalculPressup[[#This Row],[import 1r any
IVA exc]]/365)*$I$4</f>
        <v>24657.534246575342</v>
      </c>
      <c r="N18" s="285">
        <f>(CalculPressup[[#This Row],[import 1r any
IVA exc]]-CalculPressup[[#This Row],[import 2023
IVA exc]])+(CalculPressup[[#This Row],[import 2n any
IVA exc]]/365)*$I$4</f>
        <v>100000</v>
      </c>
      <c r="O18" s="284">
        <f>(CalculPressup[[#This Row],[import 1r any
IVA exc]]+CalculPressup[[#This Row],[import 2n any
IVA exc]])-(CalculPressup[[#This Row],[import 2023
IVA exc]]+CalculPressup[[#This Row],[import 2024
IVA exc]])</f>
        <v>75342.465753424651</v>
      </c>
      <c r="P18" s="283">
        <f>SUM(CalculPressup[[#This Row],[import 2023
IVA exc]:[import 2025
IVA exc]])</f>
        <v>200000</v>
      </c>
      <c r="Q18" s="329">
        <f>(CalculPressup[[#This Row],[Import Total 
IVA exclòs]]/2)/12</f>
        <v>8333.3333333333339</v>
      </c>
      <c r="R18" s="8"/>
      <c r="S18" s="616" t="s">
        <v>75</v>
      </c>
      <c r="T18" s="616"/>
      <c r="AG18" s="7"/>
      <c r="AH18" s="7"/>
      <c r="AJ18" s="7"/>
      <c r="AK18" s="7"/>
      <c r="AL18" s="7"/>
    </row>
    <row r="19" spans="2:38" ht="15.75" thickBot="1">
      <c r="C19" s="610"/>
      <c r="D19" s="303" t="s">
        <v>129</v>
      </c>
      <c r="E19" s="304">
        <f t="shared" si="0"/>
        <v>0</v>
      </c>
      <c r="F19" s="304">
        <f t="shared" si="1"/>
        <v>30249.999974791666</v>
      </c>
      <c r="G19" s="305">
        <f>CalculPressup[[#This Row],[import 2023
IVA exc]]*1.21</f>
        <v>0</v>
      </c>
      <c r="H19" s="305">
        <f>CalculPressup[[#This Row],[import 2024
IVA exc]]*1.21</f>
        <v>0</v>
      </c>
      <c r="I19" s="305">
        <f>CalculPressup[[#This Row],[import 2025
IVA exc]]*1.21</f>
        <v>30249.999974791666</v>
      </c>
      <c r="J19" s="305">
        <f>SUM(CalculPressup[[#This Row],[import 2023
IVA inc]:[import 2025
IVA inc]])</f>
        <v>30249.999974791666</v>
      </c>
      <c r="K19" s="304">
        <v>0</v>
      </c>
      <c r="L19" s="304">
        <f>(Q10+Q11+Q15+Q16)/2</f>
        <v>24999.999979166667</v>
      </c>
      <c r="M19" s="307">
        <f>(CalculPressup[[#This Row],[import 1r any
IVA exc]]/365)*$I$4</f>
        <v>0</v>
      </c>
      <c r="N19" s="305">
        <f>0</f>
        <v>0</v>
      </c>
      <c r="O19" s="306">
        <f>(CalculPressup[[#This Row],[import 1r any
IVA exc]]+CalculPressup[[#This Row],[import 2n any
IVA exc]])-(CalculPressup[[#This Row],[import 2023
IVA exc]]+CalculPressup[[#This Row],[import 2024
IVA exc]])</f>
        <v>24999.999979166667</v>
      </c>
      <c r="P19" s="313">
        <f>SUM(CalculPressup[[#This Row],[import 2023
IVA exc]:[import 2025
IVA exc]])</f>
        <v>24999.999979166667</v>
      </c>
      <c r="Q19" s="329"/>
      <c r="R19" s="8"/>
      <c r="S19" s="617" t="s">
        <v>129</v>
      </c>
      <c r="T19" s="617"/>
      <c r="AG19" s="7"/>
      <c r="AH19" s="7"/>
      <c r="AJ19" s="7"/>
      <c r="AK19" s="7"/>
      <c r="AL19" s="7"/>
    </row>
    <row r="20" spans="2:38" s="295" customFormat="1" ht="17.25" thickTop="1" thickBot="1">
      <c r="B20" s="299"/>
      <c r="C20" s="298" t="s">
        <v>47</v>
      </c>
      <c r="D20" s="300" t="s">
        <v>189</v>
      </c>
      <c r="E20" s="301"/>
      <c r="F20" s="301"/>
      <c r="G20" s="280"/>
      <c r="H20" s="280"/>
      <c r="I20" s="280"/>
      <c r="J20" s="289">
        <f>SUM(J18:J19)</f>
        <v>272249.99997479166</v>
      </c>
      <c r="K20" s="301"/>
      <c r="L20" s="301"/>
      <c r="M20" s="280"/>
      <c r="N20" s="280"/>
      <c r="O20" s="280"/>
      <c r="P20" s="279">
        <f>SUM(P18:P19)</f>
        <v>224999.99997916666</v>
      </c>
      <c r="Q20" s="330"/>
      <c r="R20" s="479"/>
      <c r="S20" s="302"/>
      <c r="T20" s="302"/>
    </row>
    <row r="21" spans="2:38" s="261" customFormat="1" ht="16.5" thickBot="1">
      <c r="B21" s="323"/>
      <c r="C21" s="324"/>
      <c r="D21" s="325" t="s">
        <v>14</v>
      </c>
      <c r="E21" s="326">
        <f>SUBTOTAL(109,CalculPressup[Import 1r any
IVA inc])</f>
        <v>1955420.5</v>
      </c>
      <c r="F21" s="326">
        <f>SUBTOTAL(109,CalculPressup[Import 2n any
IVA inc])</f>
        <v>1501670.4999747917</v>
      </c>
      <c r="G21" s="327">
        <f>SUBTOTAL(109,CalculPressup[import 2023
IVA inc])</f>
        <v>482158.47945205477</v>
      </c>
      <c r="H21" s="327">
        <f>SUBTOTAL(109,CalculPressup[import 2024
IVA inc])</f>
        <v>1836078.0254565752</v>
      </c>
      <c r="I21" s="327">
        <f>SUBTOTAL(109,CalculPressup[import 2025
IVA inc])</f>
        <v>1138854.4838561616</v>
      </c>
      <c r="J21" s="327">
        <f>J9+J12+J14+J17+J20</f>
        <v>3457090.978764792</v>
      </c>
      <c r="K21" s="326">
        <f>SUBTOTAL(109,CalculPressup[import 1r any
IVA exc])</f>
        <v>1616050</v>
      </c>
      <c r="L21" s="326">
        <f>SUBTOTAL(109,CalculPressup[import 2n any
IVA exc])</f>
        <v>1241049.9999791668</v>
      </c>
      <c r="M21" s="327">
        <f>SUBTOTAL(109,CalculPressup[import 2023
IVA exc])</f>
        <v>398478.08219178085</v>
      </c>
      <c r="N21" s="327">
        <f>SUBTOTAL(109,CalculPressup[import 2024
IVA exc])+0.001</f>
        <v>1517419.8650136983</v>
      </c>
      <c r="O21" s="327">
        <f>SUBTOTAL(109,CalculPressup[import 2025
IVA exc])</f>
        <v>941202.05277368717</v>
      </c>
      <c r="P21" s="328">
        <f>P9+P12+P14+P17+P20</f>
        <v>2857099.9989791666</v>
      </c>
      <c r="Q21" s="331">
        <f>SUM(Q6:Q19)</f>
        <v>118004.166625</v>
      </c>
    </row>
    <row r="22" spans="2:38" s="108" customFormat="1">
      <c r="B22" s="109"/>
      <c r="C22" s="120"/>
      <c r="D22" s="110"/>
      <c r="E22" s="110"/>
      <c r="F22" s="111"/>
      <c r="G22" s="111"/>
      <c r="H22" s="112"/>
      <c r="I22" s="112"/>
      <c r="J22" s="112"/>
      <c r="K22" s="113"/>
    </row>
    <row r="23" spans="2:38" s="108" customFormat="1">
      <c r="B23" s="10"/>
      <c r="C23" s="29"/>
      <c r="D23" s="110"/>
      <c r="E23" s="110"/>
      <c r="F23" s="111"/>
      <c r="G23" s="111"/>
      <c r="H23" s="112"/>
      <c r="I23" s="112"/>
      <c r="J23" s="112"/>
      <c r="K23" s="113"/>
    </row>
    <row r="24" spans="2:38" ht="30">
      <c r="C24" s="29"/>
      <c r="D24" s="35" t="s">
        <v>82</v>
      </c>
      <c r="E24" s="192" t="s">
        <v>109</v>
      </c>
      <c r="F24" s="192" t="s">
        <v>110</v>
      </c>
      <c r="G24" s="35" t="s">
        <v>136</v>
      </c>
      <c r="H24" s="35" t="s">
        <v>137</v>
      </c>
      <c r="I24" s="35" t="s">
        <v>138</v>
      </c>
      <c r="J24" s="34" t="s">
        <v>15</v>
      </c>
      <c r="K24" s="192" t="s">
        <v>114</v>
      </c>
      <c r="L24" s="192" t="s">
        <v>115</v>
      </c>
      <c r="M24" s="191" t="s">
        <v>133</v>
      </c>
      <c r="N24" s="191" t="s">
        <v>134</v>
      </c>
      <c r="O24" s="191" t="s">
        <v>135</v>
      </c>
      <c r="P24" s="34" t="s">
        <v>108</v>
      </c>
      <c r="AG24" s="7"/>
      <c r="AH24" s="7"/>
      <c r="AJ24" s="7"/>
      <c r="AK24" s="7"/>
      <c r="AL24" s="7"/>
    </row>
    <row r="25" spans="2:38">
      <c r="C25" s="29"/>
      <c r="D25" s="110" t="s">
        <v>81</v>
      </c>
      <c r="E25" s="194">
        <f>K25*1.21</f>
        <v>326700</v>
      </c>
      <c r="F25" s="194">
        <f>L25*1.21</f>
        <v>326700</v>
      </c>
      <c r="G25" s="193">
        <f>Taula1[import 2023
IVA exc]*1.21</f>
        <v>80556.164383561641</v>
      </c>
      <c r="H25" s="193">
        <f>Taula1[import 2024
IVA exc]*1.21</f>
        <v>326700</v>
      </c>
      <c r="I25" s="193">
        <f>Taula1[import 2025
IVA exc]*1.21</f>
        <v>246143.83561643833</v>
      </c>
      <c r="J25" s="193">
        <f>SUM(Taula1[[import 2023
IVA inc]:[import 2025
IVA inc]])</f>
        <v>653400</v>
      </c>
      <c r="K25" s="194">
        <v>270000</v>
      </c>
      <c r="L25" s="194">
        <v>270000</v>
      </c>
      <c r="M25" s="195">
        <f>(Taula1[[#This Row],[Import 1r any
IVA exc]]/365)*$I$4</f>
        <v>66575.34246575342</v>
      </c>
      <c r="N25" s="195">
        <f>(Taula1[[#This Row],[Import 1r any
IVA exc]]-Taula1[[#This Row],[import 2023
IVA exc]])+(Taula1[[#This Row],[Import 2n any
IVA exc]]/365)*$I$4</f>
        <v>270000</v>
      </c>
      <c r="O25" s="195">
        <f>(Taula1[[#This Row],[Import 2n any
IVA exc]]/365)*(365-$I$4)</f>
        <v>203424.65753424657</v>
      </c>
      <c r="P25" s="195">
        <f>SUM(Taula1[[#This Row],[import 2023
IVA exc]:[import 2025
IVA exc]])</f>
        <v>540000</v>
      </c>
      <c r="Q25" s="329">
        <f>(Taula1[Import Total 
IVA exclòs]/2)/12</f>
        <v>22500</v>
      </c>
      <c r="AG25" s="7"/>
      <c r="AH25" s="7"/>
      <c r="AJ25" s="7"/>
      <c r="AK25" s="7"/>
      <c r="AL25" s="7"/>
    </row>
    <row r="26" spans="2:38" ht="15.75" thickBot="1">
      <c r="D26" s="295" t="s">
        <v>129</v>
      </c>
      <c r="E26" s="515">
        <f>Taula1[[#Totals],[Import 1r any
IVA exc]]*1.21</f>
        <v>0</v>
      </c>
      <c r="F26" s="515">
        <f>Taula1[[#Totals],[Import 2n any
IVA exc]]*1.21</f>
        <v>13612.5</v>
      </c>
      <c r="G26" s="515"/>
      <c r="H26" s="515"/>
      <c r="I26" s="515">
        <f>Taula1[[#Totals],[import 2025
IVA exc]]*1.21</f>
        <v>13612.5</v>
      </c>
      <c r="J26" s="515">
        <f>Taula1[[#Totals],[import 2025
IVA inc]]</f>
        <v>13612.5</v>
      </c>
      <c r="K26" s="533" t="s">
        <v>239</v>
      </c>
      <c r="L26" s="534">
        <f>Q25/2</f>
        <v>11250</v>
      </c>
      <c r="M26" s="535">
        <f>Taula1[[#Totals],[Import 1r any
IVA exc]]*$I$4</f>
        <v>0</v>
      </c>
      <c r="N26" s="515" t="s">
        <v>240</v>
      </c>
      <c r="O26" s="515">
        <f>(Taula1[[#Totals],[Import 2n any
IVA exc]])</f>
        <v>11250</v>
      </c>
      <c r="P26" s="515">
        <f>SUM(Taula1[[#Totals],[import 2023
IVA exc]:[import 2025
IVA exc]])</f>
        <v>11250</v>
      </c>
      <c r="Q26" s="329"/>
      <c r="S26" s="215"/>
      <c r="AG26" s="7"/>
      <c r="AH26" s="7"/>
      <c r="AJ26" s="7"/>
      <c r="AK26" s="7"/>
      <c r="AL26" s="7"/>
    </row>
    <row r="27" spans="2:38" ht="16.5" thickTop="1" thickBot="1">
      <c r="D27" s="532" t="s">
        <v>14</v>
      </c>
      <c r="E27" s="528">
        <f>SUM(Taula1[[#Data],[#Totals],[Import 1r any
IVA inc]])</f>
        <v>326700</v>
      </c>
      <c r="F27" s="528">
        <f>SUM(Taula1[[#Data],[#Totals],[Import 2n any
IVA inc]])</f>
        <v>340312.5</v>
      </c>
      <c r="G27" s="526">
        <f>SUBTOTAL(109,Taula1[import 2023
IVA inc])</f>
        <v>80556.164383561641</v>
      </c>
      <c r="H27" s="526">
        <f>SUBTOTAL(109,Taula1[import 2024
IVA inc])</f>
        <v>326700</v>
      </c>
      <c r="I27" s="526">
        <f>SUM(Taula1[[#Data],[#Totals],[import 2025
IVA inc]])</f>
        <v>259756.33561643833</v>
      </c>
      <c r="J27" s="527">
        <f>SUM(Taula1[[#Data],[#Totals],[Import Total IVA inclòs]])</f>
        <v>667012.5</v>
      </c>
      <c r="K27" s="528">
        <f>SUBTOTAL(109,Taula1[Import 1r any
IVA exc])</f>
        <v>270000</v>
      </c>
      <c r="L27" s="528">
        <f>SUM(Taula1[[#Data],[#Totals],[Import 2n any
IVA exc]])</f>
        <v>281250</v>
      </c>
      <c r="M27" s="529">
        <f>SUM(Taula1[[#Data],[#Totals],[import 2023
IVA exc]])</f>
        <v>66575.34246575342</v>
      </c>
      <c r="N27" s="526">
        <f>SUM(Taula1[[#Data],[#Totals],[import 2024
IVA exc]])</f>
        <v>270000</v>
      </c>
      <c r="O27" s="529">
        <f>SUM(Taula1[[#Data],[#Totals],[import 2025
IVA exc]])</f>
        <v>214674.65753424657</v>
      </c>
      <c r="P27" s="530">
        <f>SUM(Taula1[[#Data],[#Totals],[Import Total 
IVA exclòs]])</f>
        <v>551250</v>
      </c>
      <c r="Q27" s="329">
        <f>SUM(Q25)</f>
        <v>22500</v>
      </c>
      <c r="S27" s="215"/>
      <c r="AG27" s="7"/>
      <c r="AH27" s="7"/>
      <c r="AJ27" s="7"/>
      <c r="AK27" s="7"/>
      <c r="AL27" s="7"/>
    </row>
    <row r="28" spans="2:38">
      <c r="D28" s="11"/>
      <c r="E28" s="11"/>
      <c r="F28" s="11"/>
      <c r="G28" s="11"/>
      <c r="H28" s="11"/>
      <c r="I28" s="11"/>
      <c r="J28" s="105"/>
      <c r="S28" s="215"/>
      <c r="AG28" s="7"/>
      <c r="AH28" s="7"/>
      <c r="AJ28" s="7"/>
      <c r="AK28" s="7"/>
      <c r="AL28" s="7"/>
    </row>
    <row r="29" spans="2:38" ht="15.75" thickBot="1">
      <c r="D29" s="11"/>
      <c r="E29" s="11"/>
      <c r="F29" s="11"/>
      <c r="G29" s="197" t="s">
        <v>89</v>
      </c>
      <c r="H29" s="197" t="s">
        <v>33</v>
      </c>
      <c r="I29" s="79" t="s">
        <v>44</v>
      </c>
      <c r="J29" s="105"/>
      <c r="AG29" s="7"/>
      <c r="AH29" s="7"/>
      <c r="AJ29" s="7"/>
      <c r="AK29" s="7"/>
      <c r="AL29" s="7"/>
    </row>
    <row r="30" spans="2:38" ht="15.75">
      <c r="D30" s="11"/>
      <c r="E30" s="11"/>
      <c r="F30" s="118" t="s">
        <v>80</v>
      </c>
      <c r="G30" s="127">
        <f>CalculPressup[[#Totals],[Import Total 
IVA inclòs]]</f>
        <v>3457090.978764792</v>
      </c>
      <c r="H30" s="128">
        <f>CalculPressup[[#Totals],[Import Total 
IVA exclòs]]</f>
        <v>2857099.9989791666</v>
      </c>
      <c r="I30" s="493">
        <f>G30-H30</f>
        <v>599990.97978562536</v>
      </c>
      <c r="J30" s="105"/>
      <c r="AG30" s="7"/>
      <c r="AH30" s="7"/>
      <c r="AJ30" s="7"/>
      <c r="AK30" s="7"/>
      <c r="AL30" s="7"/>
    </row>
    <row r="31" spans="2:38" ht="15.75">
      <c r="D31" s="11"/>
      <c r="E31" s="11"/>
      <c r="F31" s="133" t="s">
        <v>92</v>
      </c>
      <c r="G31" s="536">
        <f>J27</f>
        <v>667012.5</v>
      </c>
      <c r="H31" s="129">
        <f>P27</f>
        <v>551250</v>
      </c>
      <c r="I31" s="493">
        <f>G31-H31</f>
        <v>115762.5</v>
      </c>
      <c r="J31" s="11"/>
      <c r="K31" s="11"/>
      <c r="L31" s="105"/>
      <c r="AG31" s="7"/>
      <c r="AH31" s="7"/>
      <c r="AJ31" s="7"/>
      <c r="AK31" s="7"/>
      <c r="AL31" s="7"/>
    </row>
    <row r="32" spans="2:38" ht="16.5" thickBot="1">
      <c r="D32" s="11"/>
      <c r="E32" s="11"/>
      <c r="F32" s="134" t="s">
        <v>106</v>
      </c>
      <c r="G32" s="130">
        <f>SUM(G30:G31)</f>
        <v>4124103.478764792</v>
      </c>
      <c r="H32" s="131">
        <f>G32/1.21</f>
        <v>3408349.9824502412</v>
      </c>
      <c r="I32" s="493">
        <f>SUM(I30:I31)</f>
        <v>715753.47978562536</v>
      </c>
      <c r="J32" s="11"/>
      <c r="K32" s="11"/>
      <c r="L32" s="105"/>
      <c r="AG32" s="7"/>
      <c r="AH32" s="7"/>
      <c r="AJ32" s="7"/>
      <c r="AK32" s="7"/>
      <c r="AL32" s="7"/>
    </row>
    <row r="33" spans="1:38">
      <c r="B33" s="11"/>
      <c r="C33" s="7"/>
      <c r="D33" s="11"/>
      <c r="E33" s="11"/>
      <c r="F33" s="11"/>
      <c r="G33" s="11"/>
      <c r="H33" s="11"/>
      <c r="I33" s="11"/>
      <c r="J33" s="11"/>
      <c r="K33" s="11"/>
      <c r="O33" s="226"/>
      <c r="R33" s="226"/>
      <c r="AG33" s="7"/>
      <c r="AH33" s="7"/>
      <c r="AJ33" s="7"/>
      <c r="AK33" s="7"/>
      <c r="AL33" s="7"/>
    </row>
    <row r="34" spans="1:38" ht="15.75" customHeight="1" thickBot="1">
      <c r="A34" s="372">
        <v>2023</v>
      </c>
      <c r="B34" s="372"/>
      <c r="C34" s="372"/>
      <c r="D34" s="372"/>
      <c r="E34" s="372"/>
      <c r="F34" s="372"/>
      <c r="G34" s="613" t="s">
        <v>139</v>
      </c>
      <c r="H34" s="613"/>
      <c r="I34" s="613"/>
      <c r="J34" s="613"/>
      <c r="K34" s="613"/>
      <c r="L34" s="613"/>
      <c r="M34" s="613"/>
      <c r="O34" s="28"/>
      <c r="P34" s="28"/>
      <c r="R34" s="1"/>
      <c r="S34" s="1"/>
      <c r="T34" s="8"/>
      <c r="AG34" s="7"/>
      <c r="AH34" s="7"/>
      <c r="AJ34" s="7"/>
      <c r="AK34" s="7"/>
      <c r="AL34" s="7"/>
    </row>
    <row r="35" spans="1:38" s="1" customFormat="1" ht="48" thickBot="1">
      <c r="A35" s="25" t="s">
        <v>13</v>
      </c>
      <c r="B35" s="25" t="s">
        <v>12</v>
      </c>
      <c r="C35" s="25" t="s">
        <v>11</v>
      </c>
      <c r="D35" s="25" t="s">
        <v>259</v>
      </c>
      <c r="E35" s="25" t="s">
        <v>10</v>
      </c>
      <c r="F35" s="25" t="s">
        <v>9</v>
      </c>
      <c r="G35" s="392" t="s">
        <v>68</v>
      </c>
      <c r="H35" s="392" t="s">
        <v>94</v>
      </c>
      <c r="I35" s="393" t="s">
        <v>69</v>
      </c>
      <c r="J35" s="393" t="s">
        <v>93</v>
      </c>
      <c r="K35" s="392" t="s">
        <v>159</v>
      </c>
      <c r="L35" s="393" t="s">
        <v>69</v>
      </c>
      <c r="M35" s="394" t="s">
        <v>158</v>
      </c>
      <c r="N35" s="119"/>
      <c r="O35" s="25" t="s">
        <v>8</v>
      </c>
      <c r="P35" s="25" t="s">
        <v>7</v>
      </c>
      <c r="Q35" s="7"/>
      <c r="S35" s="27"/>
    </row>
    <row r="36" spans="1:38" s="103" customFormat="1" ht="30">
      <c r="A36" s="29"/>
      <c r="B36" s="29"/>
      <c r="C36" s="29"/>
      <c r="D36" s="603" t="s">
        <v>184</v>
      </c>
      <c r="E36" s="380" t="s">
        <v>76</v>
      </c>
      <c r="F36" s="389"/>
      <c r="G36" s="449">
        <f>G6</f>
        <v>46558.479452054795</v>
      </c>
      <c r="H36" s="395"/>
      <c r="I36" s="381"/>
      <c r="J36" s="389"/>
      <c r="K36" s="395"/>
      <c r="L36" s="381"/>
      <c r="M36" s="382"/>
      <c r="N36" s="102"/>
    </row>
    <row r="37" spans="1:38" s="103" customFormat="1" ht="30">
      <c r="A37" s="29"/>
      <c r="B37" s="29"/>
      <c r="C37" s="29"/>
      <c r="D37" s="604"/>
      <c r="E37" s="378" t="s">
        <v>88</v>
      </c>
      <c r="F37" s="390"/>
      <c r="G37" s="399"/>
      <c r="H37" s="396">
        <f>J37/I37</f>
        <v>859.71693287102812</v>
      </c>
      <c r="I37" s="379">
        <f>Perfils!$G$6</f>
        <v>86.759999999999991</v>
      </c>
      <c r="J37" s="404">
        <f>G7</f>
        <v>74589.041095890396</v>
      </c>
      <c r="K37" s="402"/>
      <c r="L37" s="377"/>
      <c r="M37" s="383"/>
      <c r="N37" s="102"/>
    </row>
    <row r="38" spans="1:38" s="1" customFormat="1" ht="30.75" thickBot="1">
      <c r="A38" s="29"/>
      <c r="B38" s="29"/>
      <c r="C38" s="29"/>
      <c r="D38" s="605"/>
      <c r="E38" s="384" t="s">
        <v>156</v>
      </c>
      <c r="F38" s="391"/>
      <c r="G38" s="400"/>
      <c r="H38" s="397"/>
      <c r="I38" s="385"/>
      <c r="J38" s="405"/>
      <c r="K38" s="403">
        <f>M38/L38</f>
        <v>191.42574386215938</v>
      </c>
      <c r="L38" s="387">
        <f>Perfils!G16</f>
        <v>77.930000000000007</v>
      </c>
      <c r="M38" s="388">
        <f>G8</f>
        <v>14917.808219178081</v>
      </c>
      <c r="N38" s="13"/>
      <c r="O38" s="117"/>
      <c r="P38" s="12"/>
      <c r="Q38" s="7"/>
    </row>
    <row r="39" spans="1:38" s="295" customFormat="1" ht="15.75">
      <c r="A39" s="25" t="s">
        <v>6</v>
      </c>
      <c r="B39" s="24"/>
      <c r="C39" s="23"/>
      <c r="D39" s="90"/>
      <c r="E39" s="22"/>
      <c r="F39" s="22"/>
      <c r="G39" s="444">
        <f>SUM(G36:G38)</f>
        <v>46558.479452054795</v>
      </c>
      <c r="H39" s="22"/>
      <c r="I39" s="22"/>
      <c r="J39" s="444">
        <f>SUM(J36:J38)</f>
        <v>74589.041095890396</v>
      </c>
      <c r="K39" s="22"/>
      <c r="L39" s="22"/>
      <c r="M39" s="444">
        <f>SUM(M36:M38)</f>
        <v>14917.808219178081</v>
      </c>
      <c r="N39" s="196">
        <f>SUM(G39:M39)</f>
        <v>136065.32876712328</v>
      </c>
    </row>
    <row r="40" spans="1:38" s="295" customFormat="1">
      <c r="A40" s="29"/>
      <c r="B40" s="29"/>
      <c r="C40" s="29"/>
      <c r="D40" s="373"/>
      <c r="E40" s="373"/>
      <c r="F40" s="373"/>
      <c r="G40" s="373"/>
      <c r="H40" s="373"/>
      <c r="I40" s="373"/>
      <c r="J40" s="373"/>
      <c r="K40" s="373"/>
      <c r="L40" s="373"/>
      <c r="M40" s="373"/>
    </row>
    <row r="41" spans="1:38" s="295" customFormat="1" ht="16.5" thickBot="1">
      <c r="A41" s="372">
        <v>2023</v>
      </c>
      <c r="B41" s="372"/>
      <c r="C41" s="372"/>
      <c r="D41" s="372"/>
      <c r="E41" s="372"/>
      <c r="F41" s="372"/>
      <c r="G41" s="614" t="s">
        <v>197</v>
      </c>
      <c r="H41" s="614"/>
      <c r="I41" s="614"/>
      <c r="J41" s="614"/>
      <c r="K41" s="614"/>
      <c r="L41" s="614"/>
    </row>
    <row r="42" spans="1:38" s="295" customFormat="1" ht="48" thickBot="1">
      <c r="A42" s="25" t="s">
        <v>13</v>
      </c>
      <c r="B42" s="25" t="s">
        <v>12</v>
      </c>
      <c r="C42" s="25" t="s">
        <v>11</v>
      </c>
      <c r="D42" s="25" t="s">
        <v>259</v>
      </c>
      <c r="E42" s="25" t="s">
        <v>10</v>
      </c>
      <c r="F42" s="25" t="s">
        <v>9</v>
      </c>
      <c r="G42" s="392" t="s">
        <v>95</v>
      </c>
      <c r="H42" s="393" t="s">
        <v>69</v>
      </c>
      <c r="I42" s="394" t="s">
        <v>96</v>
      </c>
      <c r="J42" s="370" t="s">
        <v>97</v>
      </c>
      <c r="K42" s="276" t="s">
        <v>69</v>
      </c>
      <c r="L42" s="277" t="s">
        <v>98</v>
      </c>
      <c r="O42" s="12"/>
      <c r="P42" s="7"/>
    </row>
    <row r="43" spans="1:38" s="1" customFormat="1" ht="30">
      <c r="A43" s="29"/>
      <c r="B43" s="29"/>
      <c r="C43" s="29"/>
      <c r="D43" s="607" t="s">
        <v>181</v>
      </c>
      <c r="E43" s="406" t="s">
        <v>86</v>
      </c>
      <c r="F43" s="425"/>
      <c r="G43" s="423">
        <f>I43/H43</f>
        <v>301.91880629787659</v>
      </c>
      <c r="H43" s="407">
        <f>Perfils!$G$9</f>
        <v>49.41</v>
      </c>
      <c r="I43" s="417">
        <f>G10</f>
        <v>14917.808219178081</v>
      </c>
      <c r="J43" s="426"/>
      <c r="K43" s="408"/>
      <c r="L43" s="409"/>
      <c r="O43" s="117">
        <f>+$B$2</f>
        <v>45202</v>
      </c>
      <c r="P43" s="12">
        <f>+$B$3</f>
        <v>45202</v>
      </c>
      <c r="R43" s="27"/>
    </row>
    <row r="44" spans="1:38" s="1" customFormat="1" ht="30.75" thickBot="1">
      <c r="A44" s="29"/>
      <c r="B44" s="29"/>
      <c r="C44" s="29"/>
      <c r="D44" s="608"/>
      <c r="E44" s="384" t="s">
        <v>87</v>
      </c>
      <c r="F44" s="391"/>
      <c r="G44" s="424"/>
      <c r="H44" s="386"/>
      <c r="I44" s="398"/>
      <c r="J44" s="401">
        <f>L44/K44</f>
        <v>0</v>
      </c>
      <c r="K44" s="387">
        <f>Perfils!$G$13</f>
        <v>65.66</v>
      </c>
      <c r="L44" s="410">
        <f>G11</f>
        <v>0</v>
      </c>
      <c r="M44" s="295"/>
      <c r="O44" s="117"/>
      <c r="P44" s="12"/>
      <c r="R44" s="27"/>
    </row>
    <row r="45" spans="1:38" s="295" customFormat="1" ht="15.75">
      <c r="A45" s="25" t="s">
        <v>6</v>
      </c>
      <c r="B45" s="24"/>
      <c r="C45" s="23"/>
      <c r="D45" s="90"/>
      <c r="E45" s="22"/>
      <c r="F45" s="22"/>
      <c r="G45" s="22"/>
      <c r="H45" s="22"/>
      <c r="I45" s="444">
        <f>SUM(I43:I44)</f>
        <v>14917.808219178081</v>
      </c>
      <c r="J45" s="445"/>
      <c r="K45" s="445"/>
      <c r="L45" s="445">
        <f>SUM(L43:L44)</f>
        <v>0</v>
      </c>
      <c r="M45" s="196">
        <f>SUM(I45:L45)</f>
        <v>14917.808219178081</v>
      </c>
      <c r="O45" s="117"/>
      <c r="P45" s="12"/>
      <c r="R45" s="27"/>
    </row>
    <row r="46" spans="1:38" s="295" customFormat="1">
      <c r="A46" s="29"/>
      <c r="B46" s="29"/>
      <c r="C46" s="29"/>
      <c r="D46" s="373"/>
      <c r="E46" s="373"/>
      <c r="F46" s="373"/>
      <c r="G46" s="373"/>
      <c r="H46" s="373"/>
      <c r="I46" s="373"/>
      <c r="J46" s="373"/>
      <c r="K46" s="373"/>
      <c r="L46" s="373"/>
      <c r="M46" s="373"/>
      <c r="N46" s="373"/>
      <c r="O46" s="117"/>
      <c r="P46" s="12"/>
      <c r="R46" s="27"/>
    </row>
    <row r="47" spans="1:38" s="295" customFormat="1" ht="16.5" thickBot="1">
      <c r="A47" s="372">
        <v>2023</v>
      </c>
      <c r="B47" s="372"/>
      <c r="C47" s="372"/>
      <c r="D47" s="372"/>
      <c r="E47" s="372"/>
      <c r="F47" s="372"/>
      <c r="G47" s="372"/>
      <c r="H47" s="373"/>
      <c r="I47" s="373"/>
      <c r="J47" s="373"/>
      <c r="K47" s="373"/>
      <c r="L47" s="373"/>
      <c r="M47" s="373"/>
      <c r="N47" s="373"/>
      <c r="O47" s="117"/>
      <c r="P47" s="12"/>
      <c r="R47" s="27"/>
    </row>
    <row r="48" spans="1:38" s="295" customFormat="1" ht="32.25" thickBot="1">
      <c r="A48" s="25" t="s">
        <v>13</v>
      </c>
      <c r="B48" s="25" t="s">
        <v>12</v>
      </c>
      <c r="C48" s="25" t="s">
        <v>11</v>
      </c>
      <c r="D48" s="25" t="s">
        <v>259</v>
      </c>
      <c r="E48" s="25" t="s">
        <v>10</v>
      </c>
      <c r="F48" s="25" t="s">
        <v>9</v>
      </c>
      <c r="G48" s="275" t="s">
        <v>99</v>
      </c>
      <c r="H48" s="373"/>
      <c r="I48" s="373"/>
      <c r="J48" s="373"/>
      <c r="K48" s="373"/>
      <c r="L48" s="373"/>
      <c r="M48" s="373"/>
      <c r="N48" s="373"/>
      <c r="O48" s="117"/>
      <c r="P48" s="12"/>
      <c r="R48" s="27"/>
    </row>
    <row r="49" spans="1:38" s="1" customFormat="1" ht="15.75" thickBot="1">
      <c r="A49" s="29"/>
      <c r="B49" s="29"/>
      <c r="C49" s="29"/>
      <c r="D49" s="416" t="s">
        <v>192</v>
      </c>
      <c r="E49" s="411" t="s">
        <v>77</v>
      </c>
      <c r="F49" s="412"/>
      <c r="G49" s="414">
        <f>G13</f>
        <v>114867.12328767123</v>
      </c>
      <c r="H49" s="373"/>
      <c r="I49" s="373"/>
      <c r="J49" s="373"/>
      <c r="K49" s="373"/>
      <c r="L49" s="373"/>
      <c r="M49" s="373"/>
      <c r="N49" s="373"/>
      <c r="O49" s="117">
        <f>+$B$2</f>
        <v>45202</v>
      </c>
      <c r="P49" s="12">
        <f>+$B$3</f>
        <v>45202</v>
      </c>
    </row>
    <row r="50" spans="1:38" s="295" customFormat="1" ht="15.75">
      <c r="A50" s="25" t="s">
        <v>6</v>
      </c>
      <c r="B50" s="24"/>
      <c r="C50" s="23"/>
      <c r="D50" s="90"/>
      <c r="E50" s="22"/>
      <c r="F50" s="22"/>
      <c r="G50" s="413">
        <f>SUM(G49)</f>
        <v>114867.12328767123</v>
      </c>
      <c r="H50" s="415">
        <f>SUM(G50)</f>
        <v>114867.12328767123</v>
      </c>
      <c r="I50" s="15"/>
      <c r="J50" s="15"/>
      <c r="K50" s="15"/>
      <c r="L50" s="14"/>
      <c r="M50" s="13"/>
      <c r="N50" s="13"/>
      <c r="O50" s="13"/>
      <c r="P50" s="13"/>
      <c r="Q50" s="13"/>
      <c r="R50" s="13"/>
      <c r="S50" s="13"/>
      <c r="T50" s="101"/>
      <c r="U50" s="101"/>
      <c r="V50" s="7"/>
    </row>
    <row r="51" spans="1:38" s="295" customFormat="1">
      <c r="A51" s="29"/>
      <c r="B51" s="29"/>
      <c r="C51" s="29"/>
      <c r="D51" s="29"/>
      <c r="E51" s="374"/>
      <c r="F51" s="100"/>
      <c r="G51" s="15"/>
      <c r="H51" s="375"/>
      <c r="I51" s="15"/>
      <c r="J51" s="15"/>
      <c r="K51" s="15"/>
      <c r="L51" s="14"/>
      <c r="M51" s="13"/>
      <c r="N51" s="13"/>
      <c r="O51" s="13"/>
      <c r="P51" s="13"/>
      <c r="Q51" s="13"/>
      <c r="R51" s="13"/>
      <c r="S51" s="13"/>
      <c r="T51" s="101"/>
      <c r="U51" s="101"/>
      <c r="V51" s="7"/>
    </row>
    <row r="52" spans="1:38" s="295" customFormat="1" ht="16.5" thickBot="1">
      <c r="A52" s="372">
        <v>2023</v>
      </c>
      <c r="B52" s="372"/>
      <c r="C52" s="372"/>
      <c r="D52" s="372"/>
      <c r="E52" s="372"/>
      <c r="F52" s="372"/>
      <c r="G52" s="615" t="s">
        <v>197</v>
      </c>
      <c r="H52" s="615"/>
      <c r="I52" s="615"/>
      <c r="J52" s="615"/>
      <c r="K52" s="615"/>
      <c r="L52" s="615"/>
      <c r="M52" s="13"/>
      <c r="N52" s="15"/>
      <c r="O52" s="14"/>
      <c r="P52" s="13"/>
      <c r="Q52" s="376"/>
      <c r="R52" s="14"/>
      <c r="S52" s="14"/>
      <c r="T52" s="14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01"/>
      <c r="AI52" s="101"/>
      <c r="AJ52" s="7"/>
    </row>
    <row r="53" spans="1:38" ht="48" thickBot="1">
      <c r="A53" s="25" t="s">
        <v>13</v>
      </c>
      <c r="B53" s="25" t="s">
        <v>12</v>
      </c>
      <c r="C53" s="25" t="s">
        <v>11</v>
      </c>
      <c r="D53" s="25" t="s">
        <v>259</v>
      </c>
      <c r="E53" s="25" t="s">
        <v>10</v>
      </c>
      <c r="F53" s="25" t="s">
        <v>9</v>
      </c>
      <c r="G53" s="420" t="s">
        <v>100</v>
      </c>
      <c r="H53" s="421" t="s">
        <v>69</v>
      </c>
      <c r="I53" s="421" t="s">
        <v>101</v>
      </c>
      <c r="J53" s="420" t="s">
        <v>102</v>
      </c>
      <c r="K53" s="421" t="s">
        <v>69</v>
      </c>
      <c r="L53" s="422" t="s">
        <v>103</v>
      </c>
      <c r="M53" s="8"/>
      <c r="O53" s="8"/>
      <c r="P53" s="8"/>
      <c r="Q53" s="8"/>
      <c r="AG53" s="7"/>
      <c r="AH53" s="7"/>
      <c r="AJ53" s="7"/>
      <c r="AK53" s="7"/>
      <c r="AL53" s="7"/>
    </row>
    <row r="54" spans="1:38" s="1" customFormat="1" ht="30">
      <c r="A54" s="29"/>
      <c r="B54" s="29"/>
      <c r="C54" s="29"/>
      <c r="D54" s="599" t="s">
        <v>193</v>
      </c>
      <c r="E54" s="406" t="s">
        <v>79</v>
      </c>
      <c r="F54" s="425"/>
      <c r="G54" s="427">
        <f>I54/H54</f>
        <v>1670.319407472042</v>
      </c>
      <c r="H54" s="419">
        <f>Perfils!$G$21</f>
        <v>80.38</v>
      </c>
      <c r="I54" s="428">
        <f>G15</f>
        <v>134260.27397260274</v>
      </c>
      <c r="J54" s="430"/>
      <c r="K54" s="419"/>
      <c r="L54" s="428"/>
      <c r="M54" s="117"/>
      <c r="N54" s="12"/>
      <c r="O54" s="7"/>
    </row>
    <row r="55" spans="1:38" s="1" customFormat="1" ht="30.75" thickBot="1">
      <c r="A55" s="29"/>
      <c r="B55" s="29"/>
      <c r="C55" s="29"/>
      <c r="D55" s="600"/>
      <c r="E55" s="384" t="s">
        <v>74</v>
      </c>
      <c r="F55" s="391"/>
      <c r="G55" s="424"/>
      <c r="H55" s="418"/>
      <c r="I55" s="410"/>
      <c r="J55" s="429">
        <f>L55/K55</f>
        <v>697.65270934157263</v>
      </c>
      <c r="K55" s="418">
        <f>Perfils!$G$27</f>
        <v>74.839999999999989</v>
      </c>
      <c r="L55" s="410">
        <f>G16</f>
        <v>52212.32876712329</v>
      </c>
      <c r="O55" s="117">
        <f>+$B$2</f>
        <v>45202</v>
      </c>
      <c r="P55" s="12">
        <f>+$B$3</f>
        <v>45202</v>
      </c>
    </row>
    <row r="56" spans="1:38" s="295" customFormat="1" ht="15.75">
      <c r="A56" s="25" t="s">
        <v>6</v>
      </c>
      <c r="B56" s="24"/>
      <c r="C56" s="23"/>
      <c r="D56" s="90"/>
      <c r="E56" s="22"/>
      <c r="F56" s="104"/>
      <c r="G56" s="21"/>
      <c r="H56" s="21"/>
      <c r="I56" s="20">
        <f>SUM(I54:I55)</f>
        <v>134260.27397260274</v>
      </c>
      <c r="J56" s="21"/>
      <c r="K56" s="21"/>
      <c r="L56" s="20">
        <f>SUM(L54:L55)</f>
        <v>52212.32876712329</v>
      </c>
      <c r="M56" s="446">
        <f>SUM(I56:L56)</f>
        <v>186472.60273972602</v>
      </c>
      <c r="N56" s="101"/>
      <c r="O56" s="7"/>
    </row>
    <row r="57" spans="1:38" s="295" customFormat="1">
      <c r="G57" s="15"/>
      <c r="H57" s="15"/>
      <c r="I57" s="15"/>
      <c r="J57" s="15"/>
      <c r="K57" s="15"/>
      <c r="L57" s="15"/>
      <c r="M57" s="101"/>
      <c r="N57" s="101"/>
      <c r="O57" s="7"/>
    </row>
    <row r="58" spans="1:38" s="295" customFormat="1" ht="16.5" thickBot="1">
      <c r="A58" s="372">
        <v>2023</v>
      </c>
      <c r="B58" s="372"/>
      <c r="C58" s="372"/>
      <c r="D58" s="372"/>
      <c r="E58" s="372"/>
      <c r="F58" s="372"/>
      <c r="G58" s="615" t="s">
        <v>197</v>
      </c>
      <c r="H58" s="615"/>
      <c r="I58" s="615"/>
      <c r="J58" s="615"/>
      <c r="K58" s="615"/>
      <c r="L58" s="615"/>
      <c r="M58" s="101"/>
      <c r="N58" s="101"/>
      <c r="O58" s="7"/>
    </row>
    <row r="59" spans="1:38" s="295" customFormat="1" ht="32.25" thickBot="1">
      <c r="A59" s="25" t="s">
        <v>13</v>
      </c>
      <c r="B59" s="25" t="s">
        <v>12</v>
      </c>
      <c r="C59" s="25" t="s">
        <v>11</v>
      </c>
      <c r="D59" s="25" t="s">
        <v>259</v>
      </c>
      <c r="E59" s="25" t="s">
        <v>10</v>
      </c>
      <c r="F59" s="25" t="s">
        <v>9</v>
      </c>
      <c r="G59" s="392" t="s">
        <v>104</v>
      </c>
      <c r="H59" s="393" t="s">
        <v>69</v>
      </c>
      <c r="I59" s="394" t="s">
        <v>105</v>
      </c>
      <c r="J59" s="393" t="s">
        <v>131</v>
      </c>
      <c r="K59" s="393" t="s">
        <v>69</v>
      </c>
      <c r="L59" s="394" t="s">
        <v>132</v>
      </c>
      <c r="M59" s="101"/>
      <c r="N59" s="101"/>
      <c r="O59" s="7"/>
    </row>
    <row r="60" spans="1:38" s="1" customFormat="1">
      <c r="A60" s="89"/>
      <c r="B60" s="16"/>
      <c r="C60" s="16"/>
      <c r="D60" s="620" t="s">
        <v>194</v>
      </c>
      <c r="E60" s="406" t="s">
        <v>75</v>
      </c>
      <c r="F60" s="425"/>
      <c r="G60" s="435">
        <f>I60/H60</f>
        <v>306.82452116779274</v>
      </c>
      <c r="H60" s="431">
        <f>Perfils!$G$32</f>
        <v>97.24</v>
      </c>
      <c r="I60" s="432">
        <f>G18</f>
        <v>29835.616438356163</v>
      </c>
      <c r="J60" s="437"/>
      <c r="K60" s="431"/>
      <c r="L60" s="432"/>
      <c r="M60" s="101"/>
      <c r="N60" s="101"/>
      <c r="O60" s="7"/>
    </row>
    <row r="61" spans="1:38" s="1" customFormat="1" ht="15.75" thickBot="1">
      <c r="A61" s="89"/>
      <c r="B61" s="16"/>
      <c r="C61" s="16"/>
      <c r="D61" s="621"/>
      <c r="E61" s="384" t="s">
        <v>129</v>
      </c>
      <c r="F61" s="391"/>
      <c r="G61" s="436"/>
      <c r="H61" s="433"/>
      <c r="I61" s="434"/>
      <c r="J61" s="438">
        <v>0</v>
      </c>
      <c r="K61" s="433">
        <f>Perfils!G30</f>
        <v>68.819999999999993</v>
      </c>
      <c r="L61" s="434">
        <f>G19</f>
        <v>0</v>
      </c>
      <c r="M61" s="101"/>
      <c r="N61" s="101"/>
      <c r="O61" s="7"/>
    </row>
    <row r="62" spans="1:38" s="1" customFormat="1" ht="15.75">
      <c r="A62" s="25" t="s">
        <v>6</v>
      </c>
      <c r="B62" s="24"/>
      <c r="C62" s="23"/>
      <c r="D62" s="90"/>
      <c r="E62" s="22"/>
      <c r="F62" s="104"/>
      <c r="G62" s="21"/>
      <c r="H62" s="21"/>
      <c r="I62" s="20">
        <f>SUM(I60:I61)</f>
        <v>29835.616438356163</v>
      </c>
      <c r="J62" s="21"/>
      <c r="K62" s="21"/>
      <c r="L62" s="20">
        <f>SUM(L60:L61)</f>
        <v>0</v>
      </c>
      <c r="M62" s="447">
        <f>SUM(I62:L62)</f>
        <v>29835.616438356163</v>
      </c>
      <c r="N62" s="7"/>
    </row>
    <row r="63" spans="1:38" s="1" customFormat="1">
      <c r="A63" s="19"/>
      <c r="B63" s="18"/>
      <c r="C63" s="17"/>
      <c r="D63" s="439"/>
      <c r="E63" s="16"/>
      <c r="F63" s="15"/>
      <c r="G63" s="15"/>
      <c r="H63" s="15"/>
      <c r="I63" s="13"/>
      <c r="J63" s="15"/>
      <c r="K63" s="14"/>
      <c r="L63" s="13"/>
      <c r="M63" s="13"/>
      <c r="N63" s="13"/>
      <c r="O63" s="13"/>
      <c r="P63" s="13"/>
      <c r="Q63" s="13"/>
      <c r="R63" s="13"/>
      <c r="S63" s="12"/>
      <c r="T63" s="12"/>
      <c r="U63" s="7"/>
    </row>
    <row r="64" spans="1:38" s="1" customFormat="1" ht="15.75" customHeight="1" thickBot="1">
      <c r="A64" s="443">
        <v>2023</v>
      </c>
      <c r="B64" s="443"/>
      <c r="C64" s="443"/>
      <c r="D64" s="463" t="s">
        <v>196</v>
      </c>
      <c r="E64" s="463" t="s">
        <v>195</v>
      </c>
      <c r="F64" s="372"/>
      <c r="G64" s="615" t="s">
        <v>197</v>
      </c>
      <c r="H64" s="615"/>
      <c r="I64" s="615"/>
      <c r="J64" s="615"/>
      <c r="K64" s="615"/>
      <c r="L64" s="615"/>
      <c r="M64" s="15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2"/>
      <c r="AD64" s="12"/>
      <c r="AE64" s="7"/>
    </row>
    <row r="65" spans="1:35" s="1" customFormat="1" ht="31.5">
      <c r="A65" s="25" t="s">
        <v>13</v>
      </c>
      <c r="B65" s="25" t="s">
        <v>12</v>
      </c>
      <c r="C65" s="25" t="s">
        <v>11</v>
      </c>
      <c r="D65" s="25" t="s">
        <v>260</v>
      </c>
      <c r="E65" s="25" t="s">
        <v>10</v>
      </c>
      <c r="F65" s="25" t="s">
        <v>9</v>
      </c>
      <c r="G65" s="392" t="s">
        <v>104</v>
      </c>
      <c r="H65" s="393" t="s">
        <v>69</v>
      </c>
      <c r="I65" s="394" t="s">
        <v>105</v>
      </c>
      <c r="J65" s="393" t="s">
        <v>131</v>
      </c>
      <c r="K65" s="393" t="s">
        <v>69</v>
      </c>
      <c r="L65" s="394" t="s">
        <v>132</v>
      </c>
      <c r="M65" s="15"/>
      <c r="N65" s="14"/>
      <c r="O65" s="13"/>
      <c r="P65" s="15"/>
      <c r="Q65" s="14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2"/>
      <c r="AH65" s="12"/>
      <c r="AI65" s="7"/>
    </row>
    <row r="66" spans="1:35" s="1" customFormat="1">
      <c r="A66" s="19"/>
      <c r="B66" s="18"/>
      <c r="C66" s="17"/>
      <c r="D66" s="441"/>
      <c r="E66" s="674" t="s">
        <v>81</v>
      </c>
      <c r="F66" s="26"/>
      <c r="G66" s="679">
        <f>I66/H66</f>
        <v>1368.1413787969029</v>
      </c>
      <c r="H66" s="676">
        <f>Perfils!G38</f>
        <v>58.88</v>
      </c>
      <c r="I66" s="677">
        <f>Taula1[import 2023
IVA inc]</f>
        <v>80556.164383561641</v>
      </c>
      <c r="J66" s="684"/>
      <c r="K66" s="684"/>
      <c r="L66" s="685"/>
      <c r="M66" s="15"/>
      <c r="N66" s="14"/>
      <c r="O66" s="13"/>
      <c r="P66" s="15"/>
      <c r="Q66" s="14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2"/>
      <c r="AH66" s="12"/>
      <c r="AI66" s="7"/>
    </row>
    <row r="67" spans="1:35" s="295" customFormat="1">
      <c r="A67" s="672"/>
      <c r="B67" s="18"/>
      <c r="C67" s="17"/>
      <c r="D67" s="673"/>
      <c r="E67" s="675" t="s">
        <v>129</v>
      </c>
      <c r="F67" s="26"/>
      <c r="G67" s="26"/>
      <c r="H67" s="676"/>
      <c r="I67" s="677"/>
      <c r="J67" s="684">
        <f>L67/K67</f>
        <v>0</v>
      </c>
      <c r="K67" s="684">
        <f>Perfils!G38</f>
        <v>58.88</v>
      </c>
      <c r="L67" s="677">
        <f>Taula1[[#Totals],[import 2023
IVA inc]]</f>
        <v>0</v>
      </c>
      <c r="M67" s="15"/>
      <c r="N67" s="14"/>
      <c r="O67" s="13"/>
      <c r="P67" s="15"/>
      <c r="Q67" s="14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2"/>
      <c r="AH67" s="12"/>
      <c r="AI67" s="7"/>
    </row>
    <row r="68" spans="1:35" s="1" customFormat="1" ht="15.75">
      <c r="A68" s="25" t="s">
        <v>6</v>
      </c>
      <c r="B68" s="24"/>
      <c r="C68" s="23"/>
      <c r="D68" s="442"/>
      <c r="E68" s="440"/>
      <c r="F68" s="22"/>
      <c r="G68" s="22"/>
      <c r="H68" s="22"/>
      <c r="I68" s="106">
        <f>SUM(I66)</f>
        <v>80556.164383561641</v>
      </c>
      <c r="J68" s="22"/>
      <c r="K68" s="22"/>
      <c r="L68" s="22"/>
      <c r="M68" s="448">
        <f>SUM(I68)</f>
        <v>80556.164383561641</v>
      </c>
      <c r="N68" s="14"/>
      <c r="O68" s="13"/>
      <c r="P68" s="15"/>
      <c r="Q68" s="14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2"/>
      <c r="AH68" s="12"/>
      <c r="AI68" s="7"/>
    </row>
    <row r="69" spans="1:35" s="1" customFormat="1">
      <c r="A69" s="19"/>
      <c r="B69" s="18"/>
      <c r="C69" s="17"/>
      <c r="D69" s="121"/>
      <c r="E69" s="102"/>
      <c r="F69" s="122"/>
      <c r="G69" s="15"/>
      <c r="H69" s="15"/>
      <c r="I69" s="13"/>
      <c r="J69" s="15"/>
      <c r="K69" s="14"/>
      <c r="L69" s="13"/>
      <c r="M69" s="15"/>
      <c r="N69" s="14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2"/>
      <c r="AE69" s="12"/>
      <c r="AF69" s="7"/>
    </row>
    <row r="70" spans="1:35" s="295" customFormat="1">
      <c r="A70" s="19"/>
      <c r="B70" s="18"/>
      <c r="C70" s="17"/>
      <c r="D70" s="121"/>
      <c r="E70" s="102"/>
      <c r="F70" s="122"/>
      <c r="G70" s="15"/>
      <c r="H70" s="15"/>
      <c r="I70" s="13"/>
      <c r="J70" s="15"/>
      <c r="K70" s="14"/>
      <c r="L70" s="13"/>
      <c r="M70" s="15"/>
      <c r="N70" s="14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2"/>
      <c r="AE70" s="12"/>
      <c r="AF70" s="7"/>
    </row>
    <row r="71" spans="1:35" s="295" customFormat="1" ht="16.5" thickBot="1">
      <c r="A71" s="453">
        <v>2024</v>
      </c>
      <c r="B71" s="453"/>
      <c r="C71" s="453"/>
      <c r="D71" s="453"/>
      <c r="E71" s="453"/>
      <c r="F71" s="453"/>
      <c r="G71" s="622" t="s">
        <v>198</v>
      </c>
      <c r="H71" s="622"/>
      <c r="I71" s="622"/>
      <c r="J71" s="622"/>
      <c r="K71" s="622"/>
      <c r="L71" s="622"/>
      <c r="M71" s="622"/>
      <c r="N71" s="7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2"/>
      <c r="AE71" s="12"/>
      <c r="AF71" s="7"/>
    </row>
    <row r="72" spans="1:35" s="295" customFormat="1" ht="48" thickBot="1">
      <c r="A72" s="25" t="s">
        <v>13</v>
      </c>
      <c r="B72" s="25" t="s">
        <v>12</v>
      </c>
      <c r="C72" s="25" t="s">
        <v>11</v>
      </c>
      <c r="D72" s="25" t="s">
        <v>259</v>
      </c>
      <c r="E72" s="25" t="s">
        <v>10</v>
      </c>
      <c r="F72" s="25" t="s">
        <v>9</v>
      </c>
      <c r="G72" s="454" t="s">
        <v>68</v>
      </c>
      <c r="H72" s="454" t="s">
        <v>94</v>
      </c>
      <c r="I72" s="455" t="s">
        <v>69</v>
      </c>
      <c r="J72" s="455" t="s">
        <v>93</v>
      </c>
      <c r="K72" s="454" t="s">
        <v>159</v>
      </c>
      <c r="L72" s="455" t="s">
        <v>69</v>
      </c>
      <c r="M72" s="456" t="s">
        <v>158</v>
      </c>
      <c r="N72" s="119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2"/>
      <c r="AE72" s="12"/>
      <c r="AF72" s="7"/>
    </row>
    <row r="73" spans="1:35" s="295" customFormat="1" ht="30">
      <c r="A73" s="29"/>
      <c r="B73" s="29"/>
      <c r="C73" s="29"/>
      <c r="D73" s="603" t="s">
        <v>184</v>
      </c>
      <c r="E73" s="380" t="s">
        <v>76</v>
      </c>
      <c r="F73" s="389"/>
      <c r="G73" s="449">
        <f>H6</f>
        <v>188820.5</v>
      </c>
      <c r="H73" s="395"/>
      <c r="I73" s="381"/>
      <c r="J73" s="389"/>
      <c r="K73" s="395"/>
      <c r="L73" s="381"/>
      <c r="M73" s="382"/>
      <c r="N73" s="102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2"/>
      <c r="AE73" s="12"/>
      <c r="AF73" s="7"/>
    </row>
    <row r="74" spans="1:35" s="295" customFormat="1" ht="30">
      <c r="A74" s="29"/>
      <c r="B74" s="29"/>
      <c r="C74" s="29"/>
      <c r="D74" s="604"/>
      <c r="E74" s="378" t="s">
        <v>88</v>
      </c>
      <c r="F74" s="390"/>
      <c r="G74" s="399"/>
      <c r="H74" s="396">
        <f>J74/I74</f>
        <v>2626.9127351787643</v>
      </c>
      <c r="I74" s="379">
        <f>Perfils!$G$6</f>
        <v>86.759999999999991</v>
      </c>
      <c r="J74" s="404">
        <f>H7</f>
        <v>227910.94890410957</v>
      </c>
      <c r="K74" s="402"/>
      <c r="L74" s="377"/>
      <c r="M74" s="383"/>
      <c r="N74" s="102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2"/>
      <c r="AE74" s="12"/>
      <c r="AF74" s="7"/>
    </row>
    <row r="75" spans="1:35" s="295" customFormat="1" ht="30.75" thickBot="1">
      <c r="A75" s="29"/>
      <c r="B75" s="29"/>
      <c r="C75" s="29"/>
      <c r="D75" s="605"/>
      <c r="E75" s="384" t="s">
        <v>156</v>
      </c>
      <c r="F75" s="391"/>
      <c r="G75" s="400"/>
      <c r="H75" s="397"/>
      <c r="I75" s="385"/>
      <c r="J75" s="405"/>
      <c r="K75" s="403">
        <f>M75/L75</f>
        <v>776.33773899653534</v>
      </c>
      <c r="L75" s="387">
        <f>Perfils!G16</f>
        <v>77.930000000000007</v>
      </c>
      <c r="M75" s="452">
        <f>H8</f>
        <v>60500</v>
      </c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2"/>
      <c r="AE75" s="12"/>
      <c r="AF75" s="7"/>
    </row>
    <row r="76" spans="1:35" s="295" customFormat="1" ht="15.75">
      <c r="A76" s="25" t="s">
        <v>6</v>
      </c>
      <c r="B76" s="24"/>
      <c r="C76" s="23"/>
      <c r="D76" s="90"/>
      <c r="E76" s="22"/>
      <c r="F76" s="22"/>
      <c r="G76" s="444">
        <f>SUM(G73:G75)</f>
        <v>188820.5</v>
      </c>
      <c r="H76" s="22"/>
      <c r="I76" s="22"/>
      <c r="J76" s="444">
        <f>SUM(J73:J75)</f>
        <v>227910.94890410957</v>
      </c>
      <c r="K76" s="22"/>
      <c r="L76" s="22"/>
      <c r="M76" s="444">
        <f>SUM(M73:M75)</f>
        <v>60500</v>
      </c>
      <c r="N76" s="196">
        <f>SUM(G76:M76)</f>
        <v>477231.44890410954</v>
      </c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2"/>
      <c r="AE76" s="12"/>
      <c r="AF76" s="7"/>
    </row>
    <row r="77" spans="1:35" s="295" customFormat="1">
      <c r="A77" s="19"/>
      <c r="B77" s="18"/>
      <c r="C77" s="17"/>
      <c r="D77" s="121"/>
      <c r="E77" s="102"/>
      <c r="F77" s="122"/>
      <c r="G77" s="15"/>
      <c r="H77" s="15"/>
      <c r="I77" s="13"/>
      <c r="J77" s="15"/>
      <c r="K77" s="14"/>
      <c r="L77" s="13"/>
      <c r="M77" s="15"/>
      <c r="N77" s="14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2"/>
      <c r="AE77" s="12"/>
      <c r="AF77" s="7"/>
    </row>
    <row r="78" spans="1:35" s="295" customFormat="1" ht="16.5" thickBot="1">
      <c r="A78" s="453">
        <v>2024</v>
      </c>
      <c r="B78" s="453"/>
      <c r="C78" s="453"/>
      <c r="D78" s="453"/>
      <c r="E78" s="453"/>
      <c r="F78" s="453"/>
      <c r="G78" s="623" t="s">
        <v>199</v>
      </c>
      <c r="H78" s="623"/>
      <c r="I78" s="623"/>
      <c r="J78" s="623"/>
      <c r="K78" s="623"/>
      <c r="L78" s="623"/>
      <c r="N78" s="14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2"/>
      <c r="AE78" s="12"/>
      <c r="AF78" s="7"/>
    </row>
    <row r="79" spans="1:35" s="295" customFormat="1" ht="48" thickBot="1">
      <c r="A79" s="25" t="s">
        <v>13</v>
      </c>
      <c r="B79" s="25" t="s">
        <v>12</v>
      </c>
      <c r="C79" s="25" t="s">
        <v>11</v>
      </c>
      <c r="D79" s="25" t="s">
        <v>259</v>
      </c>
      <c r="E79" s="25" t="s">
        <v>10</v>
      </c>
      <c r="F79" s="25" t="s">
        <v>9</v>
      </c>
      <c r="G79" s="454" t="s">
        <v>95</v>
      </c>
      <c r="H79" s="455" t="s">
        <v>69</v>
      </c>
      <c r="I79" s="456" t="s">
        <v>96</v>
      </c>
      <c r="J79" s="457" t="s">
        <v>97</v>
      </c>
      <c r="K79" s="457" t="s">
        <v>69</v>
      </c>
      <c r="L79" s="458" t="s">
        <v>98</v>
      </c>
      <c r="N79" s="14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2"/>
      <c r="AE79" s="12"/>
      <c r="AF79" s="7"/>
    </row>
    <row r="80" spans="1:35" s="295" customFormat="1" ht="30">
      <c r="A80" s="29"/>
      <c r="B80" s="29"/>
      <c r="C80" s="29"/>
      <c r="D80" s="607" t="s">
        <v>181</v>
      </c>
      <c r="E80" s="406" t="s">
        <v>86</v>
      </c>
      <c r="F80" s="425"/>
      <c r="G80" s="423">
        <f>I80/H80</f>
        <v>1526.3672985059316</v>
      </c>
      <c r="H80" s="407">
        <f>Perfils!$G$9</f>
        <v>49.41</v>
      </c>
      <c r="I80" s="417">
        <f>H10</f>
        <v>75417.80821917807</v>
      </c>
      <c r="J80" s="426"/>
      <c r="K80" s="408"/>
      <c r="L80" s="409"/>
      <c r="N80" s="14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2"/>
      <c r="AE80" s="12"/>
      <c r="AF80" s="7"/>
    </row>
    <row r="81" spans="1:32" s="295" customFormat="1" ht="30.75" thickBot="1">
      <c r="A81" s="29"/>
      <c r="B81" s="29"/>
      <c r="C81" s="29"/>
      <c r="D81" s="608"/>
      <c r="E81" s="384" t="s">
        <v>87</v>
      </c>
      <c r="F81" s="391"/>
      <c r="G81" s="424"/>
      <c r="H81" s="386"/>
      <c r="I81" s="398"/>
      <c r="J81" s="401">
        <f>L81/K81</f>
        <v>681.5934306660713</v>
      </c>
      <c r="K81" s="387">
        <f>Perfils!$G$13</f>
        <v>65.66</v>
      </c>
      <c r="L81" s="410">
        <f>H11</f>
        <v>44753.42465753424</v>
      </c>
      <c r="N81" s="14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2"/>
      <c r="AE81" s="12"/>
      <c r="AF81" s="7"/>
    </row>
    <row r="82" spans="1:32" s="295" customFormat="1" ht="15.75">
      <c r="A82" s="25" t="s">
        <v>6</v>
      </c>
      <c r="B82" s="24"/>
      <c r="C82" s="23"/>
      <c r="D82" s="90"/>
      <c r="E82" s="22"/>
      <c r="F82" s="22"/>
      <c r="G82" s="22"/>
      <c r="H82" s="22"/>
      <c r="I82" s="444">
        <f>SUM(I80:I81)</f>
        <v>75417.80821917807</v>
      </c>
      <c r="J82" s="445"/>
      <c r="K82" s="445"/>
      <c r="L82" s="450">
        <f>SUM(L80:L81)</f>
        <v>44753.42465753424</v>
      </c>
      <c r="M82" s="196">
        <f>SUM(I82:L82)</f>
        <v>120171.23287671231</v>
      </c>
      <c r="N82" s="14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2"/>
      <c r="AE82" s="12"/>
      <c r="AF82" s="7"/>
    </row>
    <row r="83" spans="1:32" s="295" customFormat="1">
      <c r="A83" s="29"/>
      <c r="B83" s="29"/>
      <c r="C83" s="29"/>
      <c r="D83" s="373"/>
      <c r="E83" s="373"/>
      <c r="F83" s="373"/>
      <c r="G83" s="373"/>
      <c r="H83" s="373"/>
      <c r="I83" s="373"/>
      <c r="J83" s="373"/>
      <c r="K83" s="373"/>
      <c r="L83" s="373"/>
      <c r="M83" s="373"/>
      <c r="N83" s="14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2"/>
      <c r="AE83" s="12"/>
      <c r="AF83" s="7"/>
    </row>
    <row r="84" spans="1:32" s="295" customFormat="1" ht="16.5" thickBot="1">
      <c r="A84" s="453">
        <v>2024</v>
      </c>
      <c r="B84" s="453"/>
      <c r="C84" s="453"/>
      <c r="D84" s="453"/>
      <c r="E84" s="453"/>
      <c r="F84" s="453"/>
      <c r="G84" s="453" t="s">
        <v>200</v>
      </c>
      <c r="H84" s="373"/>
      <c r="I84" s="373"/>
      <c r="J84" s="373"/>
      <c r="K84" s="373"/>
      <c r="L84" s="373"/>
      <c r="M84" s="373"/>
      <c r="N84" s="14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2"/>
      <c r="AE84" s="12"/>
      <c r="AF84" s="7"/>
    </row>
    <row r="85" spans="1:32" s="295" customFormat="1" ht="32.25" thickBot="1">
      <c r="A85" s="25" t="s">
        <v>13</v>
      </c>
      <c r="B85" s="25" t="s">
        <v>12</v>
      </c>
      <c r="C85" s="25" t="s">
        <v>11</v>
      </c>
      <c r="D85" s="25" t="s">
        <v>259</v>
      </c>
      <c r="E85" s="25" t="s">
        <v>10</v>
      </c>
      <c r="F85" s="25" t="s">
        <v>9</v>
      </c>
      <c r="G85" s="459" t="s">
        <v>99</v>
      </c>
      <c r="H85" s="373"/>
      <c r="I85" s="373"/>
      <c r="J85" s="373"/>
      <c r="K85" s="373"/>
      <c r="L85" s="373"/>
      <c r="M85" s="373"/>
      <c r="N85" s="14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2"/>
      <c r="AE85" s="12"/>
      <c r="AF85" s="7"/>
    </row>
    <row r="86" spans="1:32" s="295" customFormat="1" ht="15.75" thickBot="1">
      <c r="A86" s="29"/>
      <c r="B86" s="29"/>
      <c r="C86" s="29"/>
      <c r="D86" s="416" t="s">
        <v>192</v>
      </c>
      <c r="E86" s="411" t="s">
        <v>77</v>
      </c>
      <c r="F86" s="412"/>
      <c r="G86" s="414">
        <f>H13</f>
        <v>465850</v>
      </c>
      <c r="H86" s="373"/>
      <c r="I86" s="373"/>
      <c r="J86" s="373"/>
      <c r="K86" s="373"/>
      <c r="L86" s="373"/>
      <c r="M86" s="373"/>
      <c r="N86" s="14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2"/>
      <c r="AE86" s="12"/>
      <c r="AF86" s="7"/>
    </row>
    <row r="87" spans="1:32" s="295" customFormat="1" ht="15.75">
      <c r="A87" s="25" t="s">
        <v>6</v>
      </c>
      <c r="B87" s="24"/>
      <c r="C87" s="23"/>
      <c r="D87" s="90"/>
      <c r="E87" s="22"/>
      <c r="F87" s="22"/>
      <c r="G87" s="413">
        <f>SUM(G86)</f>
        <v>465850</v>
      </c>
      <c r="H87" s="415">
        <f>SUM(G87)</f>
        <v>465850</v>
      </c>
      <c r="I87" s="15"/>
      <c r="J87" s="15"/>
      <c r="K87" s="15"/>
      <c r="L87" s="14"/>
      <c r="M87" s="13"/>
      <c r="N87" s="14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2"/>
      <c r="AE87" s="12"/>
      <c r="AF87" s="7"/>
    </row>
    <row r="88" spans="1:32" s="295" customFormat="1">
      <c r="A88" s="29"/>
      <c r="B88" s="29"/>
      <c r="C88" s="29"/>
      <c r="D88" s="29"/>
      <c r="E88" s="374"/>
      <c r="F88" s="100"/>
      <c r="G88" s="15"/>
      <c r="H88" s="375"/>
      <c r="I88" s="15"/>
      <c r="J88" s="15"/>
      <c r="K88" s="15"/>
      <c r="L88" s="14"/>
      <c r="M88" s="13"/>
      <c r="N88" s="14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2"/>
      <c r="AE88" s="12"/>
      <c r="AF88" s="7"/>
    </row>
    <row r="89" spans="1:32" s="295" customFormat="1" ht="16.5" thickBot="1">
      <c r="A89" s="453">
        <v>2024</v>
      </c>
      <c r="B89" s="453"/>
      <c r="C89" s="453"/>
      <c r="D89" s="453"/>
      <c r="E89" s="453"/>
      <c r="F89" s="453"/>
      <c r="G89" s="624" t="s">
        <v>199</v>
      </c>
      <c r="H89" s="624"/>
      <c r="I89" s="624"/>
      <c r="J89" s="624"/>
      <c r="K89" s="624"/>
      <c r="L89" s="624"/>
      <c r="M89" s="13"/>
      <c r="N89" s="14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2"/>
      <c r="AE89" s="12"/>
      <c r="AF89" s="7"/>
    </row>
    <row r="90" spans="1:32" s="295" customFormat="1" ht="48" thickBot="1">
      <c r="A90" s="25" t="s">
        <v>13</v>
      </c>
      <c r="B90" s="25" t="s">
        <v>12</v>
      </c>
      <c r="C90" s="25" t="s">
        <v>11</v>
      </c>
      <c r="D90" s="25" t="s">
        <v>259</v>
      </c>
      <c r="E90" s="25" t="s">
        <v>10</v>
      </c>
      <c r="F90" s="25" t="s">
        <v>9</v>
      </c>
      <c r="G90" s="460" t="s">
        <v>100</v>
      </c>
      <c r="H90" s="461" t="s">
        <v>69</v>
      </c>
      <c r="I90" s="461" t="s">
        <v>101</v>
      </c>
      <c r="J90" s="460" t="s">
        <v>102</v>
      </c>
      <c r="K90" s="461" t="s">
        <v>69</v>
      </c>
      <c r="L90" s="462" t="s">
        <v>103</v>
      </c>
      <c r="M90" s="8"/>
      <c r="N90" s="14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2"/>
      <c r="AE90" s="12"/>
      <c r="AF90" s="7"/>
    </row>
    <row r="91" spans="1:32" s="295" customFormat="1" ht="30">
      <c r="A91" s="29"/>
      <c r="B91" s="29"/>
      <c r="C91" s="29"/>
      <c r="D91" s="599" t="s">
        <v>193</v>
      </c>
      <c r="E91" s="406" t="s">
        <v>79</v>
      </c>
      <c r="F91" s="425"/>
      <c r="G91" s="427">
        <f>I91/H91</f>
        <v>5103.753745053461</v>
      </c>
      <c r="H91" s="419">
        <f>Perfils!$G$21</f>
        <v>80.38</v>
      </c>
      <c r="I91" s="428">
        <f>H15</f>
        <v>410239.72602739721</v>
      </c>
      <c r="J91" s="430"/>
      <c r="K91" s="419"/>
      <c r="L91" s="428"/>
      <c r="M91" s="117"/>
      <c r="N91" s="14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2"/>
      <c r="AE91" s="12"/>
      <c r="AF91" s="7"/>
    </row>
    <row r="92" spans="1:32" s="295" customFormat="1" ht="30.75" thickBot="1">
      <c r="A92" s="29"/>
      <c r="B92" s="29"/>
      <c r="C92" s="29"/>
      <c r="D92" s="600"/>
      <c r="E92" s="384" t="s">
        <v>74</v>
      </c>
      <c r="F92" s="391"/>
      <c r="G92" s="424"/>
      <c r="H92" s="418"/>
      <c r="I92" s="410"/>
      <c r="J92" s="429">
        <f>L92/K92</f>
        <v>3228.0280284387513</v>
      </c>
      <c r="K92" s="418">
        <f>Perfils!$G$27</f>
        <v>74.839999999999989</v>
      </c>
      <c r="L92" s="410">
        <f>H16</f>
        <v>241585.61764835613</v>
      </c>
      <c r="N92" s="14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2"/>
      <c r="AE92" s="12"/>
      <c r="AF92" s="7"/>
    </row>
    <row r="93" spans="1:32" s="295" customFormat="1" ht="15.75">
      <c r="A93" s="25" t="s">
        <v>6</v>
      </c>
      <c r="B93" s="24"/>
      <c r="C93" s="23"/>
      <c r="D93" s="90"/>
      <c r="E93" s="22"/>
      <c r="F93" s="104"/>
      <c r="G93" s="21"/>
      <c r="H93" s="21"/>
      <c r="I93" s="20">
        <f>SUM(I91:I92)</f>
        <v>410239.72602739721</v>
      </c>
      <c r="J93" s="21"/>
      <c r="K93" s="21"/>
      <c r="L93" s="20">
        <f>SUM(L91:L92)</f>
        <v>241585.61764835613</v>
      </c>
      <c r="M93" s="446">
        <f>SUM(I93:L93)</f>
        <v>651825.34367575333</v>
      </c>
      <c r="N93" s="14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2"/>
      <c r="AE93" s="12"/>
      <c r="AF93" s="7"/>
    </row>
    <row r="94" spans="1:32" s="295" customFormat="1">
      <c r="A94" s="19"/>
      <c r="B94" s="18"/>
      <c r="C94" s="17"/>
      <c r="D94" s="121"/>
      <c r="E94" s="102"/>
      <c r="F94" s="122"/>
      <c r="G94" s="15"/>
      <c r="H94" s="15"/>
      <c r="I94" s="13"/>
      <c r="J94" s="15"/>
      <c r="K94" s="14"/>
      <c r="L94" s="13"/>
      <c r="M94" s="15"/>
      <c r="N94" s="14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2"/>
      <c r="AE94" s="12"/>
      <c r="AF94" s="7"/>
    </row>
    <row r="95" spans="1:32" s="295" customFormat="1" ht="16.5" thickBot="1">
      <c r="A95" s="453">
        <v>2024</v>
      </c>
      <c r="B95" s="453"/>
      <c r="C95" s="453"/>
      <c r="D95" s="453"/>
      <c r="E95" s="453"/>
      <c r="F95" s="453"/>
      <c r="G95" s="624" t="s">
        <v>199</v>
      </c>
      <c r="H95" s="624"/>
      <c r="I95" s="624"/>
      <c r="J95" s="624"/>
      <c r="K95" s="624"/>
      <c r="L95" s="624"/>
      <c r="M95" s="101"/>
      <c r="N95" s="14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2"/>
      <c r="AE95" s="12"/>
      <c r="AF95" s="7"/>
    </row>
    <row r="96" spans="1:32" s="295" customFormat="1" ht="32.25" thickBot="1">
      <c r="A96" s="25" t="s">
        <v>13</v>
      </c>
      <c r="B96" s="25" t="s">
        <v>12</v>
      </c>
      <c r="C96" s="25" t="s">
        <v>11</v>
      </c>
      <c r="D96" s="25" t="s">
        <v>259</v>
      </c>
      <c r="E96" s="25" t="s">
        <v>10</v>
      </c>
      <c r="F96" s="25" t="s">
        <v>9</v>
      </c>
      <c r="G96" s="454" t="s">
        <v>104</v>
      </c>
      <c r="H96" s="455" t="s">
        <v>69</v>
      </c>
      <c r="I96" s="456" t="s">
        <v>105</v>
      </c>
      <c r="J96" s="455" t="s">
        <v>131</v>
      </c>
      <c r="K96" s="455" t="s">
        <v>69</v>
      </c>
      <c r="L96" s="456" t="s">
        <v>132</v>
      </c>
      <c r="M96" s="101"/>
      <c r="N96" s="14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2"/>
      <c r="AE96" s="12"/>
      <c r="AF96" s="7"/>
    </row>
    <row r="97" spans="1:40" s="295" customFormat="1">
      <c r="A97" s="89"/>
      <c r="B97" s="16"/>
      <c r="C97" s="16"/>
      <c r="D97" s="620" t="s">
        <v>194</v>
      </c>
      <c r="E97" s="406" t="s">
        <v>75</v>
      </c>
      <c r="F97" s="425"/>
      <c r="G97" s="435">
        <f>I97/H97</f>
        <v>1244.3438914027149</v>
      </c>
      <c r="H97" s="431">
        <f>Perfils!$G$32</f>
        <v>97.24</v>
      </c>
      <c r="I97" s="432">
        <f>H18</f>
        <v>121000</v>
      </c>
      <c r="J97" s="437"/>
      <c r="K97" s="431"/>
      <c r="L97" s="432"/>
      <c r="M97" s="101"/>
      <c r="N97" s="14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2"/>
      <c r="AE97" s="12"/>
      <c r="AF97" s="7"/>
    </row>
    <row r="98" spans="1:40" s="295" customFormat="1" ht="15.75" thickBot="1">
      <c r="A98" s="89"/>
      <c r="B98" s="16"/>
      <c r="C98" s="16"/>
      <c r="D98" s="621"/>
      <c r="E98" s="384" t="s">
        <v>129</v>
      </c>
      <c r="F98" s="391"/>
      <c r="G98" s="436"/>
      <c r="H98" s="433"/>
      <c r="I98" s="434"/>
      <c r="J98" s="438">
        <v>0</v>
      </c>
      <c r="K98" s="433">
        <f>Perfils!G61</f>
        <v>0</v>
      </c>
      <c r="L98" s="434">
        <f>H19</f>
        <v>0</v>
      </c>
      <c r="M98" s="101"/>
      <c r="N98" s="14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2"/>
      <c r="AE98" s="12"/>
      <c r="AF98" s="7"/>
    </row>
    <row r="99" spans="1:40" s="295" customFormat="1" ht="15.75">
      <c r="A99" s="25" t="s">
        <v>6</v>
      </c>
      <c r="B99" s="24"/>
      <c r="C99" s="23"/>
      <c r="D99" s="90"/>
      <c r="E99" s="22"/>
      <c r="F99" s="104"/>
      <c r="G99" s="21"/>
      <c r="H99" s="21"/>
      <c r="I99" s="20">
        <f>SUM(I97:I98)</f>
        <v>121000</v>
      </c>
      <c r="J99" s="21"/>
      <c r="K99" s="21"/>
      <c r="L99" s="20">
        <f>SUM(L97:L98)</f>
        <v>0</v>
      </c>
      <c r="M99" s="447">
        <f>SUM(I99:L99)</f>
        <v>121000</v>
      </c>
      <c r="N99" s="14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2"/>
      <c r="AE99" s="12"/>
      <c r="AF99" s="7"/>
    </row>
    <row r="100" spans="1:40" s="295" customFormat="1">
      <c r="A100" s="19"/>
      <c r="B100" s="18"/>
      <c r="C100" s="17"/>
      <c r="D100" s="121"/>
      <c r="E100" s="102"/>
      <c r="F100" s="122"/>
      <c r="G100" s="15"/>
      <c r="H100" s="15"/>
      <c r="I100" s="13"/>
      <c r="J100" s="15"/>
      <c r="K100" s="14"/>
      <c r="L100" s="13"/>
      <c r="M100" s="15"/>
      <c r="N100" s="14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2"/>
      <c r="AE100" s="12"/>
      <c r="AF100" s="7"/>
    </row>
    <row r="101" spans="1:40" ht="16.5" customHeight="1" thickBot="1">
      <c r="A101" s="623">
        <v>2024</v>
      </c>
      <c r="B101" s="623"/>
      <c r="C101" s="623"/>
      <c r="D101" s="623"/>
      <c r="E101" s="623"/>
      <c r="F101" s="683" t="s">
        <v>204</v>
      </c>
      <c r="G101" s="624" t="s">
        <v>199</v>
      </c>
      <c r="H101" s="624"/>
      <c r="I101" s="624"/>
      <c r="J101" s="624"/>
      <c r="K101" s="624"/>
      <c r="L101" s="624"/>
      <c r="AG101" s="7"/>
      <c r="AH101" s="7"/>
      <c r="AI101" s="8"/>
      <c r="AK101" s="7"/>
      <c r="AM101" s="8"/>
      <c r="AN101" s="8"/>
    </row>
    <row r="102" spans="1:40" ht="31.5">
      <c r="A102" s="25" t="s">
        <v>13</v>
      </c>
      <c r="B102" s="25" t="s">
        <v>12</v>
      </c>
      <c r="C102" s="25" t="s">
        <v>11</v>
      </c>
      <c r="D102" s="25" t="s">
        <v>260</v>
      </c>
      <c r="E102" s="25" t="s">
        <v>10</v>
      </c>
      <c r="F102" s="25" t="s">
        <v>9</v>
      </c>
      <c r="G102" s="454" t="s">
        <v>104</v>
      </c>
      <c r="H102" s="455" t="s">
        <v>69</v>
      </c>
      <c r="I102" s="456" t="s">
        <v>105</v>
      </c>
      <c r="J102" s="455" t="s">
        <v>131</v>
      </c>
      <c r="K102" s="455" t="s">
        <v>69</v>
      </c>
      <c r="L102" s="456" t="s">
        <v>132</v>
      </c>
      <c r="AG102" s="7"/>
      <c r="AH102" s="7"/>
      <c r="AI102" s="8"/>
      <c r="AK102" s="7"/>
      <c r="AM102" s="8"/>
      <c r="AN102" s="8"/>
    </row>
    <row r="103" spans="1:40">
      <c r="A103" s="19"/>
      <c r="B103" s="18"/>
      <c r="C103" s="678"/>
      <c r="D103" s="7"/>
      <c r="E103" s="674" t="s">
        <v>81</v>
      </c>
      <c r="F103" s="26"/>
      <c r="G103" s="679">
        <f>I103/H103</f>
        <v>5548.573369565217</v>
      </c>
      <c r="H103" s="676">
        <f>Perfils!G38</f>
        <v>58.88</v>
      </c>
      <c r="I103" s="677">
        <f>Taula1[import 2024
IVA inc]</f>
        <v>326700</v>
      </c>
      <c r="AG103" s="7"/>
      <c r="AH103" s="7"/>
      <c r="AI103" s="8"/>
      <c r="AK103" s="7"/>
      <c r="AM103" s="8"/>
      <c r="AN103" s="8"/>
    </row>
    <row r="104" spans="1:40">
      <c r="A104" s="672"/>
      <c r="B104" s="18"/>
      <c r="C104" s="678"/>
      <c r="D104" s="7"/>
      <c r="E104" s="674" t="s">
        <v>129</v>
      </c>
      <c r="F104" s="26"/>
      <c r="G104" s="679"/>
      <c r="H104" s="676"/>
      <c r="I104" s="677"/>
      <c r="J104" s="679"/>
      <c r="K104" s="676">
        <f>Perfils!G38</f>
        <v>58.88</v>
      </c>
      <c r="L104" s="677">
        <f>Taula1[[#Totals],[import 2024
IVA inc]]</f>
        <v>0</v>
      </c>
      <c r="AG104" s="7"/>
      <c r="AH104" s="7"/>
      <c r="AI104" s="8"/>
      <c r="AK104" s="7"/>
      <c r="AM104" s="8"/>
      <c r="AN104" s="8"/>
    </row>
    <row r="105" spans="1:40" ht="15.75">
      <c r="A105" s="25" t="s">
        <v>6</v>
      </c>
      <c r="B105" s="24"/>
      <c r="C105" s="23"/>
      <c r="D105" s="23"/>
      <c r="E105" s="90"/>
      <c r="F105" s="22"/>
      <c r="G105" s="22"/>
      <c r="H105" s="22"/>
      <c r="I105" s="106">
        <f>SUM(I103)</f>
        <v>326700</v>
      </c>
      <c r="J105" s="22"/>
      <c r="K105" s="22"/>
      <c r="L105" s="444">
        <f>SUM(L104)</f>
        <v>0</v>
      </c>
      <c r="M105" s="447">
        <f>I105+L105</f>
        <v>326700</v>
      </c>
      <c r="AG105" s="7"/>
      <c r="AH105" s="7"/>
      <c r="AI105" s="8"/>
      <c r="AK105" s="7"/>
      <c r="AM105" s="8"/>
      <c r="AN105" s="8"/>
    </row>
    <row r="106" spans="1:40" s="295" customFormat="1">
      <c r="A106" s="19"/>
      <c r="B106" s="18"/>
      <c r="C106" s="17"/>
      <c r="D106" s="121"/>
      <c r="E106" s="102"/>
      <c r="F106" s="122"/>
      <c r="G106" s="15"/>
      <c r="H106" s="15"/>
      <c r="I106" s="13"/>
      <c r="J106" s="15"/>
      <c r="K106" s="14"/>
      <c r="L106" s="13"/>
      <c r="M106" s="15"/>
      <c r="N106" s="14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2"/>
      <c r="AE106" s="12"/>
      <c r="AF106" s="7"/>
    </row>
    <row r="107" spans="1:40" s="295" customFormat="1" ht="16.5" thickBot="1">
      <c r="A107" s="464">
        <v>2025</v>
      </c>
      <c r="B107" s="464"/>
      <c r="C107" s="464"/>
      <c r="D107" s="464"/>
      <c r="E107" s="464"/>
      <c r="F107" s="464"/>
      <c r="G107" s="602" t="s">
        <v>201</v>
      </c>
      <c r="H107" s="602"/>
      <c r="I107" s="602"/>
      <c r="J107" s="602"/>
      <c r="K107" s="602"/>
      <c r="L107" s="602"/>
      <c r="M107" s="602"/>
      <c r="N107" s="7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2"/>
      <c r="AE107" s="12"/>
      <c r="AF107" s="7"/>
    </row>
    <row r="108" spans="1:40" s="295" customFormat="1" ht="48" thickBot="1">
      <c r="A108" s="25" t="s">
        <v>13</v>
      </c>
      <c r="B108" s="25" t="s">
        <v>12</v>
      </c>
      <c r="C108" s="25" t="s">
        <v>11</v>
      </c>
      <c r="D108" s="25" t="s">
        <v>259</v>
      </c>
      <c r="E108" s="25" t="s">
        <v>10</v>
      </c>
      <c r="F108" s="25" t="s">
        <v>9</v>
      </c>
      <c r="G108" s="465" t="s">
        <v>68</v>
      </c>
      <c r="H108" s="465" t="s">
        <v>94</v>
      </c>
      <c r="I108" s="466" t="s">
        <v>69</v>
      </c>
      <c r="J108" s="466" t="s">
        <v>93</v>
      </c>
      <c r="K108" s="465" t="s">
        <v>159</v>
      </c>
      <c r="L108" s="466" t="s">
        <v>69</v>
      </c>
      <c r="M108" s="467" t="s">
        <v>158</v>
      </c>
      <c r="N108" s="119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2"/>
      <c r="AE108" s="12"/>
      <c r="AF108" s="7"/>
    </row>
    <row r="109" spans="1:40" s="295" customFormat="1" ht="30">
      <c r="A109" s="29"/>
      <c r="B109" s="29"/>
      <c r="C109" s="29"/>
      <c r="D109" s="603" t="s">
        <v>184</v>
      </c>
      <c r="E109" s="380" t="s">
        <v>76</v>
      </c>
      <c r="F109" s="389"/>
      <c r="G109" s="449">
        <f>I6</f>
        <v>142262.0205479452</v>
      </c>
      <c r="H109" s="395"/>
      <c r="I109" s="381"/>
      <c r="J109" s="389"/>
      <c r="K109" s="395"/>
      <c r="L109" s="381"/>
      <c r="M109" s="382"/>
      <c r="N109" s="102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2"/>
      <c r="AE109" s="12"/>
      <c r="AF109" s="7"/>
    </row>
    <row r="110" spans="1:40" s="295" customFormat="1" ht="30">
      <c r="A110" s="29"/>
      <c r="B110" s="29"/>
      <c r="C110" s="29"/>
      <c r="D110" s="604"/>
      <c r="E110" s="378" t="s">
        <v>88</v>
      </c>
      <c r="F110" s="390"/>
      <c r="G110" s="399"/>
      <c r="H110" s="396">
        <f>J110/I110</f>
        <v>0</v>
      </c>
      <c r="I110" s="379">
        <f>Perfils!$G$6</f>
        <v>86.759999999999991</v>
      </c>
      <c r="J110" s="404">
        <f>I7</f>
        <v>0</v>
      </c>
      <c r="K110" s="402"/>
      <c r="L110" s="377"/>
      <c r="M110" s="383"/>
      <c r="N110" s="102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2"/>
      <c r="AE110" s="12"/>
      <c r="AF110" s="7"/>
    </row>
    <row r="111" spans="1:40" s="295" customFormat="1" ht="30.75" thickBot="1">
      <c r="A111" s="29"/>
      <c r="B111" s="29"/>
      <c r="C111" s="29"/>
      <c r="D111" s="605"/>
      <c r="E111" s="384" t="s">
        <v>156</v>
      </c>
      <c r="F111" s="391"/>
      <c r="G111" s="400"/>
      <c r="H111" s="397"/>
      <c r="I111" s="385"/>
      <c r="J111" s="405"/>
      <c r="K111" s="403">
        <f>M111/L111</f>
        <v>584.91199513437584</v>
      </c>
      <c r="L111" s="387">
        <f>Perfils!G16</f>
        <v>77.930000000000007</v>
      </c>
      <c r="M111" s="452">
        <f>I8</f>
        <v>45582.191780821915</v>
      </c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2"/>
      <c r="AE111" s="12"/>
      <c r="AF111" s="7"/>
    </row>
    <row r="112" spans="1:40" s="295" customFormat="1" ht="15.75">
      <c r="A112" s="25" t="s">
        <v>6</v>
      </c>
      <c r="B112" s="24"/>
      <c r="C112" s="23"/>
      <c r="D112" s="90"/>
      <c r="E112" s="22"/>
      <c r="F112" s="22"/>
      <c r="G112" s="444">
        <f>SUM(G109:G111)</f>
        <v>142262.0205479452</v>
      </c>
      <c r="H112" s="22"/>
      <c r="I112" s="22"/>
      <c r="J112" s="444">
        <f>SUM(J109:J111)</f>
        <v>0</v>
      </c>
      <c r="K112" s="22"/>
      <c r="L112" s="22"/>
      <c r="M112" s="444">
        <f>SUM(M109:M111)</f>
        <v>45582.191780821915</v>
      </c>
      <c r="N112" s="196">
        <f>SUM(G112:M112)</f>
        <v>187844.21232876711</v>
      </c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2"/>
      <c r="AE112" s="12"/>
      <c r="AF112" s="7"/>
    </row>
    <row r="113" spans="1:32" s="295" customFormat="1">
      <c r="A113" s="19"/>
      <c r="B113" s="18"/>
      <c r="C113" s="17"/>
      <c r="D113" s="121"/>
      <c r="E113" s="102"/>
      <c r="F113" s="122"/>
      <c r="G113" s="15"/>
      <c r="H113" s="15"/>
      <c r="I113" s="13"/>
      <c r="J113" s="15"/>
      <c r="K113" s="14"/>
      <c r="L113" s="13"/>
      <c r="M113" s="15"/>
      <c r="N113" s="14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2"/>
      <c r="AE113" s="12"/>
      <c r="AF113" s="7"/>
    </row>
    <row r="114" spans="1:32" s="295" customFormat="1" ht="16.5" thickBot="1">
      <c r="A114" s="464">
        <v>2025</v>
      </c>
      <c r="B114" s="464"/>
      <c r="C114" s="464"/>
      <c r="D114" s="464"/>
      <c r="E114" s="464"/>
      <c r="F114" s="464"/>
      <c r="G114" s="606" t="s">
        <v>202</v>
      </c>
      <c r="H114" s="606"/>
      <c r="I114" s="606"/>
      <c r="J114" s="606"/>
      <c r="K114" s="606"/>
      <c r="L114" s="606"/>
      <c r="N114" s="14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2"/>
      <c r="AE114" s="12"/>
      <c r="AF114" s="7"/>
    </row>
    <row r="115" spans="1:32" s="295" customFormat="1" ht="48" thickBot="1">
      <c r="A115" s="25" t="s">
        <v>13</v>
      </c>
      <c r="B115" s="25" t="s">
        <v>12</v>
      </c>
      <c r="C115" s="25" t="s">
        <v>11</v>
      </c>
      <c r="D115" s="25" t="s">
        <v>259</v>
      </c>
      <c r="E115" s="25" t="s">
        <v>10</v>
      </c>
      <c r="F115" s="25" t="s">
        <v>9</v>
      </c>
      <c r="G115" s="465" t="s">
        <v>95</v>
      </c>
      <c r="H115" s="466" t="s">
        <v>69</v>
      </c>
      <c r="I115" s="467" t="s">
        <v>96</v>
      </c>
      <c r="J115" s="468" t="s">
        <v>97</v>
      </c>
      <c r="K115" s="468" t="s">
        <v>69</v>
      </c>
      <c r="L115" s="469" t="s">
        <v>98</v>
      </c>
      <c r="N115" s="14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2"/>
      <c r="AE115" s="12"/>
      <c r="AF115" s="7"/>
    </row>
    <row r="116" spans="1:32" s="295" customFormat="1" ht="30">
      <c r="A116" s="29"/>
      <c r="B116" s="29"/>
      <c r="C116" s="29"/>
      <c r="D116" s="607" t="s">
        <v>181</v>
      </c>
      <c r="E116" s="406" t="s">
        <v>86</v>
      </c>
      <c r="F116" s="425"/>
      <c r="G116" s="423">
        <f>I116/H116</f>
        <v>1845.0593473313872</v>
      </c>
      <c r="H116" s="407">
        <f>Perfils!$G$9</f>
        <v>49.41</v>
      </c>
      <c r="I116" s="417">
        <f>I10</f>
        <v>91164.382351643842</v>
      </c>
      <c r="J116" s="426"/>
      <c r="K116" s="408"/>
      <c r="L116" s="409"/>
      <c r="N116" s="14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2"/>
      <c r="AE116" s="12"/>
      <c r="AF116" s="7"/>
    </row>
    <row r="117" spans="1:32" s="295" customFormat="1" ht="30.75" thickBot="1">
      <c r="A117" s="29"/>
      <c r="B117" s="29"/>
      <c r="C117" s="29"/>
      <c r="D117" s="608"/>
      <c r="E117" s="384" t="s">
        <v>87</v>
      </c>
      <c r="F117" s="391"/>
      <c r="G117" s="424"/>
      <c r="H117" s="386"/>
      <c r="I117" s="398"/>
      <c r="J117" s="401">
        <f>L117/K117</f>
        <v>2082.6465937018847</v>
      </c>
      <c r="K117" s="387">
        <f>Perfils!$G$13</f>
        <v>65.66</v>
      </c>
      <c r="L117" s="410">
        <f>I11</f>
        <v>136746.57534246575</v>
      </c>
      <c r="N117" s="14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2"/>
      <c r="AE117" s="12"/>
      <c r="AF117" s="7"/>
    </row>
    <row r="118" spans="1:32" s="295" customFormat="1" ht="15.75">
      <c r="A118" s="25" t="s">
        <v>6</v>
      </c>
      <c r="B118" s="24"/>
      <c r="C118" s="23"/>
      <c r="D118" s="90"/>
      <c r="E118" s="22"/>
      <c r="F118" s="22"/>
      <c r="G118" s="22"/>
      <c r="H118" s="22"/>
      <c r="I118" s="444">
        <f>SUM(I116:I117)</f>
        <v>91164.382351643842</v>
      </c>
      <c r="J118" s="445"/>
      <c r="K118" s="445"/>
      <c r="L118" s="450">
        <f>SUM(L116:L117)</f>
        <v>136746.57534246575</v>
      </c>
      <c r="M118" s="196">
        <f>SUM(I118:L118)</f>
        <v>227910.95769410959</v>
      </c>
      <c r="N118" s="14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2"/>
      <c r="AE118" s="12"/>
      <c r="AF118" s="7"/>
    </row>
    <row r="119" spans="1:32" s="295" customFormat="1">
      <c r="A119" s="29"/>
      <c r="B119" s="29"/>
      <c r="C119" s="29"/>
      <c r="D119" s="373"/>
      <c r="E119" s="373"/>
      <c r="F119" s="373"/>
      <c r="G119" s="373"/>
      <c r="H119" s="373"/>
      <c r="I119" s="373"/>
      <c r="J119" s="373"/>
      <c r="K119" s="373"/>
      <c r="L119" s="373"/>
      <c r="M119" s="373"/>
      <c r="N119" s="14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2"/>
      <c r="AE119" s="12"/>
      <c r="AF119" s="7"/>
    </row>
    <row r="120" spans="1:32" s="295" customFormat="1" ht="16.5" thickBot="1">
      <c r="A120" s="464">
        <v>2025</v>
      </c>
      <c r="B120" s="464"/>
      <c r="C120" s="464"/>
      <c r="D120" s="464"/>
      <c r="E120" s="464"/>
      <c r="F120" s="464"/>
      <c r="G120" s="464" t="s">
        <v>203</v>
      </c>
      <c r="H120" s="373"/>
      <c r="I120" s="373"/>
      <c r="J120" s="373"/>
      <c r="K120" s="373"/>
      <c r="L120" s="373"/>
      <c r="M120" s="373"/>
      <c r="N120" s="14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2"/>
      <c r="AE120" s="12"/>
      <c r="AF120" s="7"/>
    </row>
    <row r="121" spans="1:32" s="295" customFormat="1" ht="32.25" thickBot="1">
      <c r="A121" s="25" t="s">
        <v>13</v>
      </c>
      <c r="B121" s="25" t="s">
        <v>12</v>
      </c>
      <c r="C121" s="25" t="s">
        <v>11</v>
      </c>
      <c r="D121" s="25" t="s">
        <v>259</v>
      </c>
      <c r="E121" s="25" t="s">
        <v>10</v>
      </c>
      <c r="F121" s="25" t="s">
        <v>9</v>
      </c>
      <c r="G121" s="470" t="s">
        <v>99</v>
      </c>
      <c r="H121" s="373"/>
      <c r="I121" s="373"/>
      <c r="J121" s="373"/>
      <c r="K121" s="373"/>
      <c r="L121" s="373"/>
      <c r="M121" s="373"/>
      <c r="N121" s="14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2"/>
      <c r="AE121" s="12"/>
      <c r="AF121" s="7"/>
    </row>
    <row r="122" spans="1:32" s="295" customFormat="1" ht="15.75" thickBot="1">
      <c r="A122" s="29"/>
      <c r="B122" s="29"/>
      <c r="C122" s="29"/>
      <c r="D122" s="416" t="s">
        <v>192</v>
      </c>
      <c r="E122" s="411" t="s">
        <v>77</v>
      </c>
      <c r="F122" s="412"/>
      <c r="G122" s="414">
        <f>I13</f>
        <v>350982.87671232875</v>
      </c>
      <c r="H122" s="373"/>
      <c r="I122" s="373"/>
      <c r="J122" s="373"/>
      <c r="K122" s="373"/>
      <c r="L122" s="373"/>
      <c r="M122" s="373"/>
      <c r="N122" s="14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2"/>
      <c r="AE122" s="12"/>
      <c r="AF122" s="7"/>
    </row>
    <row r="123" spans="1:32" s="295" customFormat="1" ht="15.75">
      <c r="A123" s="25" t="s">
        <v>6</v>
      </c>
      <c r="B123" s="24"/>
      <c r="C123" s="23"/>
      <c r="D123" s="90"/>
      <c r="E123" s="22"/>
      <c r="F123" s="22"/>
      <c r="G123" s="413">
        <f>SUM(G122)</f>
        <v>350982.87671232875</v>
      </c>
      <c r="H123" s="415">
        <f>SUM(G123)</f>
        <v>350982.87671232875</v>
      </c>
      <c r="I123" s="15"/>
      <c r="J123" s="15"/>
      <c r="K123" s="15"/>
      <c r="L123" s="14"/>
      <c r="M123" s="13"/>
      <c r="N123" s="14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2"/>
      <c r="AE123" s="12"/>
      <c r="AF123" s="7"/>
    </row>
    <row r="124" spans="1:32" s="295" customFormat="1">
      <c r="A124" s="19"/>
      <c r="B124" s="18"/>
      <c r="C124" s="17"/>
      <c r="D124" s="121"/>
      <c r="E124" s="102"/>
      <c r="F124" s="122"/>
      <c r="G124" s="15"/>
      <c r="H124" s="15"/>
      <c r="I124" s="13"/>
      <c r="J124" s="15"/>
      <c r="K124" s="14"/>
      <c r="L124" s="13"/>
      <c r="M124" s="15"/>
      <c r="N124" s="14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2"/>
      <c r="AE124" s="12"/>
      <c r="AF124" s="7"/>
    </row>
    <row r="125" spans="1:32" s="295" customFormat="1" ht="16.5" thickBot="1">
      <c r="A125" s="464">
        <v>2025</v>
      </c>
      <c r="B125" s="464"/>
      <c r="C125" s="464"/>
      <c r="D125" s="464"/>
      <c r="E125" s="464"/>
      <c r="F125" s="464"/>
      <c r="G125" s="601" t="s">
        <v>202</v>
      </c>
      <c r="H125" s="601"/>
      <c r="I125" s="601"/>
      <c r="J125" s="601"/>
      <c r="K125" s="601"/>
      <c r="L125" s="601"/>
      <c r="M125" s="13"/>
      <c r="N125" s="14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2"/>
      <c r="AE125" s="12"/>
      <c r="AF125" s="7"/>
    </row>
    <row r="126" spans="1:32" s="295" customFormat="1" ht="48" thickBot="1">
      <c r="A126" s="25" t="s">
        <v>13</v>
      </c>
      <c r="B126" s="25" t="s">
        <v>12</v>
      </c>
      <c r="C126" s="25" t="s">
        <v>11</v>
      </c>
      <c r="D126" s="25" t="s">
        <v>259</v>
      </c>
      <c r="E126" s="25" t="s">
        <v>10</v>
      </c>
      <c r="F126" s="25" t="s">
        <v>9</v>
      </c>
      <c r="G126" s="471" t="s">
        <v>100</v>
      </c>
      <c r="H126" s="472" t="s">
        <v>69</v>
      </c>
      <c r="I126" s="472" t="s">
        <v>101</v>
      </c>
      <c r="J126" s="471" t="s">
        <v>102</v>
      </c>
      <c r="K126" s="472" t="s">
        <v>69</v>
      </c>
      <c r="L126" s="473" t="s">
        <v>103</v>
      </c>
      <c r="M126" s="8"/>
      <c r="N126" s="14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2"/>
      <c r="AE126" s="12"/>
      <c r="AF126" s="7"/>
    </row>
    <row r="127" spans="1:32" s="295" customFormat="1" ht="30">
      <c r="A127" s="29"/>
      <c r="B127" s="29"/>
      <c r="C127" s="29"/>
      <c r="D127" s="599" t="s">
        <v>193</v>
      </c>
      <c r="E127" s="406" t="s">
        <v>79</v>
      </c>
      <c r="F127" s="425"/>
      <c r="G127" s="427">
        <f>I127/H127</f>
        <v>0</v>
      </c>
      <c r="H127" s="419">
        <f>Perfils!$G$21</f>
        <v>80.38</v>
      </c>
      <c r="I127" s="428">
        <f>I15</f>
        <v>0</v>
      </c>
      <c r="J127" s="430"/>
      <c r="K127" s="419"/>
      <c r="L127" s="428"/>
      <c r="M127" s="117"/>
      <c r="N127" s="14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2"/>
      <c r="AE127" s="12"/>
      <c r="AF127" s="7"/>
    </row>
    <row r="128" spans="1:32" s="295" customFormat="1" ht="30.75" thickBot="1">
      <c r="A128" s="29"/>
      <c r="B128" s="29"/>
      <c r="C128" s="29"/>
      <c r="D128" s="600"/>
      <c r="E128" s="384" t="s">
        <v>74</v>
      </c>
      <c r="F128" s="391"/>
      <c r="G128" s="424"/>
      <c r="H128" s="418"/>
      <c r="I128" s="410"/>
      <c r="J128" s="429">
        <f>L128/K128</f>
        <v>3349.8403739246473</v>
      </c>
      <c r="K128" s="418">
        <f>Perfils!$G$27</f>
        <v>74.839999999999989</v>
      </c>
      <c r="L128" s="410">
        <f>I16</f>
        <v>250702.05358452056</v>
      </c>
      <c r="N128" s="14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2"/>
      <c r="AE128" s="12"/>
      <c r="AF128" s="7"/>
    </row>
    <row r="129" spans="1:40" s="295" customFormat="1" ht="15.75">
      <c r="A129" s="25" t="s">
        <v>6</v>
      </c>
      <c r="B129" s="24"/>
      <c r="C129" s="23"/>
      <c r="D129" s="90"/>
      <c r="E129" s="22"/>
      <c r="F129" s="104"/>
      <c r="G129" s="21"/>
      <c r="H129" s="21"/>
      <c r="I129" s="20">
        <f>SUM(I127:I128)</f>
        <v>0</v>
      </c>
      <c r="J129" s="21"/>
      <c r="K129" s="21"/>
      <c r="L129" s="20">
        <f>SUM(L127:L128)</f>
        <v>250702.05358452056</v>
      </c>
      <c r="M129" s="446">
        <f>SUM(I129:L129)</f>
        <v>250702.05358452056</v>
      </c>
      <c r="N129" s="14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2"/>
      <c r="AE129" s="12"/>
      <c r="AF129" s="7"/>
    </row>
    <row r="131" spans="1:40" s="295" customFormat="1" ht="16.5" thickBot="1">
      <c r="A131" s="464">
        <v>2025</v>
      </c>
      <c r="B131" s="464"/>
      <c r="C131" s="464"/>
      <c r="D131" s="464"/>
      <c r="E131" s="464"/>
      <c r="F131" s="464"/>
      <c r="G131" s="601" t="s">
        <v>202</v>
      </c>
      <c r="H131" s="601"/>
      <c r="I131" s="601"/>
      <c r="J131" s="601"/>
      <c r="K131" s="601"/>
      <c r="L131" s="601"/>
      <c r="M131" s="101"/>
      <c r="N131" s="14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2"/>
      <c r="AE131" s="12"/>
      <c r="AF131" s="7"/>
    </row>
    <row r="132" spans="1:40" s="295" customFormat="1" ht="32.25" thickBot="1">
      <c r="A132" s="25" t="s">
        <v>13</v>
      </c>
      <c r="B132" s="25" t="s">
        <v>12</v>
      </c>
      <c r="C132" s="25" t="s">
        <v>11</v>
      </c>
      <c r="D132" s="25" t="s">
        <v>259</v>
      </c>
      <c r="E132" s="25" t="s">
        <v>10</v>
      </c>
      <c r="F132" s="25" t="s">
        <v>9</v>
      </c>
      <c r="G132" s="465" t="s">
        <v>104</v>
      </c>
      <c r="H132" s="466" t="s">
        <v>69</v>
      </c>
      <c r="I132" s="467" t="s">
        <v>105</v>
      </c>
      <c r="J132" s="466" t="s">
        <v>131</v>
      </c>
      <c r="K132" s="466" t="s">
        <v>69</v>
      </c>
      <c r="L132" s="467" t="s">
        <v>132</v>
      </c>
      <c r="M132" s="101"/>
      <c r="N132" s="14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2"/>
      <c r="AE132" s="12"/>
      <c r="AF132" s="7"/>
    </row>
    <row r="133" spans="1:40" s="295" customFormat="1">
      <c r="A133" s="89"/>
      <c r="B133" s="16"/>
      <c r="C133" s="16"/>
      <c r="D133" s="620" t="s">
        <v>194</v>
      </c>
      <c r="E133" s="406" t="s">
        <v>75</v>
      </c>
      <c r="F133" s="425"/>
      <c r="G133" s="435">
        <f>I133/H133</f>
        <v>937.51937023492223</v>
      </c>
      <c r="H133" s="431">
        <f>Perfils!$G$32</f>
        <v>97.24</v>
      </c>
      <c r="I133" s="432">
        <f>I18</f>
        <v>91164.38356164383</v>
      </c>
      <c r="J133" s="437"/>
      <c r="K133" s="431"/>
      <c r="L133" s="432"/>
      <c r="M133" s="101"/>
      <c r="N133" s="14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2"/>
      <c r="AE133" s="12"/>
      <c r="AF133" s="7"/>
    </row>
    <row r="134" spans="1:40" s="295" customFormat="1" ht="15.75" thickBot="1">
      <c r="A134" s="89"/>
      <c r="B134" s="16"/>
      <c r="C134" s="16"/>
      <c r="D134" s="621"/>
      <c r="E134" s="384" t="s">
        <v>129</v>
      </c>
      <c r="F134" s="391"/>
      <c r="G134" s="436"/>
      <c r="H134" s="433"/>
      <c r="I134" s="434"/>
      <c r="J134" s="438">
        <f>L134/K134</f>
        <v>439.55245531519427</v>
      </c>
      <c r="K134" s="433">
        <f>Perfils!G30</f>
        <v>68.819999999999993</v>
      </c>
      <c r="L134" s="434">
        <f>I19</f>
        <v>30249.999974791666</v>
      </c>
      <c r="M134" s="101"/>
      <c r="N134" s="14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2"/>
      <c r="AE134" s="12"/>
      <c r="AF134" s="7"/>
    </row>
    <row r="135" spans="1:40" s="295" customFormat="1" ht="15.75">
      <c r="A135" s="25" t="s">
        <v>6</v>
      </c>
      <c r="B135" s="24"/>
      <c r="C135" s="23"/>
      <c r="D135" s="90"/>
      <c r="E135" s="22"/>
      <c r="F135" s="104"/>
      <c r="G135" s="21"/>
      <c r="H135" s="21"/>
      <c r="I135" s="20">
        <f>SUM(I133:I134)</f>
        <v>91164.38356164383</v>
      </c>
      <c r="J135" s="21"/>
      <c r="K135" s="21"/>
      <c r="L135" s="20">
        <f>SUM(L133:L134)</f>
        <v>30249.999974791666</v>
      </c>
      <c r="M135" s="447">
        <f>SUM(I135:L135)</f>
        <v>121414.38353643549</v>
      </c>
      <c r="N135" s="14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2"/>
      <c r="AE135" s="12"/>
      <c r="AF135" s="7"/>
    </row>
    <row r="138" spans="1:40" ht="16.5" customHeight="1" thickBot="1">
      <c r="A138" s="464">
        <v>2025</v>
      </c>
      <c r="B138" s="464"/>
      <c r="C138" s="464"/>
      <c r="D138" s="464"/>
      <c r="E138" s="464"/>
      <c r="F138" s="680"/>
      <c r="G138" s="601" t="s">
        <v>202</v>
      </c>
      <c r="H138" s="601"/>
      <c r="I138" s="601"/>
      <c r="J138" s="601"/>
      <c r="K138" s="601"/>
      <c r="L138" s="601"/>
      <c r="AG138" s="7"/>
      <c r="AH138" s="7"/>
      <c r="AI138" s="8"/>
      <c r="AK138" s="7"/>
      <c r="AM138" s="8"/>
      <c r="AN138" s="8"/>
    </row>
    <row r="139" spans="1:40" ht="31.5">
      <c r="A139" s="25" t="s">
        <v>13</v>
      </c>
      <c r="B139" s="25" t="s">
        <v>12</v>
      </c>
      <c r="C139" s="25" t="s">
        <v>11</v>
      </c>
      <c r="D139" s="25" t="s">
        <v>260</v>
      </c>
      <c r="E139" s="25" t="s">
        <v>10</v>
      </c>
      <c r="F139" s="25" t="s">
        <v>9</v>
      </c>
      <c r="G139" s="465" t="s">
        <v>104</v>
      </c>
      <c r="H139" s="466" t="s">
        <v>69</v>
      </c>
      <c r="I139" s="467" t="s">
        <v>105</v>
      </c>
      <c r="J139" s="466" t="s">
        <v>131</v>
      </c>
      <c r="K139" s="466" t="s">
        <v>69</v>
      </c>
      <c r="L139" s="467" t="s">
        <v>132</v>
      </c>
      <c r="AG139" s="7"/>
      <c r="AH139" s="7"/>
      <c r="AI139" s="8"/>
      <c r="AK139" s="7"/>
      <c r="AM139" s="8"/>
      <c r="AN139" s="8"/>
    </row>
    <row r="140" spans="1:40">
      <c r="A140" s="19"/>
      <c r="B140" s="18"/>
      <c r="C140" s="17"/>
      <c r="D140" s="7"/>
      <c r="E140" s="674" t="s">
        <v>81</v>
      </c>
      <c r="F140" s="26"/>
      <c r="G140" s="679">
        <f>I140/H140</f>
        <v>4180.4319907683139</v>
      </c>
      <c r="H140" s="676">
        <f>Perfils!G38</f>
        <v>58.88</v>
      </c>
      <c r="I140" s="677">
        <f>Taula1[import 2025
IVA inc]</f>
        <v>246143.83561643833</v>
      </c>
      <c r="J140" s="681"/>
      <c r="K140" s="682"/>
      <c r="L140" s="682"/>
      <c r="AG140" s="7"/>
      <c r="AH140" s="7"/>
      <c r="AI140" s="8"/>
      <c r="AK140" s="7"/>
      <c r="AM140" s="8"/>
      <c r="AN140" s="8"/>
    </row>
    <row r="141" spans="1:40">
      <c r="A141" s="672"/>
      <c r="B141" s="18"/>
      <c r="C141" s="17"/>
      <c r="D141" s="7"/>
      <c r="E141" s="674" t="s">
        <v>129</v>
      </c>
      <c r="F141" s="26"/>
      <c r="G141" s="682"/>
      <c r="H141" s="682"/>
      <c r="I141" s="682"/>
      <c r="J141" s="26">
        <f>L141/K141</f>
        <v>231.19055706521738</v>
      </c>
      <c r="K141" s="676">
        <f>Perfils!G38</f>
        <v>58.88</v>
      </c>
      <c r="L141" s="677">
        <f>Taula1[[#Totals],[import 2025
IVA inc]]</f>
        <v>13612.5</v>
      </c>
      <c r="AG141" s="7"/>
      <c r="AH141" s="7"/>
      <c r="AI141" s="8"/>
      <c r="AK141" s="7"/>
      <c r="AM141" s="8"/>
      <c r="AN141" s="8"/>
    </row>
    <row r="142" spans="1:40" ht="15.75">
      <c r="A142" s="25" t="s">
        <v>6</v>
      </c>
      <c r="B142" s="24"/>
      <c r="C142" s="23"/>
      <c r="D142" s="23"/>
      <c r="E142" s="90"/>
      <c r="F142" s="22"/>
      <c r="G142" s="22"/>
      <c r="H142" s="22"/>
      <c r="I142" s="106">
        <f>SUM(I140:I141)</f>
        <v>246143.83561643833</v>
      </c>
      <c r="J142" s="22"/>
      <c r="K142" s="22"/>
      <c r="L142" s="444">
        <f>SUM(L141)</f>
        <v>13612.5</v>
      </c>
      <c r="M142" s="447">
        <f>I142+L142</f>
        <v>259756.33561643833</v>
      </c>
      <c r="AG142" s="7"/>
      <c r="AH142" s="7"/>
      <c r="AI142" s="8"/>
      <c r="AK142" s="7"/>
      <c r="AM142" s="8"/>
      <c r="AN142" s="8"/>
    </row>
    <row r="145" spans="11:11">
      <c r="K145" s="451"/>
    </row>
  </sheetData>
  <mergeCells count="42">
    <mergeCell ref="G138:L138"/>
    <mergeCell ref="G101:L101"/>
    <mergeCell ref="G64:L64"/>
    <mergeCell ref="D133:D134"/>
    <mergeCell ref="G34:M34"/>
    <mergeCell ref="D54:D55"/>
    <mergeCell ref="D60:D61"/>
    <mergeCell ref="D43:D44"/>
    <mergeCell ref="G71:M71"/>
    <mergeCell ref="D73:D75"/>
    <mergeCell ref="G78:L78"/>
    <mergeCell ref="D80:D81"/>
    <mergeCell ref="G89:L89"/>
    <mergeCell ref="D91:D92"/>
    <mergeCell ref="A101:E101"/>
    <mergeCell ref="G95:L95"/>
    <mergeCell ref="D97:D98"/>
    <mergeCell ref="S6:T6"/>
    <mergeCell ref="S7:T7"/>
    <mergeCell ref="S10:T10"/>
    <mergeCell ref="S11:T11"/>
    <mergeCell ref="S13:T13"/>
    <mergeCell ref="S8:T8"/>
    <mergeCell ref="S15:T15"/>
    <mergeCell ref="S16:T16"/>
    <mergeCell ref="S18:T18"/>
    <mergeCell ref="S19:T19"/>
    <mergeCell ref="D36:D38"/>
    <mergeCell ref="C18:C19"/>
    <mergeCell ref="C6:C8"/>
    <mergeCell ref="C10:C11"/>
    <mergeCell ref="C15:C16"/>
    <mergeCell ref="G41:L41"/>
    <mergeCell ref="G52:L52"/>
    <mergeCell ref="G58:L58"/>
    <mergeCell ref="D127:D128"/>
    <mergeCell ref="G131:L131"/>
    <mergeCell ref="G107:M107"/>
    <mergeCell ref="D109:D111"/>
    <mergeCell ref="G114:L114"/>
    <mergeCell ref="D116:D117"/>
    <mergeCell ref="G125:L125"/>
  </mergeCells>
  <pageMargins left="0.7" right="0.7" top="0.75" bottom="0.75" header="0.3" footer="0.3"/>
  <pageSetup paperSize="9" orientation="portrait" r:id="rId1"/>
  <ignoredErrors>
    <ignoredError sqref="O16" calculatedColumn="1"/>
  </ignoredErrors>
  <legacy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workbookViewId="0">
      <selection activeCell="C18" sqref="C18"/>
    </sheetView>
  </sheetViews>
  <sheetFormatPr defaultColWidth="11.42578125" defaultRowHeight="15"/>
  <cols>
    <col min="1" max="1" width="10.7109375" bestFit="1" customWidth="1"/>
    <col min="2" max="2" width="50.28515625" bestFit="1" customWidth="1"/>
    <col min="3" max="3" width="55" customWidth="1"/>
    <col min="4" max="6" width="13" bestFit="1" customWidth="1"/>
    <col min="7" max="7" width="14.7109375" bestFit="1" customWidth="1"/>
    <col min="8" max="8" width="9.85546875" bestFit="1" customWidth="1"/>
    <col min="9" max="9" width="11.42578125" customWidth="1"/>
    <col min="10" max="10" width="7.140625" customWidth="1"/>
    <col min="11" max="11" width="75.7109375" customWidth="1"/>
    <col min="12" max="12" width="5.5703125" customWidth="1"/>
  </cols>
  <sheetData>
    <row r="1" spans="1:15" ht="12" customHeight="1" thickBot="1">
      <c r="B1" s="3"/>
    </row>
    <row r="2" spans="1:15" ht="45.75" thickBot="1">
      <c r="B2" s="116" t="s">
        <v>0</v>
      </c>
      <c r="C2" s="137" t="s">
        <v>1</v>
      </c>
      <c r="D2" s="137" t="s">
        <v>2</v>
      </c>
      <c r="E2" s="138" t="s">
        <v>3</v>
      </c>
      <c r="F2" s="138" t="s">
        <v>4</v>
      </c>
      <c r="G2" s="139" t="s">
        <v>71</v>
      </c>
      <c r="H2" s="2"/>
      <c r="I2" s="270" t="s">
        <v>175</v>
      </c>
      <c r="K2" s="272" t="s">
        <v>207</v>
      </c>
      <c r="L2" s="480" t="s">
        <v>210</v>
      </c>
      <c r="M2" s="481" t="s">
        <v>177</v>
      </c>
    </row>
    <row r="3" spans="1:15">
      <c r="A3" s="625" t="s">
        <v>80</v>
      </c>
      <c r="B3" s="634" t="s">
        <v>91</v>
      </c>
      <c r="C3" s="143" t="str">
        <f>C45</f>
        <v>Arquitecte/a</v>
      </c>
      <c r="D3" s="144">
        <v>0.2</v>
      </c>
      <c r="E3" s="145">
        <f>+D45</f>
        <v>104.73</v>
      </c>
      <c r="F3" s="145">
        <f>+ROUND(E3/1.21,2)</f>
        <v>86.55</v>
      </c>
      <c r="G3" s="146">
        <f>ROUND(E3*D3,4)</f>
        <v>20.946000000000002</v>
      </c>
      <c r="H3" s="2"/>
      <c r="I3" s="252">
        <f>G3/1.21</f>
        <v>17.310743801652894</v>
      </c>
      <c r="K3" s="273" t="s">
        <v>256</v>
      </c>
      <c r="L3" s="274">
        <v>1.3</v>
      </c>
      <c r="M3" s="482">
        <f>GETPIVOTDATA("% dedicació",$K$2,"Perfil","Arquitecte/a")/H33</f>
        <v>5.6250000000000001E-2</v>
      </c>
      <c r="O3" s="4"/>
    </row>
    <row r="4" spans="1:15">
      <c r="A4" s="625"/>
      <c r="B4" s="634"/>
      <c r="C4" s="147" t="str">
        <f>C46</f>
        <v>Tècnic/a especialista productes - Consultor/a especialista</v>
      </c>
      <c r="D4" s="140">
        <v>0.6</v>
      </c>
      <c r="E4" s="141">
        <f>+D46</f>
        <v>89.76</v>
      </c>
      <c r="F4" s="141">
        <f>+ROUND(E4/1.21,2)</f>
        <v>74.180000000000007</v>
      </c>
      <c r="G4" s="148">
        <f>ROUND(E4*D4,4)</f>
        <v>53.856000000000002</v>
      </c>
      <c r="H4" s="2"/>
      <c r="I4" s="252">
        <f t="shared" ref="I4:I32" si="0">G4/1.21</f>
        <v>44.509090909090915</v>
      </c>
      <c r="K4" s="273" t="s">
        <v>257</v>
      </c>
      <c r="L4" s="274">
        <v>0.89999999999999991</v>
      </c>
      <c r="M4" s="482">
        <f>GETPIVOTDATA("% dedicació",$K$2,"Perfil","Cap de projecte - Responsable dels serveis")/H33</f>
        <v>0.17499999999999999</v>
      </c>
      <c r="O4" s="482"/>
    </row>
    <row r="5" spans="1:15">
      <c r="A5" s="625"/>
      <c r="B5" s="634"/>
      <c r="C5" s="147" t="str">
        <f>C47</f>
        <v>Administrador/a i Tècnic/a de  Sistemes - Consultor júnior</v>
      </c>
      <c r="D5" s="140">
        <v>0.2</v>
      </c>
      <c r="E5" s="141">
        <f>+D47</f>
        <v>59.85</v>
      </c>
      <c r="F5" s="141">
        <f>+ROUND(E5/1.21,2)</f>
        <v>49.46</v>
      </c>
      <c r="G5" s="148">
        <f>ROUND(E5*D5,4)</f>
        <v>11.97</v>
      </c>
      <c r="H5" s="2"/>
      <c r="I5" s="252">
        <f t="shared" si="0"/>
        <v>9.8925619834710758</v>
      </c>
      <c r="K5" s="273" t="s">
        <v>178</v>
      </c>
      <c r="L5" s="274">
        <v>0.45</v>
      </c>
      <c r="M5" s="482">
        <f>GETPIVOTDATA("% dedicació",$K$2,"Perfil","Tècnic/a especialista productes - Consultor/a especialista")/H33</f>
        <v>0.26250000000000001</v>
      </c>
      <c r="O5" s="4"/>
    </row>
    <row r="6" spans="1:15" ht="15.75" thickBot="1">
      <c r="A6" s="625"/>
      <c r="B6" s="634"/>
      <c r="C6" s="149" t="s">
        <v>5</v>
      </c>
      <c r="D6" s="150"/>
      <c r="E6" s="157"/>
      <c r="F6" s="158"/>
      <c r="G6" s="159">
        <f>ROUND(SUM(G3:G5),2)-0.01</f>
        <v>86.759999999999991</v>
      </c>
      <c r="H6" s="4">
        <f>SUM(D3:D5)</f>
        <v>1</v>
      </c>
      <c r="I6" s="271">
        <f>G6/1.21</f>
        <v>71.702479338842963</v>
      </c>
      <c r="K6" s="273" t="s">
        <v>179</v>
      </c>
      <c r="L6" s="274">
        <v>1.4</v>
      </c>
      <c r="M6" s="482">
        <f>GETPIVOTDATA("% dedicació",$K$2,"Perfil","Administrador/a i Tècnic/a de  Sistemes - Consultor júnior")/H33</f>
        <v>0.16250000000000001</v>
      </c>
      <c r="O6" s="4"/>
    </row>
    <row r="7" spans="1:15">
      <c r="A7" s="625"/>
      <c r="B7" s="638" t="s">
        <v>90</v>
      </c>
      <c r="C7" s="143" t="str">
        <f>C47</f>
        <v>Administrador/a i Tècnic/a de  Sistemes - Consultor júnior</v>
      </c>
      <c r="D7" s="144">
        <v>0.4</v>
      </c>
      <c r="E7" s="145">
        <f>+D47</f>
        <v>59.85</v>
      </c>
      <c r="F7" s="145">
        <f>+ROUND(E7/1.21,2)</f>
        <v>49.46</v>
      </c>
      <c r="G7" s="146">
        <f>E7*D7</f>
        <v>23.94</v>
      </c>
      <c r="I7" s="252">
        <f t="shared" si="0"/>
        <v>19.785123966942152</v>
      </c>
      <c r="K7" s="273" t="s">
        <v>254</v>
      </c>
      <c r="L7" s="274">
        <v>1</v>
      </c>
      <c r="M7" s="482">
        <f>GETPIVOTDATA("% dedicació",$K$2,"Perfil","Tècnic/a sistemes júnior - Tecnic testing")/H33</f>
        <v>0.10625</v>
      </c>
      <c r="O7" s="4"/>
    </row>
    <row r="8" spans="1:15">
      <c r="A8" s="625"/>
      <c r="B8" s="634"/>
      <c r="C8" s="147" t="str">
        <f>C49</f>
        <v>Tècnic/a sistemes júnior - Tecnic testing</v>
      </c>
      <c r="D8" s="140">
        <v>0.6</v>
      </c>
      <c r="E8" s="141">
        <f>+D49</f>
        <v>42.45</v>
      </c>
      <c r="F8" s="141">
        <f>+ROUND(E8/1.21,2)</f>
        <v>35.08</v>
      </c>
      <c r="G8" s="148">
        <f>E8*D8</f>
        <v>25.470000000000002</v>
      </c>
      <c r="I8" s="252">
        <f t="shared" si="0"/>
        <v>21.049586776859506</v>
      </c>
      <c r="K8" s="273" t="s">
        <v>255</v>
      </c>
      <c r="L8" s="274">
        <v>2.1</v>
      </c>
      <c r="M8" s="482">
        <f>GETPIVOTDATA("% dedicació",$K$2,"Perfil","Programador/a júnior")/H33</f>
        <v>0.125</v>
      </c>
      <c r="O8" s="4"/>
    </row>
    <row r="9" spans="1:15" ht="15.75" thickBot="1">
      <c r="A9" s="625"/>
      <c r="B9" s="639"/>
      <c r="C9" s="149" t="s">
        <v>5</v>
      </c>
      <c r="D9" s="150"/>
      <c r="E9" s="157"/>
      <c r="F9" s="158"/>
      <c r="G9" s="159">
        <f>ROUND(SUM(G7:G8),2)</f>
        <v>49.41</v>
      </c>
      <c r="H9" s="4">
        <f>SUM(D7:D8)</f>
        <v>1</v>
      </c>
      <c r="I9" s="271">
        <f t="shared" si="0"/>
        <v>40.834710743801651</v>
      </c>
      <c r="K9" s="273" t="s">
        <v>258</v>
      </c>
      <c r="L9" s="274">
        <v>0.85</v>
      </c>
      <c r="M9" s="482">
        <f>GETPIVOTDATA("% dedicació",$K$2,"Perfil","Analista programador/a - analista user experience -Programador/a sènior")/H33</f>
        <v>0.11249999999999999</v>
      </c>
      <c r="O9" s="4"/>
    </row>
    <row r="10" spans="1:15">
      <c r="A10" s="625"/>
      <c r="B10" s="635" t="s">
        <v>87</v>
      </c>
      <c r="C10" s="143" t="str">
        <f>C50</f>
        <v>Programador/a júnior</v>
      </c>
      <c r="D10" s="144">
        <v>0.7</v>
      </c>
      <c r="E10" s="145">
        <f>+D50</f>
        <v>53.19</v>
      </c>
      <c r="F10" s="145">
        <f>+ROUND(E10/1.21,2)</f>
        <v>43.96</v>
      </c>
      <c r="G10" s="146">
        <f>ROUND(E10*D10,4)</f>
        <v>37.232999999999997</v>
      </c>
      <c r="I10" s="252">
        <f t="shared" si="0"/>
        <v>30.771074380165288</v>
      </c>
      <c r="K10" s="273" t="s">
        <v>176</v>
      </c>
      <c r="L10" s="274">
        <v>8</v>
      </c>
      <c r="M10" s="4">
        <f>SUM(M3:M9)</f>
        <v>1</v>
      </c>
      <c r="O10" s="4"/>
    </row>
    <row r="11" spans="1:15">
      <c r="A11" s="625"/>
      <c r="B11" s="636"/>
      <c r="C11" s="147" t="str">
        <f>C45</f>
        <v>Arquitecte/a</v>
      </c>
      <c r="D11" s="140">
        <v>0.1</v>
      </c>
      <c r="E11" s="141">
        <f>+D45</f>
        <v>104.73</v>
      </c>
      <c r="F11" s="141">
        <f>+ROUND(E11/1.21,2)</f>
        <v>86.55</v>
      </c>
      <c r="G11" s="148">
        <f>ROUND(E11*D11,4)</f>
        <v>10.473000000000001</v>
      </c>
      <c r="I11" s="252">
        <f t="shared" si="0"/>
        <v>8.6553719008264469</v>
      </c>
    </row>
    <row r="12" spans="1:15">
      <c r="A12" s="625"/>
      <c r="B12" s="636"/>
      <c r="C12" s="147" t="str">
        <f>C46</f>
        <v>Tècnic/a especialista productes - Consultor/a especialista</v>
      </c>
      <c r="D12" s="140">
        <v>0.2</v>
      </c>
      <c r="E12" s="141">
        <f>+D46</f>
        <v>89.76</v>
      </c>
      <c r="F12" s="141">
        <f>+ROUND(E12/1.21,2)</f>
        <v>74.180000000000007</v>
      </c>
      <c r="G12" s="148">
        <f>ROUND(E12*D12,4)</f>
        <v>17.952000000000002</v>
      </c>
      <c r="I12" s="252">
        <f t="shared" si="0"/>
        <v>14.836363636363638</v>
      </c>
      <c r="K12" s="273"/>
      <c r="L12" s="274"/>
    </row>
    <row r="13" spans="1:15" ht="15.75" thickBot="1">
      <c r="A13" s="625"/>
      <c r="B13" s="637"/>
      <c r="C13" s="149" t="s">
        <v>5</v>
      </c>
      <c r="D13" s="150"/>
      <c r="E13" s="157"/>
      <c r="F13" s="158"/>
      <c r="G13" s="159">
        <f>ROUND(SUM(G10:G12),2)</f>
        <v>65.66</v>
      </c>
      <c r="H13" s="4">
        <f>SUM(D10:D12)</f>
        <v>1</v>
      </c>
      <c r="I13" s="271">
        <f t="shared" si="0"/>
        <v>54.264462809917354</v>
      </c>
    </row>
    <row r="14" spans="1:15" s="88" customFormat="1">
      <c r="A14" s="625"/>
      <c r="B14" s="643" t="s">
        <v>157</v>
      </c>
      <c r="C14" s="147" t="str">
        <f>C46</f>
        <v>Tècnic/a especialista productes - Consultor/a especialista</v>
      </c>
      <c r="D14" s="140">
        <v>0.75</v>
      </c>
      <c r="E14" s="141">
        <f>D46</f>
        <v>89.76</v>
      </c>
      <c r="F14" s="141">
        <f>+ROUND(E14/1.21,2)</f>
        <v>74.180000000000007</v>
      </c>
      <c r="G14" s="148">
        <f>ROUND(E14*D14,4)</f>
        <v>67.319999999999993</v>
      </c>
      <c r="H14" s="4"/>
      <c r="I14" s="252">
        <f t="shared" si="0"/>
        <v>55.636363636363633</v>
      </c>
      <c r="K14"/>
      <c r="L14"/>
      <c r="M14"/>
    </row>
    <row r="15" spans="1:15" s="88" customFormat="1">
      <c r="A15" s="625"/>
      <c r="B15" s="644"/>
      <c r="C15" s="147" t="str">
        <f>C49</f>
        <v>Tècnic/a sistemes júnior - Tecnic testing</v>
      </c>
      <c r="D15" s="140">
        <v>0.25</v>
      </c>
      <c r="E15" s="141">
        <f>D49</f>
        <v>42.45</v>
      </c>
      <c r="F15" s="141">
        <f>+ROUND(E15/1.21,2)</f>
        <v>35.08</v>
      </c>
      <c r="G15" s="148">
        <f>ROUND(E15*D15,4)</f>
        <v>10.612500000000001</v>
      </c>
      <c r="H15" s="4"/>
      <c r="I15" s="252">
        <f t="shared" si="0"/>
        <v>8.7706611570247937</v>
      </c>
      <c r="M15"/>
    </row>
    <row r="16" spans="1:15" s="88" customFormat="1" ht="15.75" thickBot="1">
      <c r="A16" s="625"/>
      <c r="B16" s="645"/>
      <c r="C16" s="149" t="s">
        <v>5</v>
      </c>
      <c r="D16" s="236"/>
      <c r="E16" s="237"/>
      <c r="F16" s="238"/>
      <c r="G16" s="239">
        <f>ROUND(SUM(G14:G15),2)</f>
        <v>77.930000000000007</v>
      </c>
      <c r="H16" s="4">
        <f>SUM(D14:D15)</f>
        <v>1</v>
      </c>
      <c r="I16" s="271">
        <f t="shared" si="0"/>
        <v>64.404958677685954</v>
      </c>
      <c r="M16"/>
    </row>
    <row r="17" spans="1:13" s="88" customFormat="1" ht="15" customHeight="1">
      <c r="A17" s="625"/>
      <c r="B17" s="638" t="s">
        <v>78</v>
      </c>
      <c r="C17" s="143" t="str">
        <f>C44</f>
        <v>Cap de projecte - Responsable dels serveis</v>
      </c>
      <c r="D17" s="144">
        <v>0.2</v>
      </c>
      <c r="E17" s="145">
        <f>D44</f>
        <v>97.24</v>
      </c>
      <c r="F17" s="145">
        <f>+ROUND(E17/1.21,2)</f>
        <v>80.36</v>
      </c>
      <c r="G17" s="146">
        <f>ROUND(E17*D17,4)</f>
        <v>19.448</v>
      </c>
      <c r="I17" s="252">
        <f t="shared" si="0"/>
        <v>16.072727272727274</v>
      </c>
      <c r="M17"/>
    </row>
    <row r="18" spans="1:13" s="88" customFormat="1">
      <c r="A18" s="625"/>
      <c r="B18" s="634"/>
      <c r="C18" s="147" t="str">
        <f>C45</f>
        <v>Arquitecte/a</v>
      </c>
      <c r="D18" s="140">
        <v>0.1</v>
      </c>
      <c r="E18" s="141">
        <f>D45</f>
        <v>104.73</v>
      </c>
      <c r="F18" s="141">
        <f>+ROUND(E18/1.21,2)</f>
        <v>86.55</v>
      </c>
      <c r="G18" s="148">
        <f>ROUND(E18*D18,4)</f>
        <v>10.473000000000001</v>
      </c>
      <c r="H18" s="2"/>
      <c r="I18" s="252">
        <f t="shared" si="0"/>
        <v>8.6553719008264469</v>
      </c>
      <c r="M18"/>
    </row>
    <row r="19" spans="1:13" s="88" customFormat="1">
      <c r="A19" s="625"/>
      <c r="B19" s="634"/>
      <c r="C19" s="147" t="str">
        <f>C46</f>
        <v>Tècnic/a especialista productes - Consultor/a especialista</v>
      </c>
      <c r="D19" s="140">
        <v>0.1</v>
      </c>
      <c r="E19" s="141">
        <f>D46</f>
        <v>89.76</v>
      </c>
      <c r="F19" s="141">
        <f>+ROUND(E19/1.21,2)</f>
        <v>74.180000000000007</v>
      </c>
      <c r="G19" s="148">
        <f>ROUND(E19*D19,4)</f>
        <v>8.9760000000000009</v>
      </c>
      <c r="H19" s="2"/>
      <c r="I19" s="252">
        <f t="shared" si="0"/>
        <v>7.4181818181818189</v>
      </c>
      <c r="M19"/>
    </row>
    <row r="20" spans="1:13" s="88" customFormat="1" ht="30">
      <c r="A20" s="625"/>
      <c r="B20" s="634"/>
      <c r="C20" s="151" t="str">
        <f>C48</f>
        <v>Analista programador/a - analista user experience -Programador/a sènior</v>
      </c>
      <c r="D20" s="140">
        <v>0.6</v>
      </c>
      <c r="E20" s="141">
        <f>+D48</f>
        <v>69.150000000000006</v>
      </c>
      <c r="F20" s="141">
        <f>+ROUND(E20/1.21,2)</f>
        <v>57.15</v>
      </c>
      <c r="G20" s="148">
        <f>ROUND(E20*D20,4)</f>
        <v>41.49</v>
      </c>
      <c r="H20" s="2"/>
      <c r="I20" s="252">
        <f t="shared" si="0"/>
        <v>34.289256198347111</v>
      </c>
      <c r="M20"/>
    </row>
    <row r="21" spans="1:13" s="88" customFormat="1" ht="15.75" thickBot="1">
      <c r="A21" s="625"/>
      <c r="B21" s="639"/>
      <c r="C21" s="149" t="s">
        <v>5</v>
      </c>
      <c r="D21" s="150"/>
      <c r="E21" s="157"/>
      <c r="F21" s="158"/>
      <c r="G21" s="159">
        <f>ROUND(SUM(G17:G20),2)-0.01</f>
        <v>80.38</v>
      </c>
      <c r="H21" s="4">
        <f>SUM(D17:D20)</f>
        <v>1</v>
      </c>
      <c r="I21" s="271">
        <f t="shared" si="0"/>
        <v>66.429752066115697</v>
      </c>
      <c r="M21"/>
    </row>
    <row r="22" spans="1:13" s="88" customFormat="1">
      <c r="A22" s="625"/>
      <c r="B22" s="633" t="s">
        <v>74</v>
      </c>
      <c r="C22" s="152" t="str">
        <f>C44</f>
        <v>Cap de projecte - Responsable dels serveis</v>
      </c>
      <c r="D22" s="153">
        <v>0.2</v>
      </c>
      <c r="E22" s="160">
        <f>D44</f>
        <v>97.24</v>
      </c>
      <c r="F22" s="161">
        <f>+ROUND(E22/1.21,2)</f>
        <v>80.36</v>
      </c>
      <c r="G22" s="162">
        <f>ROUND(E22*D22,4)</f>
        <v>19.448</v>
      </c>
      <c r="H22" s="4"/>
      <c r="I22" s="252">
        <f t="shared" si="0"/>
        <v>16.072727272727274</v>
      </c>
      <c r="M22"/>
    </row>
    <row r="23" spans="1:13" s="88" customFormat="1">
      <c r="A23" s="625"/>
      <c r="B23" s="631"/>
      <c r="C23" s="154" t="str">
        <f>C45</f>
        <v>Arquitecte/a</v>
      </c>
      <c r="D23" s="142">
        <v>0.05</v>
      </c>
      <c r="E23" s="163">
        <f>D45</f>
        <v>104.73</v>
      </c>
      <c r="F23" s="164">
        <f>+ROUND(E23/1.21,2)</f>
        <v>86.55</v>
      </c>
      <c r="G23" s="165">
        <f>ROUND(E23*D23,4)</f>
        <v>5.2365000000000004</v>
      </c>
      <c r="I23" s="252">
        <f t="shared" si="0"/>
        <v>4.3276859504132235</v>
      </c>
      <c r="M23"/>
    </row>
    <row r="24" spans="1:13" s="88" customFormat="1">
      <c r="A24" s="625"/>
      <c r="B24" s="631"/>
      <c r="C24" s="155" t="str">
        <f>C46</f>
        <v>Tècnic/a especialista productes - Consultor/a especialista</v>
      </c>
      <c r="D24" s="142">
        <v>0.15</v>
      </c>
      <c r="E24" s="163">
        <f>D46</f>
        <v>89.76</v>
      </c>
      <c r="F24" s="164">
        <f>+ROUND(E24/1.21,2)</f>
        <v>74.180000000000007</v>
      </c>
      <c r="G24" s="165">
        <f>ROUND(E24*D24,4)</f>
        <v>13.464</v>
      </c>
      <c r="I24" s="252">
        <f t="shared" si="0"/>
        <v>11.127272727272729</v>
      </c>
      <c r="M24"/>
    </row>
    <row r="25" spans="1:13" s="88" customFormat="1" ht="26.25">
      <c r="A25" s="625"/>
      <c r="B25" s="631"/>
      <c r="C25" s="156" t="str">
        <f>C48</f>
        <v>Analista programador/a - analista user experience -Programador/a sènior</v>
      </c>
      <c r="D25" s="142">
        <v>0.3</v>
      </c>
      <c r="E25" s="163">
        <f>D48</f>
        <v>69.150000000000006</v>
      </c>
      <c r="F25" s="164">
        <f>+ROUND(E25/1.21,2)</f>
        <v>57.15</v>
      </c>
      <c r="G25" s="165">
        <f>ROUND(E25*D25,4)</f>
        <v>20.745000000000001</v>
      </c>
      <c r="I25" s="252">
        <f t="shared" si="0"/>
        <v>17.144628099173556</v>
      </c>
      <c r="K25"/>
      <c r="L25"/>
      <c r="M25"/>
    </row>
    <row r="26" spans="1:13" s="88" customFormat="1">
      <c r="A26" s="625"/>
      <c r="B26" s="631"/>
      <c r="C26" s="155" t="str">
        <f>C50</f>
        <v>Programador/a júnior</v>
      </c>
      <c r="D26" s="142">
        <v>0.3</v>
      </c>
      <c r="E26" s="163">
        <f>D50</f>
        <v>53.19</v>
      </c>
      <c r="F26" s="164">
        <f>+ROUND(E26/1.21,2)</f>
        <v>43.96</v>
      </c>
      <c r="G26" s="165">
        <f>ROUND(E26*D26,4)</f>
        <v>15.957000000000001</v>
      </c>
      <c r="I26" s="252">
        <f t="shared" si="0"/>
        <v>13.187603305785125</v>
      </c>
      <c r="K26"/>
      <c r="L26"/>
      <c r="M26"/>
    </row>
    <row r="27" spans="1:13" s="88" customFormat="1" ht="15.75" thickBot="1">
      <c r="A27" s="625"/>
      <c r="B27" s="631"/>
      <c r="C27" s="176" t="s">
        <v>5</v>
      </c>
      <c r="D27" s="177"/>
      <c r="E27" s="178"/>
      <c r="F27" s="179"/>
      <c r="G27" s="180">
        <f>ROUND(SUM(G22:G26),2)-0.01</f>
        <v>74.839999999999989</v>
      </c>
      <c r="H27" s="4">
        <f>SUM(D22:D26)</f>
        <v>1</v>
      </c>
      <c r="I27" s="271">
        <f t="shared" si="0"/>
        <v>61.851239669421481</v>
      </c>
      <c r="K27"/>
      <c r="L27"/>
      <c r="M27"/>
    </row>
    <row r="28" spans="1:13" s="88" customFormat="1">
      <c r="A28" s="626"/>
      <c r="B28" s="640" t="s">
        <v>130</v>
      </c>
      <c r="C28" s="143" t="str">
        <f>C46</f>
        <v>Tècnic/a especialista productes - Consultor/a especialista</v>
      </c>
      <c r="D28" s="186">
        <v>0.3</v>
      </c>
      <c r="E28" s="187">
        <f>+D46</f>
        <v>89.76</v>
      </c>
      <c r="F28" s="145">
        <f>+ROUND(E28/1.21,2)</f>
        <v>74.180000000000007</v>
      </c>
      <c r="G28" s="190">
        <f>ROUND(E28*D28,4)</f>
        <v>26.928000000000001</v>
      </c>
      <c r="H28" s="4"/>
      <c r="I28" s="252">
        <f t="shared" si="0"/>
        <v>22.254545454545458</v>
      </c>
      <c r="K28"/>
      <c r="L28"/>
      <c r="M28"/>
    </row>
    <row r="29" spans="1:13" s="88" customFormat="1">
      <c r="A29" s="626"/>
      <c r="B29" s="641"/>
      <c r="C29" s="147" t="str">
        <f>C47</f>
        <v>Administrador/a i Tècnic/a de  Sistemes - Consultor júnior</v>
      </c>
      <c r="D29" s="189">
        <v>0.7</v>
      </c>
      <c r="E29" s="188">
        <f>+D47</f>
        <v>59.85</v>
      </c>
      <c r="F29" s="141">
        <f>+ROUND(E29/1.21,2)</f>
        <v>49.46</v>
      </c>
      <c r="G29" s="198">
        <f>ROUND(E29*D29,4)</f>
        <v>41.895000000000003</v>
      </c>
      <c r="H29" s="4"/>
      <c r="I29" s="252">
        <f t="shared" si="0"/>
        <v>34.623966942148762</v>
      </c>
      <c r="K29"/>
      <c r="L29"/>
      <c r="M29"/>
    </row>
    <row r="30" spans="1:13" s="88" customFormat="1" ht="15.75" thickBot="1">
      <c r="A30" s="626"/>
      <c r="B30" s="642"/>
      <c r="C30" s="149" t="s">
        <v>5</v>
      </c>
      <c r="D30" s="150"/>
      <c r="E30" s="157"/>
      <c r="F30" s="158"/>
      <c r="G30" s="159">
        <f>ROUND(SUM(G28:G29),2)</f>
        <v>68.819999999999993</v>
      </c>
      <c r="H30" s="4">
        <f>SUM(D28:D29)</f>
        <v>1</v>
      </c>
      <c r="I30" s="252">
        <f t="shared" si="0"/>
        <v>56.876033057851238</v>
      </c>
      <c r="K30"/>
      <c r="L30"/>
      <c r="M30"/>
    </row>
    <row r="31" spans="1:13" s="88" customFormat="1" ht="15.75" customHeight="1">
      <c r="A31" s="625"/>
      <c r="B31" s="631" t="s">
        <v>75</v>
      </c>
      <c r="C31" s="181" t="str">
        <f>C44</f>
        <v>Cap de projecte - Responsable dels serveis</v>
      </c>
      <c r="D31" s="182">
        <v>1</v>
      </c>
      <c r="E31" s="183">
        <f>D44</f>
        <v>97.24</v>
      </c>
      <c r="F31" s="184">
        <f>+ROUND(E31/1.21,2)</f>
        <v>80.36</v>
      </c>
      <c r="G31" s="185">
        <f>E31*D31</f>
        <v>97.24</v>
      </c>
      <c r="H31" s="4"/>
      <c r="I31" s="252">
        <f t="shared" si="0"/>
        <v>80.36363636363636</v>
      </c>
      <c r="K31"/>
      <c r="L31"/>
      <c r="M31"/>
    </row>
    <row r="32" spans="1:13" s="88" customFormat="1" ht="15.75" thickBot="1">
      <c r="B32" s="632"/>
      <c r="C32" s="149" t="s">
        <v>5</v>
      </c>
      <c r="D32" s="150"/>
      <c r="E32" s="157"/>
      <c r="F32" s="158"/>
      <c r="G32" s="159">
        <f>SUM(G31)</f>
        <v>97.24</v>
      </c>
      <c r="H32" s="4">
        <f>SUM(D31:D31)</f>
        <v>1</v>
      </c>
      <c r="I32" s="271">
        <f t="shared" si="0"/>
        <v>80.36363636363636</v>
      </c>
      <c r="K32"/>
      <c r="L32"/>
      <c r="M32"/>
    </row>
    <row r="33" spans="1:13" s="88" customFormat="1">
      <c r="H33" s="4">
        <f>SUM(H32,H30,H27,H21,H16,H13,H9,H6)</f>
        <v>8</v>
      </c>
      <c r="K33"/>
      <c r="L33"/>
      <c r="M33"/>
    </row>
    <row r="34" spans="1:13" s="251" customFormat="1" ht="15.75" thickBot="1"/>
    <row r="35" spans="1:13" s="88" customFormat="1" ht="45.75" thickBot="1">
      <c r="B35" s="116" t="s">
        <v>0</v>
      </c>
      <c r="C35" s="137" t="s">
        <v>1</v>
      </c>
      <c r="D35" s="137" t="s">
        <v>2</v>
      </c>
      <c r="E35" s="138" t="s">
        <v>3</v>
      </c>
      <c r="F35" s="138" t="s">
        <v>4</v>
      </c>
      <c r="G35" s="139" t="s">
        <v>71</v>
      </c>
      <c r="H35" s="2"/>
      <c r="I35" s="270" t="s">
        <v>175</v>
      </c>
      <c r="K35" s="272" t="s">
        <v>208</v>
      </c>
      <c r="L35" t="s">
        <v>210</v>
      </c>
      <c r="M35" s="481" t="s">
        <v>177</v>
      </c>
    </row>
    <row r="36" spans="1:13" s="88" customFormat="1" ht="15" customHeight="1">
      <c r="A36" s="630" t="s">
        <v>92</v>
      </c>
      <c r="B36" s="627" t="s">
        <v>81</v>
      </c>
      <c r="C36" s="152" t="str">
        <f>C44</f>
        <v>Cap de projecte - Responsable dels serveis</v>
      </c>
      <c r="D36" s="115">
        <v>0.3</v>
      </c>
      <c r="E36" s="167">
        <f>D44</f>
        <v>97.24</v>
      </c>
      <c r="F36" s="168">
        <f>+ROUND(E36/1.21,2)</f>
        <v>80.36</v>
      </c>
      <c r="G36" s="169">
        <f>E36*D36</f>
        <v>29.171999999999997</v>
      </c>
      <c r="H36" s="4"/>
      <c r="I36" s="252">
        <f>G36/1.21</f>
        <v>24.109090909090906</v>
      </c>
      <c r="K36" s="273" t="s">
        <v>179</v>
      </c>
      <c r="L36" s="274">
        <v>0.3</v>
      </c>
      <c r="M36" s="483">
        <v>0.3</v>
      </c>
    </row>
    <row r="37" spans="1:13" s="88" customFormat="1" ht="15" customHeight="1">
      <c r="A37" s="630"/>
      <c r="B37" s="628"/>
      <c r="C37" s="155" t="str">
        <f>C49</f>
        <v>Tècnic/a sistemes júnior - Tecnic testing</v>
      </c>
      <c r="D37" s="114">
        <v>0.7</v>
      </c>
      <c r="E37" s="170">
        <f>D49</f>
        <v>42.45</v>
      </c>
      <c r="F37" s="171">
        <f>+ROUND(E37/1.21,2)</f>
        <v>35.08</v>
      </c>
      <c r="G37" s="172">
        <f>E37*D37</f>
        <v>29.715</v>
      </c>
      <c r="I37" s="252">
        <f>G37/1.21</f>
        <v>24.557851239669422</v>
      </c>
      <c r="K37" s="273" t="s">
        <v>258</v>
      </c>
      <c r="L37" s="274">
        <v>0.7</v>
      </c>
      <c r="M37" s="483">
        <v>0.7</v>
      </c>
    </row>
    <row r="38" spans="1:13" s="88" customFormat="1" ht="15.75" customHeight="1" thickBot="1">
      <c r="A38" s="630"/>
      <c r="B38" s="629"/>
      <c r="C38" s="166" t="s">
        <v>5</v>
      </c>
      <c r="D38" s="136"/>
      <c r="E38" s="173"/>
      <c r="F38" s="174"/>
      <c r="G38" s="175">
        <f>ROUND(SUM(G36:G37),2)-0.01</f>
        <v>58.88</v>
      </c>
      <c r="H38" s="4">
        <f>SUM(D36:D37)</f>
        <v>1</v>
      </c>
      <c r="I38" s="271">
        <f>G38/1.21</f>
        <v>48.66115702479339</v>
      </c>
      <c r="K38" s="273" t="s">
        <v>176</v>
      </c>
      <c r="L38" s="274">
        <v>1</v>
      </c>
      <c r="M38"/>
    </row>
    <row r="39" spans="1:13" s="88" customFormat="1">
      <c r="K39"/>
      <c r="L39"/>
      <c r="M39"/>
    </row>
    <row r="40" spans="1:13" s="88" customFormat="1">
      <c r="F40" s="253"/>
      <c r="K40"/>
      <c r="L40"/>
      <c r="M40"/>
    </row>
    <row r="42" spans="1:13" ht="15.75" thickBot="1"/>
    <row r="43" spans="1:13" ht="30">
      <c r="C43" s="5"/>
      <c r="D43" s="6" t="s">
        <v>206</v>
      </c>
      <c r="E43" s="6" t="s">
        <v>205</v>
      </c>
    </row>
    <row r="44" spans="1:13">
      <c r="C44" s="155" t="s">
        <v>179</v>
      </c>
      <c r="D44" s="576">
        <v>97.24</v>
      </c>
      <c r="E44" s="578">
        <v>80.36</v>
      </c>
    </row>
    <row r="45" spans="1:13">
      <c r="C45" s="579" t="s">
        <v>178</v>
      </c>
      <c r="D45" s="576">
        <v>104.73</v>
      </c>
      <c r="E45" s="578">
        <v>86.55</v>
      </c>
    </row>
    <row r="46" spans="1:13">
      <c r="C46" s="580" t="s">
        <v>255</v>
      </c>
      <c r="D46" s="576">
        <v>89.76</v>
      </c>
      <c r="E46" s="578">
        <v>74.180000000000007</v>
      </c>
    </row>
    <row r="47" spans="1:13">
      <c r="C47" s="581" t="s">
        <v>256</v>
      </c>
      <c r="D47" s="577">
        <v>59.85</v>
      </c>
      <c r="E47" s="578">
        <v>49.46</v>
      </c>
    </row>
    <row r="48" spans="1:13" ht="30">
      <c r="C48" s="582" t="s">
        <v>257</v>
      </c>
      <c r="D48" s="575">
        <v>69.150000000000006</v>
      </c>
      <c r="E48" s="583">
        <v>57.15</v>
      </c>
      <c r="F48" s="88"/>
    </row>
    <row r="49" spans="3:5">
      <c r="C49" s="155" t="s">
        <v>258</v>
      </c>
      <c r="D49" s="576">
        <v>42.45</v>
      </c>
      <c r="E49" s="578">
        <v>35.08</v>
      </c>
    </row>
    <row r="50" spans="3:5" ht="15.75" thickBot="1">
      <c r="C50" s="584" t="s">
        <v>254</v>
      </c>
      <c r="D50" s="585">
        <v>53.19</v>
      </c>
      <c r="E50" s="586">
        <v>43.96</v>
      </c>
    </row>
  </sheetData>
  <mergeCells count="11">
    <mergeCell ref="A3:A31"/>
    <mergeCell ref="B36:B38"/>
    <mergeCell ref="A36:A38"/>
    <mergeCell ref="B31:B32"/>
    <mergeCell ref="B22:B27"/>
    <mergeCell ref="B3:B6"/>
    <mergeCell ref="B10:B13"/>
    <mergeCell ref="B7:B9"/>
    <mergeCell ref="B17:B21"/>
    <mergeCell ref="B28:B30"/>
    <mergeCell ref="B14:B16"/>
  </mergeCells>
  <pageMargins left="0.7" right="0.7" top="0.75" bottom="0.75" header="0.3" footer="0.3"/>
  <pageSetup paperSize="9" orientation="portrait" r:id="rId3"/>
  <ignoredErrors>
    <ignoredError sqref="E1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9"/>
  <sheetViews>
    <sheetView topLeftCell="A13" zoomScale="80" zoomScaleNormal="80" workbookViewId="0">
      <selection activeCell="L6" sqref="L6:L8"/>
    </sheetView>
  </sheetViews>
  <sheetFormatPr defaultRowHeight="15"/>
  <cols>
    <col min="1" max="1" width="37" bestFit="1" customWidth="1"/>
    <col min="2" max="2" width="16" customWidth="1"/>
    <col min="3" max="3" width="18.5703125" customWidth="1"/>
    <col min="4" max="4" width="24.42578125" bestFit="1" customWidth="1"/>
    <col min="5" max="5" width="15.28515625" bestFit="1" customWidth="1"/>
    <col min="6" max="6" width="19.140625" bestFit="1" customWidth="1"/>
    <col min="7" max="7" width="16.140625" bestFit="1" customWidth="1"/>
    <col min="8" max="8" width="20.28515625" customWidth="1"/>
    <col min="9" max="9" width="15.28515625" customWidth="1"/>
    <col min="10" max="10" width="15.140625" bestFit="1" customWidth="1"/>
    <col min="11" max="11" width="14.28515625" customWidth="1"/>
    <col min="12" max="12" width="15" customWidth="1"/>
    <col min="13" max="13" width="15.5703125" customWidth="1"/>
    <col min="14" max="14" width="15.140625" bestFit="1" customWidth="1"/>
    <col min="15" max="15" width="37.28515625" customWidth="1"/>
    <col min="16" max="16" width="13.140625" bestFit="1" customWidth="1"/>
    <col min="17" max="17" width="8.5703125" bestFit="1" customWidth="1"/>
    <col min="18" max="18" width="13.7109375" bestFit="1" customWidth="1"/>
    <col min="19" max="19" width="8.42578125" bestFit="1" customWidth="1"/>
    <col min="20" max="20" width="12.85546875" bestFit="1" customWidth="1"/>
  </cols>
  <sheetData>
    <row r="1" spans="1:15" ht="15.75">
      <c r="A1" s="125" t="s">
        <v>80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5">
      <c r="A2" s="61" t="s">
        <v>53</v>
      </c>
      <c r="B2" s="43"/>
      <c r="C2" s="43"/>
      <c r="D2" s="43"/>
      <c r="E2" s="43"/>
      <c r="F2" s="43"/>
      <c r="G2" s="43"/>
      <c r="H2" s="43"/>
      <c r="I2" s="43"/>
      <c r="J2" s="43"/>
      <c r="K2" s="43"/>
    </row>
    <row r="3" spans="1:15" ht="15.75" thickBo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5" ht="15.75" thickBot="1">
      <c r="A4" s="294"/>
      <c r="B4" s="60"/>
      <c r="C4" s="657">
        <v>2023</v>
      </c>
      <c r="D4" s="658"/>
      <c r="E4" s="659"/>
      <c r="F4" s="657">
        <v>2024</v>
      </c>
      <c r="G4" s="658"/>
      <c r="H4" s="659"/>
      <c r="I4" s="657">
        <v>2025</v>
      </c>
      <c r="J4" s="658"/>
      <c r="K4" s="659"/>
      <c r="L4" s="294"/>
    </row>
    <row r="5" spans="1:15" ht="26.25" thickBot="1">
      <c r="A5" s="340" t="s">
        <v>52</v>
      </c>
      <c r="B5" s="333" t="s">
        <v>190</v>
      </c>
      <c r="C5" s="201" t="s">
        <v>140</v>
      </c>
      <c r="D5" s="334" t="s">
        <v>141</v>
      </c>
      <c r="E5" s="335" t="s">
        <v>142</v>
      </c>
      <c r="F5" s="201" t="s">
        <v>143</v>
      </c>
      <c r="G5" s="334" t="s">
        <v>144</v>
      </c>
      <c r="H5" s="335" t="s">
        <v>145</v>
      </c>
      <c r="I5" s="201" t="s">
        <v>147</v>
      </c>
      <c r="J5" s="334" t="s">
        <v>148</v>
      </c>
      <c r="K5" s="335" t="s">
        <v>146</v>
      </c>
      <c r="L5" s="359" t="s">
        <v>51</v>
      </c>
      <c r="M5" s="336" t="s">
        <v>50</v>
      </c>
      <c r="N5" s="337" t="s">
        <v>49</v>
      </c>
      <c r="O5" s="43"/>
    </row>
    <row r="6" spans="1:15" ht="60">
      <c r="A6" s="660" t="s">
        <v>184</v>
      </c>
      <c r="B6" s="349" t="s">
        <v>155</v>
      </c>
      <c r="C6" s="355">
        <f>CalculPressup[[#This Row],[import 2023
IVA exc]]</f>
        <v>38478.082191780821</v>
      </c>
      <c r="D6" s="341">
        <f>ROUND(C6*0.21,2)</f>
        <v>8080.4</v>
      </c>
      <c r="E6" s="342">
        <f>+C6+D6</f>
        <v>46558.482191780822</v>
      </c>
      <c r="F6" s="355">
        <f>CalculPressup[[#This Row],[import 2024
IVA exc]]</f>
        <v>156050</v>
      </c>
      <c r="G6" s="341">
        <f t="shared" ref="G6:G11" si="0">ROUND(F6*0.21,2)</f>
        <v>32770.5</v>
      </c>
      <c r="H6" s="342">
        <f t="shared" ref="H6:H15" si="1">+F6+G6</f>
        <v>188820.5</v>
      </c>
      <c r="I6" s="365">
        <f>'Càlcul pressupost '!O6</f>
        <v>117571.91780821918</v>
      </c>
      <c r="J6" s="341">
        <f>ROUND(I6*0.21,2)</f>
        <v>24690.1</v>
      </c>
      <c r="K6" s="342">
        <f>TServeiLot1[[#This Row],[Import net
2025]]+TServeiLot1[[#This Row],[IVA 21%
2025]]</f>
        <v>142262.01780821919</v>
      </c>
      <c r="L6" s="360">
        <f>TServeiLot1[[#This Row],[Import net
2023]]+TServeiLot1[[#This Row],[Import net
2024]]+TServeiLot1[[#This Row],[Import net
2025]]</f>
        <v>312100</v>
      </c>
      <c r="M6" s="341">
        <f>TServeiLot1[[#This Row],[IVA 21%
2023]]+TServeiLot1[[#This Row],[IVA 21%
2024]]+TServeiLot1[[#This Row],[IVA 21%
2025]]</f>
        <v>65541</v>
      </c>
      <c r="N6" s="342">
        <f>TServeiLot1[[#This Row],[Total import net]]+TServeiLot1[[#This Row],[Total IVA 21%]]</f>
        <v>377641</v>
      </c>
      <c r="O6" s="43"/>
    </row>
    <row r="7" spans="1:15" ht="30">
      <c r="A7" s="661"/>
      <c r="B7" s="350" t="s">
        <v>88</v>
      </c>
      <c r="C7" s="356">
        <f>CalculPressup[[#This Row],[import 2023
IVA exc]]</f>
        <v>61643.835616438351</v>
      </c>
      <c r="D7" s="59">
        <f>ROUND(C7*0.21,2)-0.01</f>
        <v>12945.199999999999</v>
      </c>
      <c r="E7" s="204">
        <f>+C7+D7</f>
        <v>74589.035616438356</v>
      </c>
      <c r="F7" s="356">
        <f>CalculPressup[[#This Row],[import 2024
IVA exc]]</f>
        <v>188356.16438356164</v>
      </c>
      <c r="G7" s="59">
        <f t="shared" si="0"/>
        <v>39554.79</v>
      </c>
      <c r="H7" s="204">
        <f>+F7+G7</f>
        <v>227910.95438356165</v>
      </c>
      <c r="I7" s="205">
        <f>'Càlcul pressupost '!O7</f>
        <v>0</v>
      </c>
      <c r="J7" s="59">
        <f>ROUND(I7*0.21,2)</f>
        <v>0</v>
      </c>
      <c r="K7" s="204">
        <f>TServeiLot1[[#This Row],[Import net
2025]]+TServeiLot1[[#This Row],[IVA 21%
2025]]</f>
        <v>0</v>
      </c>
      <c r="L7" s="361">
        <f>TServeiLot1[[#This Row],[Import net
2023]]+TServeiLot1[[#This Row],[Import net
2024]]+TServeiLot1[[#This Row],[Import net
2025]]</f>
        <v>250000</v>
      </c>
      <c r="M7" s="59">
        <f>TServeiLot1[[#This Row],[IVA 21%
2023]]+TServeiLot1[[#This Row],[IVA 21%
2024]]+TServeiLot1[[#This Row],[IVA 21%
2025]]-0.01</f>
        <v>52499.979999999996</v>
      </c>
      <c r="N7" s="204">
        <f>TServeiLot1[[#This Row],[Total import net]]+TServeiLot1[[#This Row],[Total IVA 21%]]</f>
        <v>302499.98</v>
      </c>
      <c r="O7" s="43"/>
    </row>
    <row r="8" spans="1:15" s="88" customFormat="1" ht="45.75" thickBot="1">
      <c r="A8" s="662"/>
      <c r="B8" s="351" t="s">
        <v>156</v>
      </c>
      <c r="C8" s="357">
        <f>CalculPressup[[#This Row],[import 2023
IVA exc]]</f>
        <v>12328.767123287671</v>
      </c>
      <c r="D8" s="343">
        <f>ROUND(C8*0.21,2)</f>
        <v>2589.04</v>
      </c>
      <c r="E8" s="344">
        <f>+C8+D8</f>
        <v>14917.807123287672</v>
      </c>
      <c r="F8" s="357">
        <f>CalculPressup[[#This Row],[import 2024
IVA exc]]</f>
        <v>50000</v>
      </c>
      <c r="G8" s="343">
        <f>ROUND(F8*0.21,2)</f>
        <v>10500</v>
      </c>
      <c r="H8" s="344">
        <f t="shared" si="1"/>
        <v>60500</v>
      </c>
      <c r="I8" s="366">
        <f>'Càlcul pressupost '!O8</f>
        <v>37671.232876712325</v>
      </c>
      <c r="J8" s="343">
        <f>ROUND(I8*0.21,2)</f>
        <v>7910.96</v>
      </c>
      <c r="K8" s="344">
        <f>TServeiLot1[[#This Row],[Import net
2025]]+TServeiLot1[[#This Row],[IVA 21%
2025]]</f>
        <v>45582.192876712325</v>
      </c>
      <c r="L8" s="362">
        <f>TServeiLot1[[#This Row],[Import net
2023]]+TServeiLot1[[#This Row],[Import net
2024]]+TServeiLot1[[#This Row],[Import net
2025]]</f>
        <v>100000</v>
      </c>
      <c r="M8" s="343">
        <f>TServeiLot1[[#This Row],[IVA 21%
2023]]+TServeiLot1[[#This Row],[IVA 21%
2024]]+TServeiLot1[[#This Row],[IVA 21%
2025]]</f>
        <v>21000</v>
      </c>
      <c r="N8" s="344">
        <f>TServeiLot1[[#This Row],[Total import net]]+TServeiLot1[[#This Row],[Total IVA 21%]]</f>
        <v>121000</v>
      </c>
      <c r="O8" s="227"/>
    </row>
    <row r="9" spans="1:15" ht="30">
      <c r="A9" s="660" t="s">
        <v>181</v>
      </c>
      <c r="B9" s="352" t="s">
        <v>86</v>
      </c>
      <c r="C9" s="355">
        <f>'Càlcul pressupost '!M10</f>
        <v>12328.767123287671</v>
      </c>
      <c r="D9" s="341">
        <f>ROUND(C9*0.21,2)</f>
        <v>2589.04</v>
      </c>
      <c r="E9" s="342">
        <f t="shared" ref="E9:E15" si="2">+C9+D9</f>
        <v>14917.807123287672</v>
      </c>
      <c r="F9" s="355">
        <f>'Càlcul pressupost '!N10</f>
        <v>62328.767123287667</v>
      </c>
      <c r="G9" s="341">
        <f t="shared" si="0"/>
        <v>13089.04</v>
      </c>
      <c r="H9" s="342">
        <f t="shared" si="1"/>
        <v>75417.807123287668</v>
      </c>
      <c r="I9" s="365">
        <f>'Càlcul pressupost '!O10</f>
        <v>75342.464753424661</v>
      </c>
      <c r="J9" s="341">
        <f>ROUND(I9*0.21,2)</f>
        <v>15821.92</v>
      </c>
      <c r="K9" s="342">
        <f>TServeiLot1[[#This Row],[Import net
2025]]+TServeiLot1[[#This Row],[IVA 21%
2025]]</f>
        <v>91164.38475342466</v>
      </c>
      <c r="L9" s="360">
        <f>TServeiLot1[[#This Row],[Import net
2023]]+TServeiLot1[[#This Row],[Import net
2024]]+TServeiLot1[[#This Row],[Import net
2025]]</f>
        <v>149999.99900000001</v>
      </c>
      <c r="M9" s="341">
        <f>TServeiLot1[[#This Row],[IVA 21%
2023]]+TServeiLot1[[#This Row],[IVA 21%
2024]]+TServeiLot1[[#This Row],[IVA 21%
2025]]</f>
        <v>31500</v>
      </c>
      <c r="N9" s="342">
        <f>TServeiLot1[[#This Row],[Total import net]]+TServeiLot1[[#This Row],[Total IVA 21%]]</f>
        <v>181499.99900000001</v>
      </c>
      <c r="O9" s="43"/>
    </row>
    <row r="10" spans="1:15" ht="30.75" thickBot="1">
      <c r="A10" s="662"/>
      <c r="B10" s="351" t="s">
        <v>87</v>
      </c>
      <c r="C10" s="357">
        <f>'Càlcul pressupost '!M11</f>
        <v>0</v>
      </c>
      <c r="D10" s="343">
        <f>ROUND(C10*0.21,2)</f>
        <v>0</v>
      </c>
      <c r="E10" s="344">
        <f t="shared" si="2"/>
        <v>0</v>
      </c>
      <c r="F10" s="357">
        <f>'Càlcul pressupost '!N11</f>
        <v>36986.301369863009</v>
      </c>
      <c r="G10" s="343">
        <f t="shared" si="0"/>
        <v>7767.12</v>
      </c>
      <c r="H10" s="344">
        <f t="shared" si="1"/>
        <v>44753.421369863012</v>
      </c>
      <c r="I10" s="366">
        <f>'Càlcul pressupost '!O11</f>
        <v>113013.69863013699</v>
      </c>
      <c r="J10" s="343">
        <f>ROUND(I10*0.21,2)</f>
        <v>23732.880000000001</v>
      </c>
      <c r="K10" s="344">
        <f>TServeiLot1[[#This Row],[Import net
2025]]+TServeiLot1[[#This Row],[IVA 21%
2025]]</f>
        <v>136746.578630137</v>
      </c>
      <c r="L10" s="362">
        <f>TServeiLot1[[#This Row],[Import net
2023]]+TServeiLot1[[#This Row],[Import net
2024]]+TServeiLot1[[#This Row],[Import net
2025]]</f>
        <v>150000</v>
      </c>
      <c r="M10" s="343">
        <f>TServeiLot1[[#This Row],[IVA 21%
2023]]+TServeiLot1[[#This Row],[IVA 21%
2024]]+TServeiLot1[[#This Row],[IVA 21%
2025]]</f>
        <v>31500</v>
      </c>
      <c r="N10" s="344">
        <f>TServeiLot1[[#This Row],[Total import net]]+TServeiLot1[[#This Row],[Total IVA 21%]]</f>
        <v>181500</v>
      </c>
      <c r="O10" s="43"/>
    </row>
    <row r="11" spans="1:15" ht="15.75" customHeight="1" thickBot="1">
      <c r="A11" s="345" t="s">
        <v>77</v>
      </c>
      <c r="B11" s="353" t="s">
        <v>77</v>
      </c>
      <c r="C11" s="358">
        <f>'Càlcul pressupost '!M13</f>
        <v>94931.506849315076</v>
      </c>
      <c r="D11" s="346">
        <f>ROUND(C11*0.21,2)-0.01</f>
        <v>19935.61</v>
      </c>
      <c r="E11" s="347">
        <f>+C11+D11</f>
        <v>114867.11684931508</v>
      </c>
      <c r="F11" s="358">
        <f>'Càlcul pressupost '!N13</f>
        <v>385000</v>
      </c>
      <c r="G11" s="346">
        <f t="shared" si="0"/>
        <v>80850</v>
      </c>
      <c r="H11" s="347">
        <f t="shared" si="1"/>
        <v>465850</v>
      </c>
      <c r="I11" s="367">
        <f>'Càlcul pressupost '!O13</f>
        <v>290068.49315068492</v>
      </c>
      <c r="J11" s="346">
        <f t="shared" ref="J11" si="3">ROUND(I11*0.21,2)+0.01</f>
        <v>60914.39</v>
      </c>
      <c r="K11" s="347">
        <f>TServeiLot1[[#This Row],[Import net
2025]]+TServeiLot1[[#This Row],[IVA 21%
2025]]</f>
        <v>350982.88315068494</v>
      </c>
      <c r="L11" s="363">
        <f>TServeiLot1[[#This Row],[Import net
2023]]+TServeiLot1[[#This Row],[Import net
2024]]+TServeiLot1[[#This Row],[Import net
2025]]</f>
        <v>770000</v>
      </c>
      <c r="M11" s="346">
        <f>TServeiLot1[[#This Row],[IVA 21%
2023]]+TServeiLot1[[#This Row],[IVA 21%
2024]]+TServeiLot1[[#This Row],[IVA 21%
2025]]</f>
        <v>161700</v>
      </c>
      <c r="N11" s="347">
        <f>TServeiLot1[[#This Row],[Total import net]]+TServeiLot1[[#This Row],[Total IVA 21%]]</f>
        <v>931700</v>
      </c>
      <c r="O11" s="43"/>
    </row>
    <row r="12" spans="1:15" ht="30">
      <c r="A12" s="660" t="s">
        <v>191</v>
      </c>
      <c r="B12" s="349" t="s">
        <v>79</v>
      </c>
      <c r="C12" s="355">
        <f>'Càlcul pressupost '!M15</f>
        <v>110958.90410958904</v>
      </c>
      <c r="D12" s="341">
        <f>ROUND(C12*0.21,2)</f>
        <v>23301.37</v>
      </c>
      <c r="E12" s="342">
        <f t="shared" si="2"/>
        <v>134260.27410958905</v>
      </c>
      <c r="F12" s="355">
        <f>'Càlcul pressupost '!N15</f>
        <v>339041.09589041094</v>
      </c>
      <c r="G12" s="341">
        <f>ROUND(F12*0.21,2)</f>
        <v>71198.63</v>
      </c>
      <c r="H12" s="342">
        <f t="shared" si="1"/>
        <v>410239.72589041095</v>
      </c>
      <c r="I12" s="365">
        <f>'Càlcul pressupost '!O15</f>
        <v>0</v>
      </c>
      <c r="J12" s="341">
        <f>ROUND(I12*0.21,2)</f>
        <v>0</v>
      </c>
      <c r="K12" s="342">
        <f>TServeiLot1[[#This Row],[Import net
2025]]+TServeiLot1[[#This Row],[IVA 21%
2025]]</f>
        <v>0</v>
      </c>
      <c r="L12" s="360">
        <f>TServeiLot1[[#This Row],[Import net
2023]]+TServeiLot1[[#This Row],[Import net
2024]]+TServeiLot1[[#This Row],[Import net
2025]]</f>
        <v>450000</v>
      </c>
      <c r="M12" s="341">
        <f>TServeiLot1[[#This Row],[IVA 21%
2023]]+TServeiLot1[[#This Row],[IVA 21%
2024]]+TServeiLot1[[#This Row],[IVA 21%
2025]]</f>
        <v>94500</v>
      </c>
      <c r="N12" s="342">
        <f>TServeiLot1[[#This Row],[Total import net]]+TServeiLot1[[#This Row],[Total IVA 21%]]</f>
        <v>544500</v>
      </c>
      <c r="O12" s="43"/>
    </row>
    <row r="13" spans="1:15" ht="30.75" thickBot="1">
      <c r="A13" s="662"/>
      <c r="B13" s="354" t="s">
        <v>74</v>
      </c>
      <c r="C13" s="357">
        <f>'Càlcul pressupost '!M16</f>
        <v>43150.684931506854</v>
      </c>
      <c r="D13" s="343">
        <f>ROUND(C13*0.21,2)+0.01</f>
        <v>9061.65</v>
      </c>
      <c r="E13" s="344">
        <f t="shared" si="2"/>
        <v>52212.334931506855</v>
      </c>
      <c r="F13" s="357">
        <f>'Càlcul pressupost '!N16</f>
        <v>199657.53524657531</v>
      </c>
      <c r="G13" s="343">
        <f>ROUND(F13*0.21,2)</f>
        <v>41928.080000000002</v>
      </c>
      <c r="H13" s="344">
        <f t="shared" si="1"/>
        <v>241585.61524657533</v>
      </c>
      <c r="I13" s="366">
        <f>'Càlcul pressupost '!O16</f>
        <v>207191.77982191782</v>
      </c>
      <c r="J13" s="343">
        <f>ROUND(I13*0.21,2)</f>
        <v>43510.27</v>
      </c>
      <c r="K13" s="344">
        <f>TServeiLot1[[#This Row],[Import net
2025]]+TServeiLot1[[#This Row],[IVA 21%
2025]]</f>
        <v>250702.04982191781</v>
      </c>
      <c r="L13" s="362">
        <f>TServeiLot1[[#This Row],[Import net
2023]]+TServeiLot1[[#This Row],[Import net
2024]]+TServeiLot1[[#This Row],[Import net
2025]]</f>
        <v>450000</v>
      </c>
      <c r="M13" s="343">
        <f>TServeiLot1[[#This Row],[IVA 21%
2023]]+TServeiLot1[[#This Row],[IVA 21%
2024]]+TServeiLot1[[#This Row],[IVA 21%
2025]]</f>
        <v>94500</v>
      </c>
      <c r="N13" s="344">
        <f>TServeiLot1[[#This Row],[Total import net]]+TServeiLot1[[#This Row],[Total IVA 21%]]</f>
        <v>544500</v>
      </c>
      <c r="O13" s="43"/>
    </row>
    <row r="14" spans="1:15">
      <c r="A14" s="660" t="s">
        <v>183</v>
      </c>
      <c r="B14" s="352" t="s">
        <v>75</v>
      </c>
      <c r="C14" s="355">
        <f>'Càlcul pressupost '!M18</f>
        <v>24657.534246575342</v>
      </c>
      <c r="D14" s="341">
        <f>ROUND(C14*0.21,2)+0.01</f>
        <v>5178.09</v>
      </c>
      <c r="E14" s="342">
        <f t="shared" si="2"/>
        <v>29835.624246575342</v>
      </c>
      <c r="F14" s="355">
        <f>'Càlcul pressupost '!N18</f>
        <v>100000</v>
      </c>
      <c r="G14" s="341">
        <f>ROUND(F14*0.21,2)</f>
        <v>21000</v>
      </c>
      <c r="H14" s="342">
        <f t="shared" si="1"/>
        <v>121000</v>
      </c>
      <c r="I14" s="365">
        <f>'Càlcul pressupost '!O18</f>
        <v>75342.465753424651</v>
      </c>
      <c r="J14" s="341">
        <f>ROUND(I14*0.21,2)-0.001</f>
        <v>15821.919</v>
      </c>
      <c r="K14" s="342">
        <f>TServeiLot1[[#This Row],[Import net
2025]]+TServeiLot1[[#This Row],[IVA 21%
2025]]</f>
        <v>91164.384753424645</v>
      </c>
      <c r="L14" s="360">
        <f>TServeiLot1[[#This Row],[Import net
2023]]+TServeiLot1[[#This Row],[Import net
2024]]+TServeiLot1[[#This Row],[Import net
2025]]</f>
        <v>200000</v>
      </c>
      <c r="M14" s="341">
        <f>TServeiLot1[[#This Row],[IVA 21%
2023]]+TServeiLot1[[#This Row],[IVA 21%
2024]]+TServeiLot1[[#This Row],[IVA 21%
2025]]-0.01</f>
        <v>41999.998999999996</v>
      </c>
      <c r="N14" s="342">
        <f>TServeiLot1[[#This Row],[Total import net]]+TServeiLot1[[#This Row],[Total IVA 21%]]</f>
        <v>241999.99900000001</v>
      </c>
      <c r="O14" s="43"/>
    </row>
    <row r="15" spans="1:15" s="88" customFormat="1" ht="15.75" thickBot="1">
      <c r="A15" s="662"/>
      <c r="B15" s="354" t="s">
        <v>129</v>
      </c>
      <c r="C15" s="357">
        <f>'Càlcul pressupost '!M19</f>
        <v>0</v>
      </c>
      <c r="D15" s="343">
        <f t="shared" ref="D15" si="4">ROUND(C15*0.21,2)</f>
        <v>0</v>
      </c>
      <c r="E15" s="344">
        <f t="shared" si="2"/>
        <v>0</v>
      </c>
      <c r="F15" s="357">
        <f>'Càlcul pressupost '!N19</f>
        <v>0</v>
      </c>
      <c r="G15" s="343">
        <f>ROUND(F15*0.21,2)</f>
        <v>0</v>
      </c>
      <c r="H15" s="344">
        <f t="shared" si="1"/>
        <v>0</v>
      </c>
      <c r="I15" s="368">
        <f>'Càlcul pressupost '!O19</f>
        <v>24999.999979166667</v>
      </c>
      <c r="J15" s="348">
        <f>ROUND(I15*0.21,2)</f>
        <v>5250</v>
      </c>
      <c r="K15" s="369">
        <f>TServeiLot1[[#This Row],[Import net
2025]]+TServeiLot1[[#This Row],[IVA 21%
2025]]</f>
        <v>30249.999979166667</v>
      </c>
      <c r="L15" s="362">
        <f>TServeiLot1[[#This Row],[Import net
2023]]+TServeiLot1[[#This Row],[Import net
2024]]+TServeiLot1[[#This Row],[Import net
2025]]</f>
        <v>24999.999979166667</v>
      </c>
      <c r="M15" s="343">
        <f>TServeiLot1[[#This Row],[IVA 21%
2023]]+TServeiLot1[[#This Row],[IVA 21%
2024]]+TServeiLot1[[#This Row],[IVA 21%
2025]]</f>
        <v>5250</v>
      </c>
      <c r="N15" s="344">
        <f>TServeiLot1[[#This Row],[Total import net]]+TServeiLot1[[#This Row],[Total IVA 21%]]</f>
        <v>30249.999979166667</v>
      </c>
      <c r="O15" s="43"/>
    </row>
    <row r="16" spans="1:15" ht="15.75" thickBot="1">
      <c r="A16" s="294"/>
      <c r="B16" s="240"/>
      <c r="C16" s="338">
        <f>SUBTOTAL(109,TServeiLot1[Import net
2023])</f>
        <v>398478.08219178085</v>
      </c>
      <c r="D16" s="338">
        <f>SUBTOTAL(109,TServeiLot1[IVA 21%
2023])</f>
        <v>83680.399999999994</v>
      </c>
      <c r="E16" s="338">
        <f>SUBTOTAL(109,TServeiLot1[Import total
2023])</f>
        <v>482158.48219178081</v>
      </c>
      <c r="F16" s="338">
        <f>SUBTOTAL(109,TServeiLot1[Import net
2024])+0.001</f>
        <v>1517419.8650136983</v>
      </c>
      <c r="G16" s="338">
        <f>SUBTOTAL(109,TServeiLot1[IVA 21%
2024])</f>
        <v>318658.16000000003</v>
      </c>
      <c r="H16" s="338">
        <f>SUBTOTAL(109,TServeiLot1[Import total
2024])+0.001</f>
        <v>1836078.0250136985</v>
      </c>
      <c r="I16" s="338">
        <f>SUBTOTAL(109,TServeiLot1[Import net
2025])</f>
        <v>941202.05277368717</v>
      </c>
      <c r="J16" s="338">
        <f>SUBTOTAL(109,TServeiLot1[IVA 21%
2025])</f>
        <v>197652.43899999998</v>
      </c>
      <c r="K16" s="339">
        <f>SUBTOTAL(109,TServeiLot1[Import total
2025])-0.01</f>
        <v>1138854.4817736873</v>
      </c>
      <c r="L16" s="364">
        <f>SUBTOTAL(109,TServeiLot1[Total import net])</f>
        <v>2857099.9989791666</v>
      </c>
      <c r="M16" s="241">
        <f>SUBTOTAL(109,TServeiLot1[Total IVA 21%])+0.02</f>
        <v>599990.99899999995</v>
      </c>
      <c r="N16" s="207">
        <f>SUBTOTAL(109,TServeiLot1[Total import contracte])+0.02</f>
        <v>3457090.9979791669</v>
      </c>
    </row>
    <row r="17" spans="1:14">
      <c r="A17" s="294"/>
      <c r="C17" s="494"/>
      <c r="D17" s="494"/>
      <c r="E17" s="494"/>
      <c r="F17" s="494"/>
      <c r="G17" s="494"/>
      <c r="H17" s="494"/>
      <c r="I17" s="494" t="s">
        <v>216</v>
      </c>
      <c r="J17" s="494"/>
      <c r="K17" s="494" t="s">
        <v>216</v>
      </c>
    </row>
    <row r="19" spans="1:14" ht="16.5" thickBot="1">
      <c r="A19" s="125" t="s">
        <v>92</v>
      </c>
    </row>
    <row r="20" spans="1:14" ht="15.75" thickBot="1">
      <c r="A20" s="60"/>
      <c r="B20" s="60"/>
      <c r="C20" s="537">
        <v>2023</v>
      </c>
      <c r="D20" s="538"/>
      <c r="E20" s="539"/>
      <c r="F20" s="652">
        <v>2024</v>
      </c>
      <c r="G20" s="653"/>
      <c r="H20" s="654"/>
      <c r="I20" s="652">
        <v>2025</v>
      </c>
      <c r="J20" s="653"/>
      <c r="K20" s="654"/>
      <c r="L20" s="227"/>
      <c r="M20" s="294"/>
      <c r="N20" s="294"/>
    </row>
    <row r="21" spans="1:14" ht="26.25" thickBot="1">
      <c r="A21" s="200" t="s">
        <v>52</v>
      </c>
      <c r="B21" s="333" t="s">
        <v>190</v>
      </c>
      <c r="C21" s="201" t="s">
        <v>140</v>
      </c>
      <c r="D21" s="199" t="s">
        <v>141</v>
      </c>
      <c r="E21" s="202" t="s">
        <v>142</v>
      </c>
      <c r="F21" s="201" t="s">
        <v>143</v>
      </c>
      <c r="G21" s="199" t="s">
        <v>144</v>
      </c>
      <c r="H21" s="202" t="s">
        <v>145</v>
      </c>
      <c r="I21" s="201" t="s">
        <v>147</v>
      </c>
      <c r="J21" s="199" t="s">
        <v>148</v>
      </c>
      <c r="K21" s="202" t="s">
        <v>146</v>
      </c>
      <c r="L21" s="212" t="s">
        <v>51</v>
      </c>
      <c r="M21" s="213" t="s">
        <v>50</v>
      </c>
      <c r="N21" s="214" t="s">
        <v>49</v>
      </c>
    </row>
    <row r="22" spans="1:14" ht="15.75" thickBot="1">
      <c r="A22" s="126" t="s">
        <v>81</v>
      </c>
      <c r="B22" s="499" t="s">
        <v>81</v>
      </c>
      <c r="C22" s="203">
        <f>Taula1[import 2023
IVA exc]</f>
        <v>66575.34246575342</v>
      </c>
      <c r="D22" s="123">
        <f>ROUND(C22*0.21,2)</f>
        <v>13980.82</v>
      </c>
      <c r="E22" s="204">
        <f>+C22+D22</f>
        <v>80556.162465753412</v>
      </c>
      <c r="F22" s="203">
        <f>Taula1[import 2024
IVA exc]</f>
        <v>270000</v>
      </c>
      <c r="G22" s="123">
        <f>ROUND(F22*0.21,2)</f>
        <v>56700</v>
      </c>
      <c r="H22" s="204">
        <f>+F22+G22</f>
        <v>326700</v>
      </c>
      <c r="I22" s="205">
        <f>Taula1[import 2025
IVA exc]</f>
        <v>203424.65753424657</v>
      </c>
      <c r="J22" s="59">
        <f>ROUND(I22*0.21,2)</f>
        <v>42719.18</v>
      </c>
      <c r="K22" s="208">
        <f>I22+J22</f>
        <v>246143.83753424656</v>
      </c>
      <c r="L22" s="206">
        <f>C22+F22+I22</f>
        <v>540000</v>
      </c>
      <c r="M22" s="59">
        <f>D22+G22+J22</f>
        <v>113400</v>
      </c>
      <c r="N22" s="124">
        <f>E22+H22+K22</f>
        <v>653400</v>
      </c>
    </row>
    <row r="23" spans="1:14" ht="15.75" thickBot="1">
      <c r="B23" s="354" t="s">
        <v>129</v>
      </c>
      <c r="C23" s="531">
        <v>0</v>
      </c>
      <c r="D23" s="531">
        <v>0</v>
      </c>
      <c r="E23" s="531">
        <f>Taula1[[#Totals],[import 2023
IVA inc]]</f>
        <v>0</v>
      </c>
      <c r="F23" s="531">
        <v>0</v>
      </c>
      <c r="G23" s="531">
        <v>0</v>
      </c>
      <c r="H23" s="531">
        <f>Taula1[[#Totals],[import 2024
IVA inc]]</f>
        <v>0</v>
      </c>
      <c r="I23" s="531">
        <f>Taula1[[#Totals],[import 2025
IVA exc]]</f>
        <v>11250</v>
      </c>
      <c r="J23" s="531">
        <f>I23*0.21</f>
        <v>2362.5</v>
      </c>
      <c r="K23" s="531">
        <f>Taula1[[#Totals],[import 2025
IVA inc]]</f>
        <v>13612.5</v>
      </c>
      <c r="L23" s="531">
        <f>I23</f>
        <v>11250</v>
      </c>
      <c r="M23" s="531">
        <f>L23*0.21</f>
        <v>2362.5</v>
      </c>
      <c r="N23" s="531">
        <f>L23+M23</f>
        <v>13612.5</v>
      </c>
    </row>
    <row r="24" spans="1:14" ht="15.75" thickTop="1">
      <c r="B24" s="596" t="s">
        <v>241</v>
      </c>
      <c r="C24" s="596">
        <f>SUM(C22:C23)</f>
        <v>66575.34246575342</v>
      </c>
      <c r="D24" s="596">
        <f>SUM(D22:D23)</f>
        <v>13980.82</v>
      </c>
      <c r="E24" s="596">
        <f>SUM(E22:E23)</f>
        <v>80556.162465753412</v>
      </c>
      <c r="F24" s="596">
        <f t="shared" ref="F24:H24" si="5">SUM(F22:F23)</f>
        <v>270000</v>
      </c>
      <c r="G24" s="596">
        <f t="shared" si="5"/>
        <v>56700</v>
      </c>
      <c r="H24" s="596">
        <f t="shared" si="5"/>
        <v>326700</v>
      </c>
      <c r="I24" s="596">
        <f>SUM(I22:I23)</f>
        <v>214674.65753424657</v>
      </c>
      <c r="J24" s="596">
        <f t="shared" ref="J24:K24" si="6">SUM(J22:J23)</f>
        <v>45081.68</v>
      </c>
      <c r="K24" s="596">
        <f t="shared" si="6"/>
        <v>259756.33753424656</v>
      </c>
      <c r="L24" s="596">
        <f>SUM(L22:L23)</f>
        <v>551250</v>
      </c>
      <c r="M24" s="596">
        <f t="shared" ref="M24:N24" si="7">SUM(M22:M23)</f>
        <v>115762.5</v>
      </c>
      <c r="N24" s="596">
        <f t="shared" si="7"/>
        <v>667012.5</v>
      </c>
    </row>
    <row r="25" spans="1:14" ht="15.75" thickBot="1">
      <c r="A25" s="48" t="s">
        <v>48</v>
      </c>
      <c r="B25" s="43"/>
      <c r="C25" s="43"/>
      <c r="D25" s="43"/>
      <c r="E25" s="43"/>
    </row>
    <row r="26" spans="1:14">
      <c r="A26" s="48"/>
      <c r="B26" s="43"/>
      <c r="C26" s="43"/>
      <c r="D26" s="43"/>
      <c r="E26" s="43"/>
      <c r="H26" s="655" t="s">
        <v>116</v>
      </c>
      <c r="I26" s="655" t="s">
        <v>117</v>
      </c>
      <c r="J26" s="655" t="s">
        <v>118</v>
      </c>
      <c r="K26" s="655" t="s">
        <v>149</v>
      </c>
      <c r="L26" s="655" t="s">
        <v>119</v>
      </c>
    </row>
    <row r="27" spans="1:14" ht="15.75" thickBot="1">
      <c r="A27" s="58" t="s">
        <v>47</v>
      </c>
      <c r="B27" s="92"/>
      <c r="C27" s="43"/>
      <c r="D27" s="43"/>
      <c r="E27" s="43"/>
      <c r="H27" s="656"/>
      <c r="I27" s="656"/>
      <c r="J27" s="656"/>
      <c r="K27" s="656"/>
      <c r="L27" s="656"/>
    </row>
    <row r="28" spans="1:14" ht="15.75" thickBot="1">
      <c r="A28" s="211" t="s">
        <v>46</v>
      </c>
      <c r="B28" s="211" t="s">
        <v>72</v>
      </c>
      <c r="C28" s="211" t="s">
        <v>45</v>
      </c>
      <c r="D28" s="211" t="s">
        <v>44</v>
      </c>
      <c r="E28" s="211" t="s">
        <v>43</v>
      </c>
      <c r="H28" s="587" t="s">
        <v>120</v>
      </c>
      <c r="I28" s="588">
        <f>C16</f>
        <v>398478.08219178085</v>
      </c>
      <c r="J28" s="588">
        <f>TServeiLot1[[#Totals],[Import net
2024]]</f>
        <v>1517419.8650136983</v>
      </c>
      <c r="K28" s="588">
        <f>TServeiLot1[[#Totals],[Import net
2025]]</f>
        <v>941202.05277368717</v>
      </c>
      <c r="L28" s="588">
        <f>SUM(I28:K28)</f>
        <v>2857099.9999791663</v>
      </c>
    </row>
    <row r="29" spans="1:14" ht="15.75" thickBot="1">
      <c r="A29" s="209">
        <v>2023</v>
      </c>
      <c r="B29" s="57" t="s">
        <v>211</v>
      </c>
      <c r="C29" s="210">
        <f>TServeiLot1[[#Totals],[Import net
2023]]+TserveisLot2[Import net
2023]</f>
        <v>465053.42465753428</v>
      </c>
      <c r="D29" s="210">
        <f>C29*0.21</f>
        <v>97661.219178082203</v>
      </c>
      <c r="E29" s="210">
        <f>C29+D29</f>
        <v>562714.64383561653</v>
      </c>
      <c r="H29" s="587" t="s">
        <v>121</v>
      </c>
      <c r="I29" s="589">
        <f>TserveisLot2[Import net
2023]</f>
        <v>66575.34246575342</v>
      </c>
      <c r="J29" s="588">
        <f>TserveisLot2[Import net
2024]</f>
        <v>270000</v>
      </c>
      <c r="K29" s="588">
        <f>I24</f>
        <v>214674.65753424657</v>
      </c>
      <c r="L29" s="588">
        <f>SUM(I29:K29)</f>
        <v>551250</v>
      </c>
    </row>
    <row r="30" spans="1:14" ht="15.75" thickBot="1">
      <c r="A30" s="209">
        <v>2024</v>
      </c>
      <c r="B30" s="57" t="s">
        <v>211</v>
      </c>
      <c r="C30" s="210">
        <f>TServeiLot1[[#Totals],[Import net
2024]]+TserveisLot2[Import net
2024]</f>
        <v>1787419.8650136983</v>
      </c>
      <c r="D30" s="210">
        <f>C30*0.21</f>
        <v>375358.17165287666</v>
      </c>
      <c r="E30" s="210">
        <f>C30+D30</f>
        <v>2162778.0366665749</v>
      </c>
      <c r="G30">
        <f>CalculPressup[[#Totals],[Import Total 
IVA inclòs]]</f>
        <v>3457090.978764792</v>
      </c>
      <c r="H30" s="590" t="s">
        <v>122</v>
      </c>
      <c r="I30" s="591">
        <f>I28+I29</f>
        <v>465053.42465753428</v>
      </c>
      <c r="J30" s="592">
        <f>SUM(J28:J29)</f>
        <v>1787419.8650136983</v>
      </c>
      <c r="K30" s="592">
        <f>SUM(K28:K29)</f>
        <v>1155876.7103079339</v>
      </c>
      <c r="L30" s="592">
        <f>SUM(L28:L29)</f>
        <v>3408349.9999791663</v>
      </c>
    </row>
    <row r="31" spans="1:14" ht="15.75" thickBot="1">
      <c r="A31" s="209">
        <v>2025</v>
      </c>
      <c r="B31" s="57" t="s">
        <v>211</v>
      </c>
      <c r="C31" s="210">
        <f>TServeiLot1[[#Totals],[Import net
2025]]+I24</f>
        <v>1155876.7103079339</v>
      </c>
      <c r="D31" s="210">
        <f>C31*0.21</f>
        <v>242734.10916466609</v>
      </c>
      <c r="E31" s="210">
        <f>C31+D31</f>
        <v>1398610.8194726</v>
      </c>
      <c r="H31" s="587" t="s">
        <v>44</v>
      </c>
      <c r="I31" s="589">
        <f>I30*0.21</f>
        <v>97661.219178082203</v>
      </c>
      <c r="J31" s="589">
        <f>J30*0.21</f>
        <v>375358.17165287666</v>
      </c>
      <c r="K31" s="589">
        <f>K30*0.21</f>
        <v>242734.10916466609</v>
      </c>
      <c r="L31" s="589">
        <f>L30*0.21</f>
        <v>715753.49999562488</v>
      </c>
      <c r="M31" s="495" t="s">
        <v>215</v>
      </c>
    </row>
    <row r="32" spans="1:14" ht="30.75" thickBot="1">
      <c r="A32" s="209" t="s">
        <v>6</v>
      </c>
      <c r="B32" s="487"/>
      <c r="C32" s="488">
        <f>SUBTOTAL(109,TCapitol[Pressupost net])</f>
        <v>3408349.9999791663</v>
      </c>
      <c r="D32" s="488">
        <f>SUBTOTAL(109,TCapitol[IVA])</f>
        <v>715753.49999562488</v>
      </c>
      <c r="E32" s="488">
        <f>SUBTOTAL(109,TCapitol[Import total])</f>
        <v>4124103.499974791</v>
      </c>
      <c r="H32" s="593" t="s">
        <v>128</v>
      </c>
      <c r="I32" s="594">
        <f>SUM(I30:I31)</f>
        <v>562714.64383561653</v>
      </c>
      <c r="J32" s="595">
        <f>SUM(J30:J31)</f>
        <v>2162778.0366665749</v>
      </c>
      <c r="K32" s="595">
        <f>SUM(K30:K31)</f>
        <v>1398610.8194726</v>
      </c>
      <c r="L32" s="595">
        <f>SUM(L30:L31)</f>
        <v>4124103.499974791</v>
      </c>
    </row>
    <row r="33" spans="1:20">
      <c r="D33" s="494" t="s">
        <v>215</v>
      </c>
      <c r="E33" s="494" t="s">
        <v>215</v>
      </c>
    </row>
    <row r="36" spans="1:20">
      <c r="A36" s="48" t="s">
        <v>42</v>
      </c>
      <c r="B36" s="43"/>
      <c r="C36" s="43"/>
      <c r="D36" s="43"/>
      <c r="E36" s="56"/>
      <c r="F36" s="43"/>
      <c r="H36" s="48" t="s">
        <v>219</v>
      </c>
      <c r="I36" s="227"/>
      <c r="J36" s="227"/>
      <c r="K36" s="227"/>
      <c r="L36" s="56"/>
      <c r="M36" s="227"/>
    </row>
    <row r="37" spans="1:20" ht="38.25">
      <c r="A37" s="55" t="s">
        <v>41</v>
      </c>
      <c r="B37" s="55" t="s">
        <v>40</v>
      </c>
      <c r="C37" s="55" t="s">
        <v>39</v>
      </c>
      <c r="D37" s="55" t="s">
        <v>38</v>
      </c>
      <c r="E37" s="55" t="s">
        <v>37</v>
      </c>
      <c r="F37" s="55" t="s">
        <v>36</v>
      </c>
      <c r="H37" s="55" t="s">
        <v>41</v>
      </c>
      <c r="I37" s="55" t="s">
        <v>40</v>
      </c>
      <c r="J37" s="55" t="s">
        <v>39</v>
      </c>
      <c r="K37" s="55" t="s">
        <v>38</v>
      </c>
      <c r="L37" s="55" t="s">
        <v>37</v>
      </c>
      <c r="M37" s="55" t="s">
        <v>36</v>
      </c>
      <c r="O37" s="48" t="s">
        <v>220</v>
      </c>
      <c r="P37" s="227"/>
      <c r="Q37" s="227"/>
      <c r="R37" s="227"/>
      <c r="S37" s="56"/>
      <c r="T37" s="227"/>
    </row>
    <row r="38" spans="1:20" ht="76.5">
      <c r="A38" s="54" t="s">
        <v>35</v>
      </c>
      <c r="B38" s="53">
        <f>TCapitol[[#Totals],[Import total]]</f>
        <v>4124103.499974791</v>
      </c>
      <c r="C38" s="478">
        <v>0.2</v>
      </c>
      <c r="D38" s="44">
        <f>+ROUND(B38*C38,2)</f>
        <v>824820.7</v>
      </c>
      <c r="E38" s="478">
        <v>0.2</v>
      </c>
      <c r="F38" s="44">
        <f>+ROUND(B38*E38,2)</f>
        <v>824820.7</v>
      </c>
      <c r="H38" s="54" t="s">
        <v>35</v>
      </c>
      <c r="I38" s="53">
        <f>TServeiLot1[[#Totals],[Total import contracte]]</f>
        <v>3457090.9979791669</v>
      </c>
      <c r="J38" s="497">
        <v>0.2</v>
      </c>
      <c r="K38" s="234">
        <f>+ROUND(I38*J38,2)</f>
        <v>691418.2</v>
      </c>
      <c r="L38" s="497">
        <v>0.2</v>
      </c>
      <c r="M38" s="234">
        <f>+ROUND(I38*L38,2)</f>
        <v>691418.2</v>
      </c>
      <c r="N38" s="103"/>
      <c r="O38" s="55" t="s">
        <v>41</v>
      </c>
      <c r="P38" s="55" t="s">
        <v>40</v>
      </c>
      <c r="Q38" s="55" t="s">
        <v>39</v>
      </c>
      <c r="R38" s="55" t="s">
        <v>38</v>
      </c>
      <c r="S38" s="55" t="s">
        <v>37</v>
      </c>
      <c r="T38" s="55" t="s">
        <v>36</v>
      </c>
    </row>
    <row r="39" spans="1:20" ht="25.5">
      <c r="A39" s="52" t="s">
        <v>34</v>
      </c>
      <c r="B39" s="51">
        <f>SUM(B38:B38)</f>
        <v>4124103.499974791</v>
      </c>
      <c r="C39" s="91">
        <f>SUM(C38:C38)</f>
        <v>0.2</v>
      </c>
      <c r="D39" s="45">
        <f>SUM(D38:D38)</f>
        <v>824820.7</v>
      </c>
      <c r="E39" s="91">
        <f>SUM(E38:E38)</f>
        <v>0.2</v>
      </c>
      <c r="F39" s="45">
        <f>SUM(F38:F38)</f>
        <v>824820.7</v>
      </c>
      <c r="H39" s="52" t="s">
        <v>34</v>
      </c>
      <c r="I39" s="51">
        <f>SUM(I38:I38)</f>
        <v>3457090.9979791669</v>
      </c>
      <c r="J39" s="91">
        <f>SUM(J38:J38)</f>
        <v>0.2</v>
      </c>
      <c r="K39" s="223">
        <f>SUM(K38:K38)</f>
        <v>691418.2</v>
      </c>
      <c r="L39" s="91">
        <f>SUM(L38:L38)</f>
        <v>0.2</v>
      </c>
      <c r="M39" s="223">
        <f>SUM(M38:M38)</f>
        <v>691418.2</v>
      </c>
      <c r="O39" s="54" t="s">
        <v>35</v>
      </c>
      <c r="P39" s="498">
        <f>'Càlcul pressupost '!J27</f>
        <v>667012.5</v>
      </c>
      <c r="Q39" s="497">
        <v>0.2</v>
      </c>
      <c r="R39" s="234">
        <f>+ROUND(P39*Q39,2)</f>
        <v>133402.5</v>
      </c>
      <c r="S39" s="497">
        <v>0.2</v>
      </c>
      <c r="T39" s="230">
        <f>+ROUND(P39*S39,2)</f>
        <v>133402.5</v>
      </c>
    </row>
    <row r="40" spans="1:20">
      <c r="A40" s="43"/>
      <c r="B40" s="43"/>
      <c r="C40" s="43"/>
      <c r="D40" s="50">
        <f>+ROUND(D39/1.21,2)</f>
        <v>681670</v>
      </c>
      <c r="E40" s="43"/>
      <c r="F40" s="50">
        <f>+ROUND(F39/1.21,2)</f>
        <v>681670</v>
      </c>
      <c r="H40" s="227"/>
      <c r="I40" s="227"/>
      <c r="J40" s="227"/>
      <c r="K40" s="50">
        <f>+ROUND(K39/1.21,2)</f>
        <v>571420</v>
      </c>
      <c r="L40" s="227"/>
      <c r="M40" s="50">
        <f>+ROUND(M39/1.21,2)</f>
        <v>571420</v>
      </c>
      <c r="O40" s="52" t="s">
        <v>34</v>
      </c>
      <c r="P40" s="51">
        <f>SUM(P39:P39)</f>
        <v>667012.5</v>
      </c>
      <c r="Q40" s="91">
        <f>SUM(Q39:Q39)</f>
        <v>0.2</v>
      </c>
      <c r="R40" s="223">
        <f>SUM(R39:R39)</f>
        <v>133402.5</v>
      </c>
      <c r="S40" s="91">
        <f>SUM(S39:S39)</f>
        <v>0.2</v>
      </c>
      <c r="T40" s="223">
        <f>SUM(T39:T39)</f>
        <v>133402.5</v>
      </c>
    </row>
    <row r="41" spans="1:20">
      <c r="A41" s="43"/>
      <c r="B41" s="43"/>
      <c r="C41" s="43"/>
      <c r="D41" s="49" t="s">
        <v>33</v>
      </c>
      <c r="E41" s="43"/>
      <c r="F41" s="49" t="s">
        <v>33</v>
      </c>
      <c r="H41" s="227"/>
      <c r="I41" s="227"/>
      <c r="J41" s="227"/>
      <c r="K41" s="49" t="s">
        <v>33</v>
      </c>
      <c r="L41" s="227"/>
      <c r="M41" s="49" t="s">
        <v>33</v>
      </c>
      <c r="O41" s="227"/>
      <c r="P41" s="227"/>
      <c r="Q41" s="227"/>
      <c r="R41" s="50">
        <f>+ROUND(R40/1.21,2)</f>
        <v>110250</v>
      </c>
      <c r="S41" s="227"/>
      <c r="T41" s="50">
        <f>+ROUND(T40/1.21,2)</f>
        <v>110250</v>
      </c>
    </row>
    <row r="42" spans="1:20">
      <c r="A42" s="48" t="s">
        <v>150</v>
      </c>
      <c r="B42" s="43"/>
      <c r="C42" s="43"/>
      <c r="D42" s="43"/>
      <c r="E42" s="43"/>
      <c r="F42" s="43"/>
      <c r="O42" s="227"/>
      <c r="P42" s="227"/>
      <c r="Q42" s="227"/>
      <c r="R42" s="49" t="s">
        <v>33</v>
      </c>
      <c r="S42" s="227"/>
      <c r="T42" s="49" t="s">
        <v>33</v>
      </c>
    </row>
    <row r="43" spans="1:20">
      <c r="A43" s="43"/>
      <c r="B43" s="43"/>
      <c r="C43" s="43"/>
      <c r="D43" s="43"/>
      <c r="E43" s="43"/>
      <c r="F43" s="43"/>
    </row>
    <row r="44" spans="1:20" ht="51">
      <c r="A44" s="46" t="s">
        <v>153</v>
      </c>
      <c r="B44" s="47" t="s">
        <v>32</v>
      </c>
      <c r="C44" s="47" t="s">
        <v>31</v>
      </c>
      <c r="D44" s="47" t="s">
        <v>30</v>
      </c>
      <c r="E44" s="47" t="s">
        <v>29</v>
      </c>
      <c r="F44" s="47" t="s">
        <v>28</v>
      </c>
    </row>
    <row r="45" spans="1:20">
      <c r="A45" s="46">
        <v>2023</v>
      </c>
      <c r="B45" s="210">
        <f>C29</f>
        <v>465053.42465753428</v>
      </c>
      <c r="C45" s="210"/>
      <c r="D45" s="230">
        <f>ROUND(G45/$G$49*$D$40,2)</f>
        <v>62227.73</v>
      </c>
      <c r="E45" s="225">
        <f>ROUND(-G45/$G$49*$F$40,2)</f>
        <v>-62227.73</v>
      </c>
      <c r="F45" s="221">
        <f>SUM(B45:D45)</f>
        <v>527281.15465753432</v>
      </c>
      <c r="G45" s="222">
        <f>B45+C45</f>
        <v>465053.42465753428</v>
      </c>
    </row>
    <row r="46" spans="1:20">
      <c r="A46" s="46">
        <v>2024</v>
      </c>
      <c r="B46" s="210">
        <f>C30</f>
        <v>1787419.8650136983</v>
      </c>
      <c r="C46" s="210"/>
      <c r="D46" s="230">
        <f>ROUND(G46/$G$49*$D$40,2)</f>
        <v>239170.56</v>
      </c>
      <c r="E46" s="234">
        <f>ROUND(-G46/$G$49*$F$40,2)</f>
        <v>-239170.56</v>
      </c>
      <c r="F46" s="221">
        <f>SUM(B46:D46)</f>
        <v>2026590.4250136984</v>
      </c>
      <c r="G46" s="233">
        <f>B46+C46</f>
        <v>1787419.8650136983</v>
      </c>
    </row>
    <row r="47" spans="1:20">
      <c r="A47" s="46">
        <v>2025</v>
      </c>
      <c r="B47" s="210">
        <f>C31</f>
        <v>1155876.7103079339</v>
      </c>
      <c r="C47" s="210">
        <f>('Càlcul pressupost '!Q21)*3+('Càlcul pressupost '!Q25)*3</f>
        <v>421512.49987499998</v>
      </c>
      <c r="D47" s="230">
        <f>ROUND(G47/$G$49*$D$40,2)</f>
        <v>211066.84</v>
      </c>
      <c r="E47" s="234">
        <f>ROUND(-G47/$G$49*$F$40,2)</f>
        <v>-211066.84</v>
      </c>
      <c r="F47" s="221">
        <f>SUM(B47:D47)</f>
        <v>1788456.0501829339</v>
      </c>
      <c r="G47" s="233">
        <f>B47+C47</f>
        <v>1577389.2101829338</v>
      </c>
    </row>
    <row r="48" spans="1:20">
      <c r="A48" s="46">
        <v>2026</v>
      </c>
      <c r="B48" s="210"/>
      <c r="C48" s="210">
        <f>('Càlcul pressupost '!Q21)*9+('Càlcul pressupost '!Q25)*9</f>
        <v>1264537.4996249999</v>
      </c>
      <c r="D48" s="230">
        <f>ROUND(G48/$G$49*$D$40,2)</f>
        <v>169204.87</v>
      </c>
      <c r="E48" s="234">
        <f>ROUND(-G48/$G$49*$F$40,2)</f>
        <v>-169204.87</v>
      </c>
      <c r="F48" s="221">
        <f>SUM(B48:D48)</f>
        <v>1433742.3696249998</v>
      </c>
      <c r="G48" s="233">
        <f>B48+C48</f>
        <v>1264537.4996249999</v>
      </c>
    </row>
    <row r="49" spans="1:12">
      <c r="A49" s="218" t="s">
        <v>6</v>
      </c>
      <c r="B49" s="217">
        <f>SUM(B45:B48)</f>
        <v>3408349.9999791663</v>
      </c>
      <c r="C49" s="217">
        <f>SUM(C47:C48)</f>
        <v>1686049.9994999999</v>
      </c>
      <c r="D49" s="223">
        <f>SUM(D45:D48)</f>
        <v>681670</v>
      </c>
      <c r="E49" s="223">
        <f>SUM(E45:E48)</f>
        <v>-681670</v>
      </c>
      <c r="F49" s="224">
        <f>SUM(F45:F48)</f>
        <v>5776069.9994791672</v>
      </c>
      <c r="G49" s="216">
        <f>B49+C49</f>
        <v>5094399.9994791662</v>
      </c>
    </row>
    <row r="50" spans="1:12">
      <c r="C50" s="235"/>
    </row>
    <row r="51" spans="1:12">
      <c r="C51" s="210"/>
    </row>
    <row r="52" spans="1:12" ht="15.75">
      <c r="A52" s="232" t="s">
        <v>27</v>
      </c>
      <c r="B52" s="663" t="s">
        <v>162</v>
      </c>
      <c r="C52" s="664"/>
      <c r="D52" s="664"/>
      <c r="E52" s="664"/>
      <c r="I52" s="500"/>
    </row>
    <row r="53" spans="1:12">
      <c r="A53" s="485">
        <f>L30</f>
        <v>3408349.9999791663</v>
      </c>
      <c r="B53" s="649" t="s">
        <v>26</v>
      </c>
      <c r="C53" s="650"/>
      <c r="D53" s="649" t="s">
        <v>25</v>
      </c>
      <c r="E53" s="650"/>
    </row>
    <row r="54" spans="1:12">
      <c r="A54" s="232" t="s">
        <v>24</v>
      </c>
      <c r="B54" s="232" t="s">
        <v>23</v>
      </c>
      <c r="C54" s="232" t="s">
        <v>21</v>
      </c>
      <c r="D54" s="232" t="s">
        <v>22</v>
      </c>
      <c r="E54" s="232" t="s">
        <v>21</v>
      </c>
    </row>
    <row r="55" spans="1:12">
      <c r="A55" s="231">
        <v>3</v>
      </c>
      <c r="B55" s="230">
        <f>+C55/A55</f>
        <v>852087.49999479158</v>
      </c>
      <c r="C55" s="230">
        <f>1.5*(A53/2)</f>
        <v>2556262.4999843747</v>
      </c>
      <c r="D55" s="230">
        <f>ROUND(A53*2/3/A55,2)</f>
        <v>757411.11</v>
      </c>
      <c r="E55" s="230">
        <f>+C55</f>
        <v>2556262.4999843747</v>
      </c>
    </row>
    <row r="56" spans="1:12">
      <c r="A56" s="227"/>
      <c r="B56" s="228" t="s">
        <v>20</v>
      </c>
      <c r="C56" s="228" t="s">
        <v>18</v>
      </c>
      <c r="D56" s="229" t="s">
        <v>19</v>
      </c>
      <c r="E56" s="228" t="s">
        <v>18</v>
      </c>
    </row>
    <row r="57" spans="1:12">
      <c r="H57" s="486"/>
      <c r="I57" s="486"/>
    </row>
    <row r="60" spans="1:12">
      <c r="A60" s="48" t="s">
        <v>160</v>
      </c>
      <c r="B60" s="227"/>
      <c r="C60" s="227"/>
      <c r="D60" s="227"/>
      <c r="E60" s="227"/>
      <c r="F60" s="227"/>
      <c r="G60" s="88"/>
    </row>
    <row r="61" spans="1:12" ht="15.75" thickBot="1">
      <c r="A61" s="227"/>
      <c r="B61" s="227"/>
      <c r="C61" s="227"/>
      <c r="D61" s="227"/>
      <c r="E61" s="227"/>
      <c r="F61" s="227"/>
      <c r="G61" s="88"/>
    </row>
    <row r="62" spans="1:12" ht="51">
      <c r="A62" s="46" t="s">
        <v>153</v>
      </c>
      <c r="B62" s="47" t="s">
        <v>32</v>
      </c>
      <c r="C62" s="47" t="s">
        <v>31</v>
      </c>
      <c r="D62" s="47" t="s">
        <v>30</v>
      </c>
      <c r="E62" s="47" t="s">
        <v>29</v>
      </c>
      <c r="F62" s="47" t="s">
        <v>28</v>
      </c>
      <c r="G62" s="88"/>
      <c r="H62" s="242" t="s">
        <v>213</v>
      </c>
      <c r="I62" s="646" t="s">
        <v>222</v>
      </c>
      <c r="J62" s="647"/>
      <c r="K62" s="647"/>
      <c r="L62" s="648"/>
    </row>
    <row r="63" spans="1:12">
      <c r="A63" s="46">
        <v>2023</v>
      </c>
      <c r="B63" s="164">
        <f>TServeiLot1[[#Totals],[Import net
2023]]</f>
        <v>398478.08219178085</v>
      </c>
      <c r="C63" s="164"/>
      <c r="D63" s="230">
        <f>ROUND(G63/$G$49*$D$40,2)</f>
        <v>53319.44</v>
      </c>
      <c r="E63" s="234">
        <f>ROUND(-G63/$G$49*$F$40,2)</f>
        <v>-53319.44</v>
      </c>
      <c r="F63" s="221">
        <f>SUM(B63:D63)</f>
        <v>451797.52219178085</v>
      </c>
      <c r="G63" s="233">
        <f>B63+C63</f>
        <v>398478.08219178085</v>
      </c>
      <c r="H63" s="484">
        <f>L16</f>
        <v>2857099.9989791666</v>
      </c>
      <c r="I63" s="649" t="s">
        <v>26</v>
      </c>
      <c r="J63" s="650"/>
      <c r="K63" s="649" t="s">
        <v>25</v>
      </c>
      <c r="L63" s="651"/>
    </row>
    <row r="64" spans="1:12">
      <c r="A64" s="46">
        <v>2024</v>
      </c>
      <c r="B64" s="164">
        <f>TServeiLot1[[#Totals],[Import net
2024]]</f>
        <v>1517419.8650136983</v>
      </c>
      <c r="C64" s="164"/>
      <c r="D64" s="230">
        <f>ROUND(G64/$G$49*$D$40,2)</f>
        <v>203042.48</v>
      </c>
      <c r="E64" s="234">
        <f>ROUND(-G64/$G$49*$F$40,2)</f>
        <v>-203042.48</v>
      </c>
      <c r="F64" s="221">
        <f>SUM(B64:D64)</f>
        <v>1720462.3450136983</v>
      </c>
      <c r="G64" s="233">
        <f>B64+C64</f>
        <v>1517419.8650136983</v>
      </c>
      <c r="H64" s="243" t="s">
        <v>24</v>
      </c>
      <c r="I64" s="232" t="s">
        <v>23</v>
      </c>
      <c r="J64" s="232" t="s">
        <v>21</v>
      </c>
      <c r="K64" s="232" t="s">
        <v>22</v>
      </c>
      <c r="L64" s="244" t="s">
        <v>21</v>
      </c>
    </row>
    <row r="65" spans="1:12">
      <c r="A65" s="46">
        <v>2025</v>
      </c>
      <c r="B65" s="164">
        <f>TServeiLot1[[#Totals],[Import net
2025]]</f>
        <v>941202.05277368717</v>
      </c>
      <c r="C65" s="164">
        <f>('Càlcul pressupost '!Q21)*3</f>
        <v>354012.49987499998</v>
      </c>
      <c r="D65" s="230">
        <f>ROUND(G65/$G$49*$D$40,2)</f>
        <v>173309.69</v>
      </c>
      <c r="E65" s="234">
        <f>ROUND(-G65/$G$49*$F$40,2)</f>
        <v>-173309.69</v>
      </c>
      <c r="F65" s="221">
        <f>SUM(B65:D65)</f>
        <v>1468524.2426486872</v>
      </c>
      <c r="G65" s="233">
        <f>B65+C65</f>
        <v>1295214.5526486873</v>
      </c>
      <c r="H65" s="245">
        <v>2</v>
      </c>
      <c r="I65" s="230">
        <f>+J65/H65</f>
        <v>1071412.4996171875</v>
      </c>
      <c r="J65" s="230">
        <f>(H63/2)*1.5</f>
        <v>2142824.9992343751</v>
      </c>
      <c r="K65" s="230">
        <f>ROUND(H63*2/3/H65,2)</f>
        <v>952366.67</v>
      </c>
      <c r="L65" s="246">
        <f>+J65</f>
        <v>2142824.9992343751</v>
      </c>
    </row>
    <row r="66" spans="1:12" ht="15.75" thickBot="1">
      <c r="A66" s="46">
        <v>2026</v>
      </c>
      <c r="B66" s="164"/>
      <c r="C66" s="164">
        <f>('Càlcul pressupost '!Q21)*9</f>
        <v>1062037.4996249999</v>
      </c>
      <c r="D66" s="230">
        <f>ROUND(G66/$G$49*$D$40,2)</f>
        <v>142108.81</v>
      </c>
      <c r="E66" s="234">
        <f>ROUND(-G66/$G$49*$F$40,2)</f>
        <v>-142108.81</v>
      </c>
      <c r="F66" s="221">
        <f>SUM(B66:D66)</f>
        <v>1204146.309625</v>
      </c>
      <c r="G66" s="233">
        <f>B66+C66</f>
        <v>1062037.4996249999</v>
      </c>
      <c r="H66" s="247"/>
      <c r="I66" s="248" t="s">
        <v>20</v>
      </c>
      <c r="J66" s="248" t="s">
        <v>18</v>
      </c>
      <c r="K66" s="249" t="s">
        <v>19</v>
      </c>
      <c r="L66" s="250" t="s">
        <v>18</v>
      </c>
    </row>
    <row r="67" spans="1:12">
      <c r="A67" s="540" t="s">
        <v>6</v>
      </c>
      <c r="B67" s="217">
        <f>SUM(B63:B66)</f>
        <v>2857099.9999791663</v>
      </c>
      <c r="C67" s="217">
        <f>SUM(C65:C66)</f>
        <v>1416049.9994999999</v>
      </c>
      <c r="D67" s="223">
        <f>SUM(D63:D66)</f>
        <v>571780.41999999993</v>
      </c>
      <c r="E67" s="223">
        <f>SUM(E63:E66)</f>
        <v>-571780.41999999993</v>
      </c>
      <c r="F67" s="224">
        <f>SUM(F63:F66)</f>
        <v>4844930.4194791662</v>
      </c>
      <c r="G67" s="216">
        <f>B67+C67</f>
        <v>4273149.9994791662</v>
      </c>
    </row>
    <row r="68" spans="1:12">
      <c r="K68" s="486"/>
    </row>
    <row r="71" spans="1:12">
      <c r="A71" s="48" t="s">
        <v>161</v>
      </c>
      <c r="B71" s="227"/>
      <c r="C71" s="227"/>
      <c r="D71" s="227"/>
      <c r="E71" s="227"/>
      <c r="F71" s="227"/>
      <c r="G71" s="88"/>
    </row>
    <row r="72" spans="1:12" ht="15.75" thickBot="1">
      <c r="A72" s="227"/>
      <c r="B72" s="227"/>
      <c r="C72" s="227"/>
      <c r="D72" s="227"/>
      <c r="E72" s="227"/>
      <c r="F72" s="227"/>
      <c r="G72" s="88"/>
    </row>
    <row r="73" spans="1:12" ht="51">
      <c r="A73" s="46" t="s">
        <v>153</v>
      </c>
      <c r="B73" s="47" t="s">
        <v>32</v>
      </c>
      <c r="C73" s="47" t="s">
        <v>31</v>
      </c>
      <c r="D73" s="47" t="s">
        <v>30</v>
      </c>
      <c r="E73" s="47" t="s">
        <v>29</v>
      </c>
      <c r="F73" s="47" t="s">
        <v>28</v>
      </c>
      <c r="G73" s="88"/>
      <c r="H73" s="242" t="s">
        <v>214</v>
      </c>
      <c r="I73" s="646" t="s">
        <v>221</v>
      </c>
      <c r="J73" s="647"/>
      <c r="K73" s="647"/>
      <c r="L73" s="648"/>
    </row>
    <row r="74" spans="1:12">
      <c r="A74" s="46">
        <v>2023</v>
      </c>
      <c r="B74" s="210">
        <f>'Càlcul pressupost '!M27</f>
        <v>66575.34246575342</v>
      </c>
      <c r="C74" s="210"/>
      <c r="D74" s="230">
        <f>ROUND(G74/$G$49*$D$40,2)</f>
        <v>8908.2900000000009</v>
      </c>
      <c r="E74" s="234">
        <f>ROUND(-G74/$G$49*$F$40,2)</f>
        <v>-8908.2900000000009</v>
      </c>
      <c r="F74" s="221">
        <f>SUM(B74:D74)</f>
        <v>75483.632465753413</v>
      </c>
      <c r="G74" s="233">
        <f>B74+C74</f>
        <v>66575.34246575342</v>
      </c>
      <c r="H74" s="484">
        <f>L22</f>
        <v>540000</v>
      </c>
      <c r="I74" s="649" t="s">
        <v>26</v>
      </c>
      <c r="J74" s="650"/>
      <c r="K74" s="649" t="s">
        <v>25</v>
      </c>
      <c r="L74" s="651"/>
    </row>
    <row r="75" spans="1:12">
      <c r="A75" s="46">
        <v>2024</v>
      </c>
      <c r="B75" s="210">
        <f>'Càlcul pressupost '!N27</f>
        <v>270000</v>
      </c>
      <c r="C75" s="210"/>
      <c r="D75" s="230">
        <f>ROUND(G75/$G$49*$D$40,2)</f>
        <v>36128.080000000002</v>
      </c>
      <c r="E75" s="234">
        <f>ROUND(-G75/$G$49*$F$40,2)</f>
        <v>-36128.080000000002</v>
      </c>
      <c r="F75" s="221">
        <f>SUM(B75:D75)</f>
        <v>306128.08</v>
      </c>
      <c r="G75" s="233">
        <f>B75+C75</f>
        <v>270000</v>
      </c>
      <c r="H75" s="243" t="s">
        <v>24</v>
      </c>
      <c r="I75" s="232" t="s">
        <v>23</v>
      </c>
      <c r="J75" s="232" t="s">
        <v>21</v>
      </c>
      <c r="K75" s="232" t="s">
        <v>22</v>
      </c>
      <c r="L75" s="244" t="s">
        <v>21</v>
      </c>
    </row>
    <row r="76" spans="1:12">
      <c r="A76" s="46">
        <v>2025</v>
      </c>
      <c r="B76" s="210">
        <f>'Càlcul pressupost '!O27</f>
        <v>214674.65753424657</v>
      </c>
      <c r="C76" s="210">
        <f>('Càlcul pressupost '!Q27*3)</f>
        <v>67500</v>
      </c>
      <c r="D76" s="230">
        <f>ROUND(G76/$G$49*$D$40,2)</f>
        <v>37757.14</v>
      </c>
      <c r="E76" s="234">
        <f>ROUND(-G76/$G$49*$F$40,2)</f>
        <v>-37757.14</v>
      </c>
      <c r="F76" s="221">
        <f>SUM(B76:D76)</f>
        <v>319931.79753424658</v>
      </c>
      <c r="G76" s="233">
        <f>B76+C76</f>
        <v>282174.65753424657</v>
      </c>
      <c r="H76" s="245">
        <v>2</v>
      </c>
      <c r="I76" s="230">
        <f>+J76/H76</f>
        <v>202500</v>
      </c>
      <c r="J76" s="230">
        <f>(H74/2)*1.5</f>
        <v>405000</v>
      </c>
      <c r="K76" s="230">
        <f>ROUND(H74*2/3/H76,2)</f>
        <v>180000</v>
      </c>
      <c r="L76" s="246">
        <f>+J76</f>
        <v>405000</v>
      </c>
    </row>
    <row r="77" spans="1:12" ht="15.75" thickBot="1">
      <c r="A77" s="46">
        <v>2026</v>
      </c>
      <c r="B77" s="210"/>
      <c r="C77" s="210">
        <f>'Càlcul pressupost '!Q27*9</f>
        <v>202500</v>
      </c>
      <c r="D77" s="230">
        <f>ROUND(G77/$G$49*$D$40,2)</f>
        <v>27096.06</v>
      </c>
      <c r="E77" s="234">
        <f>ROUND(-G77/$G$49*$F$40,2)</f>
        <v>-27096.06</v>
      </c>
      <c r="F77" s="221">
        <f>SUM(B77:D77)</f>
        <v>229596.06</v>
      </c>
      <c r="G77" s="233">
        <f>B77+C77</f>
        <v>202500</v>
      </c>
      <c r="H77" s="247"/>
      <c r="I77" s="248" t="s">
        <v>20</v>
      </c>
      <c r="J77" s="248" t="s">
        <v>18</v>
      </c>
      <c r="K77" s="249" t="s">
        <v>19</v>
      </c>
      <c r="L77" s="250" t="s">
        <v>18</v>
      </c>
    </row>
    <row r="78" spans="1:12">
      <c r="A78" s="218" t="s">
        <v>6</v>
      </c>
      <c r="B78" s="217">
        <f>SUM(B74:B77)</f>
        <v>551250</v>
      </c>
      <c r="C78" s="217">
        <f>SUM(C76:C77)</f>
        <v>270000</v>
      </c>
      <c r="D78" s="223">
        <f>SUM(D74:D77)</f>
        <v>109889.57</v>
      </c>
      <c r="E78" s="223">
        <f>SUM(E74:E77)</f>
        <v>-109889.57</v>
      </c>
      <c r="F78" s="224">
        <f>SUM(F74:F77)</f>
        <v>931139.57000000007</v>
      </c>
      <c r="G78" s="216">
        <f>B78+C78</f>
        <v>821250</v>
      </c>
    </row>
    <row r="83" spans="2:8" ht="15.75" thickBot="1"/>
    <row r="84" spans="2:8" ht="38.25">
      <c r="B84" s="665" t="s">
        <v>252</v>
      </c>
      <c r="C84" s="609" t="s">
        <v>184</v>
      </c>
      <c r="D84" s="287" t="s">
        <v>209</v>
      </c>
      <c r="E84" s="569">
        <v>312100</v>
      </c>
    </row>
    <row r="85" spans="2:8">
      <c r="B85" s="665"/>
      <c r="C85" s="611"/>
      <c r="D85" s="293" t="s">
        <v>88</v>
      </c>
      <c r="E85" s="570">
        <v>250000</v>
      </c>
    </row>
    <row r="86" spans="2:8" ht="26.25" thickBot="1">
      <c r="B86" s="665"/>
      <c r="C86" s="612"/>
      <c r="D86" s="477" t="s">
        <v>156</v>
      </c>
      <c r="E86" s="570">
        <v>100000</v>
      </c>
    </row>
    <row r="87" spans="2:8" ht="16.5" thickTop="1" thickBot="1">
      <c r="B87" s="574"/>
      <c r="C87" s="281" t="s">
        <v>47</v>
      </c>
      <c r="D87" s="300" t="s">
        <v>185</v>
      </c>
      <c r="E87" s="571">
        <v>662100</v>
      </c>
    </row>
    <row r="88" spans="2:8" ht="33.75" customHeight="1">
      <c r="B88" s="665" t="s">
        <v>252</v>
      </c>
      <c r="C88" s="609" t="s">
        <v>181</v>
      </c>
      <c r="D88" s="297" t="s">
        <v>86</v>
      </c>
      <c r="E88" s="570">
        <v>150000</v>
      </c>
      <c r="G88" s="572" t="s">
        <v>252</v>
      </c>
      <c r="H88" s="162">
        <f>E87+E90+E92+E98</f>
        <v>1957100</v>
      </c>
    </row>
    <row r="89" spans="2:8" ht="30.75" customHeight="1" thickBot="1">
      <c r="B89" s="665"/>
      <c r="C89" s="612"/>
      <c r="D89" s="303" t="s">
        <v>87</v>
      </c>
      <c r="E89" s="570">
        <v>150000</v>
      </c>
      <c r="G89" s="573" t="s">
        <v>253</v>
      </c>
      <c r="H89" s="523">
        <f>E95</f>
        <v>900000</v>
      </c>
    </row>
    <row r="90" spans="2:8" ht="16.5" thickTop="1" thickBot="1">
      <c r="B90" s="574"/>
      <c r="C90" s="281" t="s">
        <v>47</v>
      </c>
      <c r="D90" s="300" t="s">
        <v>186</v>
      </c>
      <c r="E90" s="571">
        <v>300000</v>
      </c>
    </row>
    <row r="91" spans="2:8" ht="15.75" thickBot="1">
      <c r="B91" s="665" t="s">
        <v>252</v>
      </c>
      <c r="C91" s="317" t="s">
        <v>77</v>
      </c>
      <c r="D91" s="318" t="s">
        <v>77</v>
      </c>
      <c r="E91" s="570">
        <v>770000</v>
      </c>
    </row>
    <row r="92" spans="2:8" ht="16.5" thickTop="1" thickBot="1">
      <c r="B92" s="665"/>
      <c r="C92" s="314" t="s">
        <v>47</v>
      </c>
      <c r="D92" s="308" t="s">
        <v>187</v>
      </c>
      <c r="E92" s="571">
        <v>770000</v>
      </c>
    </row>
    <row r="93" spans="2:8" ht="26.25">
      <c r="B93" s="665"/>
      <c r="C93" s="609" t="s">
        <v>182</v>
      </c>
      <c r="D93" s="297" t="s">
        <v>79</v>
      </c>
      <c r="E93" s="570">
        <v>450000</v>
      </c>
    </row>
    <row r="94" spans="2:8" ht="26.25" thickBot="1">
      <c r="B94" s="665"/>
      <c r="C94" s="612"/>
      <c r="D94" s="477" t="s">
        <v>74</v>
      </c>
      <c r="E94" s="570">
        <v>450000</v>
      </c>
    </row>
    <row r="95" spans="2:8" ht="16.5" thickTop="1" thickBot="1">
      <c r="B95" s="574"/>
      <c r="C95" s="314" t="s">
        <v>47</v>
      </c>
      <c r="D95" s="308" t="s">
        <v>188</v>
      </c>
      <c r="E95" s="571">
        <v>900000</v>
      </c>
    </row>
    <row r="96" spans="2:8">
      <c r="B96" s="665" t="s">
        <v>252</v>
      </c>
      <c r="C96" s="609" t="s">
        <v>183</v>
      </c>
      <c r="D96" s="297" t="s">
        <v>75</v>
      </c>
      <c r="E96" s="570">
        <v>200000</v>
      </c>
    </row>
    <row r="97" spans="2:5" ht="15.75" thickBot="1">
      <c r="B97" s="665"/>
      <c r="C97" s="610"/>
      <c r="D97" s="303" t="s">
        <v>129</v>
      </c>
      <c r="E97" s="570">
        <v>25000</v>
      </c>
    </row>
    <row r="98" spans="2:5" ht="16.5" thickTop="1" thickBot="1">
      <c r="C98" s="298" t="s">
        <v>47</v>
      </c>
      <c r="D98" s="300" t="s">
        <v>189</v>
      </c>
      <c r="E98" s="571">
        <v>225000</v>
      </c>
    </row>
    <row r="99" spans="2:5">
      <c r="E99" s="252">
        <v>2857100</v>
      </c>
    </row>
  </sheetData>
  <mergeCells count="32">
    <mergeCell ref="C84:C86"/>
    <mergeCell ref="C88:C89"/>
    <mergeCell ref="C93:C94"/>
    <mergeCell ref="C96:C97"/>
    <mergeCell ref="A12:A13"/>
    <mergeCell ref="A14:A15"/>
    <mergeCell ref="B52:E52"/>
    <mergeCell ref="B53:C53"/>
    <mergeCell ref="D53:E53"/>
    <mergeCell ref="B84:B86"/>
    <mergeCell ref="B88:B89"/>
    <mergeCell ref="B93:B94"/>
    <mergeCell ref="B96:B97"/>
    <mergeCell ref="B91:B92"/>
    <mergeCell ref="C4:E4"/>
    <mergeCell ref="F4:H4"/>
    <mergeCell ref="I4:K4"/>
    <mergeCell ref="A6:A8"/>
    <mergeCell ref="A9:A10"/>
    <mergeCell ref="I73:L73"/>
    <mergeCell ref="I74:J74"/>
    <mergeCell ref="K74:L74"/>
    <mergeCell ref="I20:K20"/>
    <mergeCell ref="F20:H20"/>
    <mergeCell ref="L26:L27"/>
    <mergeCell ref="K26:K27"/>
    <mergeCell ref="H26:H27"/>
    <mergeCell ref="I26:I27"/>
    <mergeCell ref="J26:J27"/>
    <mergeCell ref="I62:L62"/>
    <mergeCell ref="I63:J63"/>
    <mergeCell ref="K63:L63"/>
  </mergeCells>
  <pageMargins left="0.7" right="0.7" top="0.75" bottom="0.75" header="0.3" footer="0.3"/>
  <pageSetup paperSize="9" orientation="portrait" r:id="rId1"/>
  <legacy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71"/>
  <sheetViews>
    <sheetView topLeftCell="A7" workbookViewId="0">
      <selection activeCell="D8" sqref="D8:D11"/>
    </sheetView>
  </sheetViews>
  <sheetFormatPr defaultColWidth="14.42578125" defaultRowHeight="15"/>
  <cols>
    <col min="1" max="2" width="11.42578125" style="62" customWidth="1"/>
    <col min="3" max="3" width="46.28515625" style="62" bestFit="1" customWidth="1"/>
    <col min="4" max="4" width="28.7109375" style="62" customWidth="1"/>
    <col min="5" max="5" width="20.7109375" style="62" customWidth="1"/>
    <col min="6" max="6" width="15.85546875" style="62" customWidth="1"/>
    <col min="7" max="7" width="12.140625" style="62" bestFit="1" customWidth="1"/>
    <col min="8" max="8" width="13.140625" style="62" bestFit="1" customWidth="1"/>
    <col min="9" max="9" width="13.42578125" style="62" bestFit="1" customWidth="1"/>
    <col min="10" max="10" width="16" style="62" bestFit="1" customWidth="1"/>
    <col min="11" max="11" width="15.28515625" style="62" bestFit="1" customWidth="1"/>
    <col min="12" max="12" width="14.28515625" style="62" bestFit="1" customWidth="1"/>
    <col min="13" max="13" width="19.7109375" style="62" bestFit="1" customWidth="1"/>
    <col min="14" max="14" width="17.7109375" style="62" customWidth="1"/>
    <col min="15" max="28" width="11.42578125" style="62" customWidth="1"/>
    <col min="29" max="16384" width="14.42578125" style="62"/>
  </cols>
  <sheetData>
    <row r="1" spans="1:13">
      <c r="G1" s="63"/>
    </row>
    <row r="2" spans="1:13">
      <c r="A2" s="87" t="s">
        <v>67</v>
      </c>
      <c r="B2" s="85"/>
      <c r="C2" s="85"/>
      <c r="D2" s="85"/>
      <c r="E2" s="85"/>
      <c r="F2" s="85"/>
      <c r="G2" s="86"/>
      <c r="H2" s="85"/>
      <c r="I2" s="85"/>
      <c r="J2" s="85"/>
    </row>
    <row r="3" spans="1:13" ht="15.75" customHeight="1">
      <c r="G3" s="63"/>
    </row>
    <row r="4" spans="1:13" s="79" customFormat="1" ht="44.25" customHeight="1">
      <c r="A4" s="84"/>
      <c r="B4" s="82"/>
      <c r="C4" s="83" t="s">
        <v>66</v>
      </c>
      <c r="D4" s="81" t="s">
        <v>65</v>
      </c>
      <c r="E4" s="82" t="s">
        <v>64</v>
      </c>
      <c r="F4" s="81" t="s">
        <v>124</v>
      </c>
      <c r="G4" s="80" t="s">
        <v>63</v>
      </c>
      <c r="H4" s="80" t="s">
        <v>70</v>
      </c>
      <c r="I4" s="82" t="s">
        <v>62</v>
      </c>
      <c r="J4" s="81" t="s">
        <v>61</v>
      </c>
      <c r="K4" s="81" t="s">
        <v>60</v>
      </c>
      <c r="L4" s="81" t="s">
        <v>68</v>
      </c>
      <c r="M4" s="62"/>
    </row>
    <row r="5" spans="1:13" ht="15.75" customHeight="1">
      <c r="A5" s="78"/>
      <c r="B5" s="77"/>
      <c r="C5" s="76">
        <f>TCapitol[[#Totals],[Pressupost net]]</f>
        <v>3408349.9999791663</v>
      </c>
      <c r="D5" s="74">
        <f>ROUND(C5*0.2, 2)</f>
        <v>681670</v>
      </c>
      <c r="E5" s="75">
        <f>ROUND(C5-D5, 2)</f>
        <v>2726680</v>
      </c>
      <c r="F5" s="74">
        <f>ROUND(E5*0.064, 2)</f>
        <v>174507.51999999999</v>
      </c>
      <c r="G5" s="73">
        <f>ROUND(D5+F5, 2)</f>
        <v>856177.52</v>
      </c>
      <c r="H5" s="73">
        <f>ROUND(E5-F5, 2)</f>
        <v>2552172.48</v>
      </c>
      <c r="I5" s="75">
        <f>+H5-L5</f>
        <v>2240072.48</v>
      </c>
      <c r="J5" s="74">
        <f>ROUND(I5*(0.34/1.34), 2)</f>
        <v>568376.6</v>
      </c>
      <c r="K5" s="74">
        <f>+I5-J5</f>
        <v>1671695.88</v>
      </c>
      <c r="L5" s="74">
        <f>'Càlcul pressupost '!P6</f>
        <v>312100</v>
      </c>
    </row>
    <row r="6" spans="1:13" ht="15.75" customHeight="1">
      <c r="A6" s="72"/>
      <c r="G6" s="63"/>
    </row>
    <row r="7" spans="1:13" ht="15.75" customHeight="1">
      <c r="C7" s="71" t="s">
        <v>59</v>
      </c>
      <c r="D7" s="70"/>
      <c r="G7" s="63"/>
    </row>
    <row r="8" spans="1:13" ht="15.75" customHeight="1">
      <c r="C8" s="69" t="s">
        <v>127</v>
      </c>
      <c r="D8" s="93">
        <f>+L5</f>
        <v>312100</v>
      </c>
      <c r="G8" s="63"/>
    </row>
    <row r="9" spans="1:13" ht="15.75" customHeight="1">
      <c r="C9" s="69" t="s">
        <v>58</v>
      </c>
      <c r="D9" s="93">
        <f>+K5</f>
        <v>1671695.88</v>
      </c>
      <c r="G9" s="63"/>
    </row>
    <row r="10" spans="1:13" ht="15.75" customHeight="1">
      <c r="C10" s="69" t="s">
        <v>126</v>
      </c>
      <c r="D10" s="93">
        <f>+J5</f>
        <v>568376.6</v>
      </c>
      <c r="G10" s="63"/>
    </row>
    <row r="11" spans="1:13" ht="15.75" customHeight="1">
      <c r="C11" s="69" t="s">
        <v>57</v>
      </c>
      <c r="D11" s="94">
        <f>+H5</f>
        <v>2552172.48</v>
      </c>
      <c r="G11" s="63"/>
    </row>
    <row r="12" spans="1:13" ht="15.75" customHeight="1">
      <c r="C12" s="68"/>
      <c r="D12" s="95"/>
      <c r="G12" s="63"/>
    </row>
    <row r="13" spans="1:13" ht="15.75" customHeight="1">
      <c r="C13" s="65" t="s">
        <v>56</v>
      </c>
      <c r="D13" s="96"/>
      <c r="G13" s="63"/>
    </row>
    <row r="14" spans="1:13" ht="15.75" customHeight="1">
      <c r="C14" s="67" t="s">
        <v>125</v>
      </c>
      <c r="D14" s="93">
        <f>F5</f>
        <v>174507.51999999999</v>
      </c>
      <c r="G14" s="63"/>
    </row>
    <row r="15" spans="1:13" ht="15.75" customHeight="1">
      <c r="C15" s="67" t="s">
        <v>123</v>
      </c>
      <c r="D15" s="93">
        <f>D5</f>
        <v>681670</v>
      </c>
      <c r="G15" s="63"/>
    </row>
    <row r="16" spans="1:13" ht="15.75" customHeight="1">
      <c r="C16" s="67" t="s">
        <v>55</v>
      </c>
      <c r="D16" s="97">
        <f>G5</f>
        <v>856177.52</v>
      </c>
      <c r="G16" s="63"/>
    </row>
    <row r="17" spans="3:14" ht="15.75" customHeight="1">
      <c r="C17" s="66"/>
      <c r="D17" s="98"/>
      <c r="G17" s="63"/>
    </row>
    <row r="18" spans="3:14" ht="15.75" customHeight="1">
      <c r="C18" s="65" t="s">
        <v>54</v>
      </c>
      <c r="D18" s="99">
        <f>D11+D16</f>
        <v>3408350</v>
      </c>
      <c r="G18" s="63"/>
      <c r="M18" s="64"/>
      <c r="N18" s="64"/>
    </row>
    <row r="19" spans="3:14">
      <c r="G19" s="63"/>
    </row>
    <row r="20" spans="3:14">
      <c r="G20" s="63"/>
    </row>
    <row r="21" spans="3:14">
      <c r="C21" s="135" t="s">
        <v>80</v>
      </c>
      <c r="G21" s="63"/>
    </row>
    <row r="22" spans="3:14" ht="30">
      <c r="C22" s="83" t="s">
        <v>66</v>
      </c>
      <c r="D22" s="81" t="s">
        <v>65</v>
      </c>
      <c r="E22" s="82" t="s">
        <v>64</v>
      </c>
      <c r="F22" s="81" t="s">
        <v>124</v>
      </c>
      <c r="G22" s="80" t="s">
        <v>63</v>
      </c>
      <c r="H22" s="80" t="s">
        <v>70</v>
      </c>
      <c r="I22" s="82" t="s">
        <v>62</v>
      </c>
      <c r="J22" s="81" t="s">
        <v>61</v>
      </c>
      <c r="K22" s="81" t="s">
        <v>60</v>
      </c>
      <c r="L22" s="81" t="s">
        <v>68</v>
      </c>
    </row>
    <row r="23" spans="3:14">
      <c r="C23" s="76">
        <f>TServeiLot1[[#Totals],[Total import net]]</f>
        <v>2857099.9989791666</v>
      </c>
      <c r="D23" s="74">
        <f>ROUND(C23*0.2, 2)</f>
        <v>571420</v>
      </c>
      <c r="E23" s="75">
        <f>ROUND(C23-D23, 2)</f>
        <v>2285680</v>
      </c>
      <c r="F23" s="74">
        <f>ROUND(E23*0.064, 2)</f>
        <v>146283.51999999999</v>
      </c>
      <c r="G23" s="73">
        <f>ROUND(D23+F23, 2)</f>
        <v>717703.52</v>
      </c>
      <c r="H23" s="73">
        <f>ROUND(E23-F23, 2)</f>
        <v>2139396.48</v>
      </c>
      <c r="I23" s="75">
        <f>+H23-L23</f>
        <v>1827296.48</v>
      </c>
      <c r="J23" s="74">
        <f>ROUND(I23*(0.34/1.34), 2)</f>
        <v>463642.39</v>
      </c>
      <c r="K23" s="74">
        <f>+I23-J23</f>
        <v>1363654.0899999999</v>
      </c>
      <c r="L23" s="74">
        <f>'Taules IJ'!L6</f>
        <v>312100</v>
      </c>
    </row>
    <row r="24" spans="3:14">
      <c r="G24" s="63"/>
    </row>
    <row r="25" spans="3:14">
      <c r="C25" s="71" t="s">
        <v>59</v>
      </c>
      <c r="D25" s="70"/>
      <c r="G25" s="63"/>
    </row>
    <row r="26" spans="3:14">
      <c r="C26" s="69" t="s">
        <v>127</v>
      </c>
      <c r="D26" s="93">
        <f>+L23</f>
        <v>312100</v>
      </c>
      <c r="G26" s="63"/>
    </row>
    <row r="27" spans="3:14">
      <c r="C27" s="69" t="s">
        <v>58</v>
      </c>
      <c r="D27" s="93">
        <f>+K23</f>
        <v>1363654.0899999999</v>
      </c>
      <c r="G27" s="63"/>
    </row>
    <row r="28" spans="3:14">
      <c r="C28" s="69" t="s">
        <v>126</v>
      </c>
      <c r="D28" s="93">
        <f>+J23</f>
        <v>463642.39</v>
      </c>
      <c r="G28" s="63"/>
    </row>
    <row r="29" spans="3:14">
      <c r="C29" s="69" t="s">
        <v>57</v>
      </c>
      <c r="D29" s="94">
        <f>+H23</f>
        <v>2139396.48</v>
      </c>
      <c r="G29" s="63"/>
    </row>
    <row r="30" spans="3:14">
      <c r="C30" s="68"/>
      <c r="D30" s="95"/>
      <c r="G30" s="63">
        <f>CalculPressup[[#Totals],[Import Total 
IVA inclòs]]</f>
        <v>3457090.978764792</v>
      </c>
    </row>
    <row r="31" spans="3:14">
      <c r="C31" s="65" t="s">
        <v>56</v>
      </c>
      <c r="D31" s="96"/>
      <c r="G31" s="63"/>
    </row>
    <row r="32" spans="3:14">
      <c r="C32" s="67" t="s">
        <v>125</v>
      </c>
      <c r="D32" s="93">
        <f>F23</f>
        <v>146283.51999999999</v>
      </c>
      <c r="G32" s="63"/>
    </row>
    <row r="33" spans="3:12">
      <c r="C33" s="67" t="s">
        <v>123</v>
      </c>
      <c r="D33" s="93">
        <f>D23</f>
        <v>571420</v>
      </c>
      <c r="G33" s="63"/>
    </row>
    <row r="34" spans="3:12">
      <c r="C34" s="67" t="s">
        <v>55</v>
      </c>
      <c r="D34" s="97">
        <f>G23</f>
        <v>717703.52</v>
      </c>
      <c r="G34" s="63"/>
    </row>
    <row r="35" spans="3:12">
      <c r="C35" s="66"/>
      <c r="D35" s="98"/>
      <c r="G35" s="63"/>
    </row>
    <row r="36" spans="3:12">
      <c r="C36" s="65" t="s">
        <v>54</v>
      </c>
      <c r="D36" s="99">
        <f>D29+D34</f>
        <v>2857100</v>
      </c>
      <c r="G36" s="63"/>
    </row>
    <row r="37" spans="3:12">
      <c r="G37" s="63"/>
    </row>
    <row r="38" spans="3:12">
      <c r="G38" s="63"/>
    </row>
    <row r="39" spans="3:12">
      <c r="G39" s="63"/>
    </row>
    <row r="40" spans="3:12">
      <c r="C40" s="135" t="s">
        <v>92</v>
      </c>
      <c r="G40" s="63"/>
    </row>
    <row r="41" spans="3:12" ht="30">
      <c r="C41" s="83" t="s">
        <v>66</v>
      </c>
      <c r="D41" s="81" t="s">
        <v>65</v>
      </c>
      <c r="E41" s="82" t="s">
        <v>64</v>
      </c>
      <c r="F41" s="81" t="s">
        <v>124</v>
      </c>
      <c r="G41" s="80" t="s">
        <v>63</v>
      </c>
      <c r="H41" s="80" t="s">
        <v>70</v>
      </c>
      <c r="I41" s="82" t="s">
        <v>62</v>
      </c>
      <c r="J41" s="81" t="s">
        <v>61</v>
      </c>
      <c r="K41" s="81" t="s">
        <v>60</v>
      </c>
      <c r="L41" s="81" t="s">
        <v>68</v>
      </c>
    </row>
    <row r="42" spans="3:12">
      <c r="C42" s="76">
        <f>'Càlcul pressupost '!P27</f>
        <v>551250</v>
      </c>
      <c r="D42" s="74">
        <f>ROUND(C42*0.2, 2)</f>
        <v>110250</v>
      </c>
      <c r="E42" s="75">
        <f>ROUND(C42-D42, 2)</f>
        <v>441000</v>
      </c>
      <c r="F42" s="74">
        <f>ROUND(E42*0.064, 2)</f>
        <v>28224</v>
      </c>
      <c r="G42" s="73">
        <f>ROUND(D42+F42, 2)</f>
        <v>138474</v>
      </c>
      <c r="H42" s="73">
        <f>ROUND(E42-F42, 2)</f>
        <v>412776</v>
      </c>
      <c r="I42" s="75">
        <f>+H42-L42</f>
        <v>412776</v>
      </c>
      <c r="J42" s="74">
        <f>ROUND(I42*(0.34/1.34), 2)</f>
        <v>104734.21</v>
      </c>
      <c r="K42" s="74">
        <f>+I42-J42</f>
        <v>308041.78999999998</v>
      </c>
      <c r="L42" s="74">
        <v>0</v>
      </c>
    </row>
    <row r="43" spans="3:12">
      <c r="G43" s="63"/>
    </row>
    <row r="44" spans="3:12">
      <c r="C44" s="71" t="s">
        <v>59</v>
      </c>
      <c r="D44" s="70"/>
      <c r="G44" s="63"/>
    </row>
    <row r="45" spans="3:12">
      <c r="C45" s="69" t="s">
        <v>127</v>
      </c>
      <c r="D45" s="597">
        <f>+L42</f>
        <v>0</v>
      </c>
      <c r="G45" s="63"/>
    </row>
    <row r="46" spans="3:12">
      <c r="C46" s="69" t="s">
        <v>58</v>
      </c>
      <c r="D46" s="597">
        <f>+K42</f>
        <v>308041.78999999998</v>
      </c>
      <c r="G46" s="63"/>
    </row>
    <row r="47" spans="3:12">
      <c r="C47" s="69" t="s">
        <v>126</v>
      </c>
      <c r="D47" s="597">
        <f>+J42</f>
        <v>104734.21</v>
      </c>
      <c r="G47" s="63"/>
    </row>
    <row r="48" spans="3:12">
      <c r="C48" s="69" t="s">
        <v>57</v>
      </c>
      <c r="D48" s="598">
        <f>+H42</f>
        <v>412776</v>
      </c>
      <c r="G48" s="63"/>
    </row>
    <row r="49" spans="3:7">
      <c r="C49" s="68"/>
      <c r="D49" s="95"/>
      <c r="G49" s="63"/>
    </row>
    <row r="50" spans="3:7">
      <c r="C50" s="65" t="s">
        <v>56</v>
      </c>
      <c r="D50" s="96"/>
      <c r="G50" s="63"/>
    </row>
    <row r="51" spans="3:7">
      <c r="C51" s="67" t="s">
        <v>125</v>
      </c>
      <c r="D51" s="93">
        <f>F42</f>
        <v>28224</v>
      </c>
      <c r="G51" s="63"/>
    </row>
    <row r="52" spans="3:7">
      <c r="C52" s="67" t="s">
        <v>123</v>
      </c>
      <c r="D52" s="93">
        <f>D42</f>
        <v>110250</v>
      </c>
      <c r="G52" s="63"/>
    </row>
    <row r="53" spans="3:7">
      <c r="C53" s="67" t="s">
        <v>55</v>
      </c>
      <c r="D53" s="97">
        <f>G42</f>
        <v>138474</v>
      </c>
      <c r="G53" s="63"/>
    </row>
    <row r="54" spans="3:7">
      <c r="C54" s="66"/>
      <c r="D54" s="98"/>
      <c r="G54" s="63"/>
    </row>
    <row r="55" spans="3:7">
      <c r="C55" s="65" t="s">
        <v>54</v>
      </c>
      <c r="D55" s="99">
        <f>D48+D53</f>
        <v>551250</v>
      </c>
      <c r="G55" s="63"/>
    </row>
    <row r="56" spans="3:7">
      <c r="G56" s="63"/>
    </row>
    <row r="57" spans="3:7">
      <c r="G57" s="63"/>
    </row>
    <row r="58" spans="3:7">
      <c r="G58" s="63"/>
    </row>
    <row r="59" spans="3:7">
      <c r="G59" s="63"/>
    </row>
    <row r="60" spans="3:7">
      <c r="G60" s="63"/>
    </row>
    <row r="61" spans="3:7">
      <c r="G61" s="63"/>
    </row>
    <row r="62" spans="3:7">
      <c r="G62" s="63"/>
    </row>
    <row r="63" spans="3:7">
      <c r="G63" s="63"/>
    </row>
    <row r="64" spans="3:7">
      <c r="G64" s="63"/>
    </row>
    <row r="65" spans="7:7">
      <c r="G65" s="63"/>
    </row>
    <row r="66" spans="7:7">
      <c r="G66" s="63"/>
    </row>
    <row r="67" spans="7:7">
      <c r="G67" s="63"/>
    </row>
    <row r="68" spans="7:7">
      <c r="G68" s="63"/>
    </row>
    <row r="69" spans="7:7">
      <c r="G69" s="63"/>
    </row>
    <row r="70" spans="7:7">
      <c r="G70" s="63"/>
    </row>
    <row r="71" spans="7:7">
      <c r="G71" s="63"/>
    </row>
    <row r="72" spans="7:7">
      <c r="G72" s="63"/>
    </row>
    <row r="73" spans="7:7">
      <c r="G73" s="63"/>
    </row>
    <row r="74" spans="7:7">
      <c r="G74" s="63"/>
    </row>
    <row r="75" spans="7:7">
      <c r="G75" s="63"/>
    </row>
    <row r="76" spans="7:7">
      <c r="G76" s="63"/>
    </row>
    <row r="77" spans="7:7">
      <c r="G77" s="63"/>
    </row>
    <row r="78" spans="7:7">
      <c r="G78" s="63"/>
    </row>
    <row r="79" spans="7:7">
      <c r="G79" s="63"/>
    </row>
    <row r="80" spans="7:7">
      <c r="G80" s="63"/>
    </row>
    <row r="81" spans="7:7">
      <c r="G81" s="63"/>
    </row>
    <row r="82" spans="7:7">
      <c r="G82" s="63"/>
    </row>
    <row r="83" spans="7:7">
      <c r="G83" s="63"/>
    </row>
    <row r="84" spans="7:7">
      <c r="G84" s="63"/>
    </row>
    <row r="85" spans="7:7">
      <c r="G85" s="63"/>
    </row>
    <row r="86" spans="7:7">
      <c r="G86" s="63"/>
    </row>
    <row r="87" spans="7:7">
      <c r="G87" s="63"/>
    </row>
    <row r="88" spans="7:7">
      <c r="G88" s="63"/>
    </row>
    <row r="89" spans="7:7">
      <c r="G89" s="63"/>
    </row>
    <row r="90" spans="7:7">
      <c r="G90" s="63"/>
    </row>
    <row r="91" spans="7:7">
      <c r="G91" s="63"/>
    </row>
    <row r="92" spans="7:7">
      <c r="G92" s="63"/>
    </row>
    <row r="93" spans="7:7">
      <c r="G93" s="63"/>
    </row>
    <row r="94" spans="7:7">
      <c r="G94" s="63"/>
    </row>
    <row r="95" spans="7:7">
      <c r="G95" s="63"/>
    </row>
    <row r="96" spans="7:7">
      <c r="G96" s="63"/>
    </row>
    <row r="97" spans="7:7">
      <c r="G97" s="63"/>
    </row>
    <row r="98" spans="7:7">
      <c r="G98" s="63"/>
    </row>
    <row r="99" spans="7:7">
      <c r="G99" s="63"/>
    </row>
    <row r="100" spans="7:7">
      <c r="G100" s="63"/>
    </row>
    <row r="101" spans="7:7">
      <c r="G101" s="63"/>
    </row>
    <row r="102" spans="7:7">
      <c r="G102" s="63"/>
    </row>
    <row r="103" spans="7:7">
      <c r="G103" s="63"/>
    </row>
    <row r="104" spans="7:7">
      <c r="G104" s="63"/>
    </row>
    <row r="105" spans="7:7">
      <c r="G105" s="63"/>
    </row>
    <row r="106" spans="7:7">
      <c r="G106" s="63"/>
    </row>
    <row r="107" spans="7:7">
      <c r="G107" s="63"/>
    </row>
    <row r="108" spans="7:7">
      <c r="G108" s="63"/>
    </row>
    <row r="109" spans="7:7">
      <c r="G109" s="63"/>
    </row>
    <row r="110" spans="7:7">
      <c r="G110" s="63"/>
    </row>
    <row r="111" spans="7:7">
      <c r="G111" s="63"/>
    </row>
    <row r="112" spans="7:7">
      <c r="G112" s="63"/>
    </row>
    <row r="113" spans="7:7">
      <c r="G113" s="63"/>
    </row>
    <row r="114" spans="7:7">
      <c r="G114" s="63"/>
    </row>
    <row r="115" spans="7:7">
      <c r="G115" s="63"/>
    </row>
    <row r="116" spans="7:7">
      <c r="G116" s="63"/>
    </row>
    <row r="117" spans="7:7">
      <c r="G117" s="63"/>
    </row>
    <row r="118" spans="7:7">
      <c r="G118" s="63"/>
    </row>
    <row r="119" spans="7:7">
      <c r="G119" s="63"/>
    </row>
    <row r="120" spans="7:7">
      <c r="G120" s="63"/>
    </row>
    <row r="121" spans="7:7">
      <c r="G121" s="63"/>
    </row>
    <row r="122" spans="7:7">
      <c r="G122" s="63"/>
    </row>
    <row r="123" spans="7:7">
      <c r="G123" s="63"/>
    </row>
    <row r="124" spans="7:7">
      <c r="G124" s="63"/>
    </row>
    <row r="125" spans="7:7">
      <c r="G125" s="63"/>
    </row>
    <row r="126" spans="7:7">
      <c r="G126" s="63"/>
    </row>
    <row r="127" spans="7:7">
      <c r="G127" s="63"/>
    </row>
    <row r="128" spans="7:7">
      <c r="G128" s="63"/>
    </row>
    <row r="129" spans="7:7">
      <c r="G129" s="63"/>
    </row>
    <row r="130" spans="7:7">
      <c r="G130" s="63"/>
    </row>
    <row r="131" spans="7:7">
      <c r="G131" s="63"/>
    </row>
    <row r="132" spans="7:7">
      <c r="G132" s="63"/>
    </row>
    <row r="133" spans="7:7">
      <c r="G133" s="63"/>
    </row>
    <row r="134" spans="7:7">
      <c r="G134" s="63"/>
    </row>
    <row r="135" spans="7:7">
      <c r="G135" s="63"/>
    </row>
    <row r="136" spans="7:7">
      <c r="G136" s="63"/>
    </row>
    <row r="137" spans="7:7">
      <c r="G137" s="63"/>
    </row>
    <row r="138" spans="7:7">
      <c r="G138" s="63"/>
    </row>
    <row r="139" spans="7:7">
      <c r="G139" s="63"/>
    </row>
    <row r="140" spans="7:7">
      <c r="G140" s="63"/>
    </row>
    <row r="141" spans="7:7">
      <c r="G141" s="63"/>
    </row>
    <row r="142" spans="7:7">
      <c r="G142" s="63"/>
    </row>
    <row r="143" spans="7:7">
      <c r="G143" s="63"/>
    </row>
    <row r="144" spans="7:7">
      <c r="G144" s="63"/>
    </row>
    <row r="145" spans="7:7">
      <c r="G145" s="63"/>
    </row>
    <row r="146" spans="7:7">
      <c r="G146" s="63"/>
    </row>
    <row r="147" spans="7:7">
      <c r="G147" s="63"/>
    </row>
    <row r="148" spans="7:7">
      <c r="G148" s="63"/>
    </row>
    <row r="149" spans="7:7">
      <c r="G149" s="63"/>
    </row>
    <row r="150" spans="7:7">
      <c r="G150" s="63"/>
    </row>
    <row r="151" spans="7:7">
      <c r="G151" s="63"/>
    </row>
    <row r="152" spans="7:7">
      <c r="G152" s="63"/>
    </row>
    <row r="153" spans="7:7">
      <c r="G153" s="63"/>
    </row>
    <row r="154" spans="7:7">
      <c r="G154" s="63"/>
    </row>
    <row r="155" spans="7:7">
      <c r="G155" s="63"/>
    </row>
    <row r="156" spans="7:7">
      <c r="G156" s="63"/>
    </row>
    <row r="157" spans="7:7">
      <c r="G157" s="63"/>
    </row>
    <row r="158" spans="7:7">
      <c r="G158" s="63"/>
    </row>
    <row r="159" spans="7:7">
      <c r="G159" s="63"/>
    </row>
    <row r="160" spans="7:7">
      <c r="G160" s="63"/>
    </row>
    <row r="161" spans="7:7">
      <c r="G161" s="63"/>
    </row>
    <row r="162" spans="7:7">
      <c r="G162" s="63"/>
    </row>
    <row r="163" spans="7:7">
      <c r="G163" s="63"/>
    </row>
    <row r="164" spans="7:7">
      <c r="G164" s="63"/>
    </row>
    <row r="165" spans="7:7">
      <c r="G165" s="63"/>
    </row>
    <row r="166" spans="7:7">
      <c r="G166" s="63"/>
    </row>
    <row r="167" spans="7:7">
      <c r="G167" s="63"/>
    </row>
    <row r="168" spans="7:7">
      <c r="G168" s="63"/>
    </row>
    <row r="169" spans="7:7">
      <c r="G169" s="63"/>
    </row>
    <row r="170" spans="7:7">
      <c r="G170" s="63"/>
    </row>
    <row r="171" spans="7:7">
      <c r="G171" s="63"/>
    </row>
    <row r="172" spans="7:7">
      <c r="G172" s="63"/>
    </row>
    <row r="173" spans="7:7">
      <c r="G173" s="63"/>
    </row>
    <row r="174" spans="7:7">
      <c r="G174" s="63"/>
    </row>
    <row r="175" spans="7:7">
      <c r="G175" s="63"/>
    </row>
    <row r="176" spans="7:7">
      <c r="G176" s="63"/>
    </row>
    <row r="177" spans="7:7">
      <c r="G177" s="63"/>
    </row>
    <row r="178" spans="7:7">
      <c r="G178" s="63"/>
    </row>
    <row r="179" spans="7:7">
      <c r="G179" s="63"/>
    </row>
    <row r="180" spans="7:7">
      <c r="G180" s="63"/>
    </row>
    <row r="181" spans="7:7">
      <c r="G181" s="63"/>
    </row>
    <row r="182" spans="7:7">
      <c r="G182" s="63"/>
    </row>
    <row r="183" spans="7:7">
      <c r="G183" s="63"/>
    </row>
    <row r="184" spans="7:7">
      <c r="G184" s="63"/>
    </row>
    <row r="185" spans="7:7">
      <c r="G185" s="63"/>
    </row>
    <row r="186" spans="7:7">
      <c r="G186" s="63"/>
    </row>
    <row r="187" spans="7:7">
      <c r="G187" s="63"/>
    </row>
    <row r="188" spans="7:7">
      <c r="G188" s="63"/>
    </row>
    <row r="189" spans="7:7">
      <c r="G189" s="63"/>
    </row>
    <row r="190" spans="7:7">
      <c r="G190" s="63"/>
    </row>
    <row r="191" spans="7:7">
      <c r="G191" s="63"/>
    </row>
    <row r="192" spans="7:7">
      <c r="G192" s="63"/>
    </row>
    <row r="193" spans="7:7">
      <c r="G193" s="63"/>
    </row>
    <row r="194" spans="7:7">
      <c r="G194" s="63"/>
    </row>
    <row r="195" spans="7:7">
      <c r="G195" s="63"/>
    </row>
    <row r="196" spans="7:7">
      <c r="G196" s="63"/>
    </row>
    <row r="197" spans="7:7">
      <c r="G197" s="63"/>
    </row>
    <row r="198" spans="7:7">
      <c r="G198" s="63"/>
    </row>
    <row r="199" spans="7:7">
      <c r="G199" s="63"/>
    </row>
    <row r="200" spans="7:7">
      <c r="G200" s="63"/>
    </row>
    <row r="201" spans="7:7">
      <c r="G201" s="63"/>
    </row>
    <row r="202" spans="7:7">
      <c r="G202" s="63"/>
    </row>
    <row r="203" spans="7:7">
      <c r="G203" s="63"/>
    </row>
    <row r="204" spans="7:7">
      <c r="G204" s="63"/>
    </row>
    <row r="205" spans="7:7">
      <c r="G205" s="63"/>
    </row>
    <row r="206" spans="7:7">
      <c r="G206" s="63"/>
    </row>
    <row r="207" spans="7:7">
      <c r="G207" s="63"/>
    </row>
    <row r="208" spans="7:7">
      <c r="G208" s="63"/>
    </row>
    <row r="209" spans="7:7">
      <c r="G209" s="63"/>
    </row>
    <row r="210" spans="7:7">
      <c r="G210" s="63"/>
    </row>
    <row r="211" spans="7:7">
      <c r="G211" s="63"/>
    </row>
    <row r="212" spans="7:7">
      <c r="G212" s="63"/>
    </row>
    <row r="213" spans="7:7">
      <c r="G213" s="63"/>
    </row>
    <row r="214" spans="7:7">
      <c r="G214" s="63"/>
    </row>
    <row r="215" spans="7:7">
      <c r="G215" s="63"/>
    </row>
    <row r="216" spans="7:7">
      <c r="G216" s="63"/>
    </row>
    <row r="217" spans="7:7">
      <c r="G217" s="63"/>
    </row>
    <row r="218" spans="7:7">
      <c r="G218" s="63"/>
    </row>
    <row r="219" spans="7:7">
      <c r="G219" s="63"/>
    </row>
    <row r="220" spans="7:7">
      <c r="G220" s="63"/>
    </row>
    <row r="221" spans="7:7">
      <c r="G221" s="63"/>
    </row>
    <row r="222" spans="7:7">
      <c r="G222" s="63"/>
    </row>
    <row r="223" spans="7:7">
      <c r="G223" s="63"/>
    </row>
    <row r="224" spans="7:7">
      <c r="G224" s="63"/>
    </row>
    <row r="225" spans="7:7">
      <c r="G225" s="63"/>
    </row>
    <row r="226" spans="7:7">
      <c r="G226" s="63"/>
    </row>
    <row r="227" spans="7:7">
      <c r="G227" s="63"/>
    </row>
    <row r="228" spans="7:7">
      <c r="G228" s="63"/>
    </row>
    <row r="229" spans="7:7">
      <c r="G229" s="63"/>
    </row>
    <row r="230" spans="7:7">
      <c r="G230" s="63"/>
    </row>
    <row r="231" spans="7:7">
      <c r="G231" s="63"/>
    </row>
    <row r="232" spans="7:7">
      <c r="G232" s="63"/>
    </row>
    <row r="233" spans="7:7">
      <c r="G233" s="63"/>
    </row>
    <row r="234" spans="7:7">
      <c r="G234" s="63"/>
    </row>
    <row r="235" spans="7:7">
      <c r="G235" s="63"/>
    </row>
    <row r="236" spans="7:7">
      <c r="G236" s="63"/>
    </row>
    <row r="237" spans="7:7">
      <c r="G237" s="63"/>
    </row>
    <row r="238" spans="7:7">
      <c r="G238" s="63"/>
    </row>
    <row r="239" spans="7:7">
      <c r="G239" s="63"/>
    </row>
    <row r="240" spans="7:7">
      <c r="G240" s="63"/>
    </row>
    <row r="241" spans="7:7">
      <c r="G241" s="63"/>
    </row>
    <row r="242" spans="7:7">
      <c r="G242" s="63"/>
    </row>
    <row r="243" spans="7:7">
      <c r="G243" s="63"/>
    </row>
    <row r="244" spans="7:7">
      <c r="G244" s="63"/>
    </row>
    <row r="245" spans="7:7">
      <c r="G245" s="63"/>
    </row>
    <row r="246" spans="7:7">
      <c r="G246" s="63"/>
    </row>
    <row r="247" spans="7:7">
      <c r="G247" s="63"/>
    </row>
    <row r="248" spans="7:7">
      <c r="G248" s="63"/>
    </row>
    <row r="249" spans="7:7">
      <c r="G249" s="63"/>
    </row>
    <row r="250" spans="7:7">
      <c r="G250" s="63"/>
    </row>
    <row r="251" spans="7:7">
      <c r="G251" s="63"/>
    </row>
    <row r="252" spans="7:7">
      <c r="G252" s="63"/>
    </row>
    <row r="253" spans="7:7">
      <c r="G253" s="63"/>
    </row>
    <row r="254" spans="7:7">
      <c r="G254" s="63"/>
    </row>
    <row r="255" spans="7:7">
      <c r="G255" s="63"/>
    </row>
    <row r="256" spans="7:7">
      <c r="G256" s="63"/>
    </row>
    <row r="257" spans="7:7">
      <c r="G257" s="63"/>
    </row>
    <row r="258" spans="7:7">
      <c r="G258" s="63"/>
    </row>
    <row r="259" spans="7:7">
      <c r="G259" s="63"/>
    </row>
    <row r="260" spans="7:7">
      <c r="G260" s="63"/>
    </row>
    <row r="261" spans="7:7">
      <c r="G261" s="63"/>
    </row>
    <row r="262" spans="7:7">
      <c r="G262" s="63"/>
    </row>
    <row r="263" spans="7:7">
      <c r="G263" s="63"/>
    </row>
    <row r="264" spans="7:7">
      <c r="G264" s="63"/>
    </row>
    <row r="265" spans="7:7">
      <c r="G265" s="63"/>
    </row>
    <row r="266" spans="7:7">
      <c r="G266" s="63"/>
    </row>
    <row r="267" spans="7:7">
      <c r="G267" s="63"/>
    </row>
    <row r="268" spans="7:7">
      <c r="G268" s="63"/>
    </row>
    <row r="269" spans="7:7">
      <c r="G269" s="63"/>
    </row>
    <row r="270" spans="7:7">
      <c r="G270" s="63"/>
    </row>
    <row r="271" spans="7:7">
      <c r="G271" s="63"/>
    </row>
    <row r="272" spans="7:7">
      <c r="G272" s="63"/>
    </row>
    <row r="273" spans="7:7">
      <c r="G273" s="63"/>
    </row>
    <row r="274" spans="7:7">
      <c r="G274" s="63"/>
    </row>
    <row r="275" spans="7:7">
      <c r="G275" s="63"/>
    </row>
    <row r="276" spans="7:7">
      <c r="G276" s="63"/>
    </row>
    <row r="277" spans="7:7">
      <c r="G277" s="63"/>
    </row>
    <row r="278" spans="7:7">
      <c r="G278" s="63"/>
    </row>
    <row r="279" spans="7:7">
      <c r="G279" s="63"/>
    </row>
    <row r="280" spans="7:7">
      <c r="G280" s="63"/>
    </row>
    <row r="281" spans="7:7">
      <c r="G281" s="63"/>
    </row>
    <row r="282" spans="7:7">
      <c r="G282" s="63"/>
    </row>
    <row r="283" spans="7:7">
      <c r="G283" s="63"/>
    </row>
    <row r="284" spans="7:7">
      <c r="G284" s="63"/>
    </row>
    <row r="285" spans="7:7">
      <c r="G285" s="63"/>
    </row>
    <row r="286" spans="7:7">
      <c r="G286" s="63"/>
    </row>
    <row r="287" spans="7:7">
      <c r="G287" s="63"/>
    </row>
    <row r="288" spans="7:7">
      <c r="G288" s="63"/>
    </row>
    <row r="289" spans="7:7">
      <c r="G289" s="63"/>
    </row>
    <row r="290" spans="7:7">
      <c r="G290" s="63"/>
    </row>
    <row r="291" spans="7:7">
      <c r="G291" s="63"/>
    </row>
    <row r="292" spans="7:7">
      <c r="G292" s="63"/>
    </row>
    <row r="293" spans="7:7">
      <c r="G293" s="63"/>
    </row>
    <row r="294" spans="7:7">
      <c r="G294" s="63"/>
    </row>
    <row r="295" spans="7:7">
      <c r="G295" s="63"/>
    </row>
    <row r="296" spans="7:7">
      <c r="G296" s="63"/>
    </row>
    <row r="297" spans="7:7">
      <c r="G297" s="63"/>
    </row>
    <row r="298" spans="7:7">
      <c r="G298" s="63"/>
    </row>
    <row r="299" spans="7:7">
      <c r="G299" s="63"/>
    </row>
    <row r="300" spans="7:7">
      <c r="G300" s="63"/>
    </row>
    <row r="301" spans="7:7">
      <c r="G301" s="63"/>
    </row>
    <row r="302" spans="7:7">
      <c r="G302" s="63"/>
    </row>
    <row r="303" spans="7:7">
      <c r="G303" s="63"/>
    </row>
    <row r="304" spans="7:7">
      <c r="G304" s="63"/>
    </row>
    <row r="305" spans="7:7">
      <c r="G305" s="63"/>
    </row>
    <row r="306" spans="7:7">
      <c r="G306" s="63"/>
    </row>
    <row r="307" spans="7:7">
      <c r="G307" s="63"/>
    </row>
    <row r="308" spans="7:7">
      <c r="G308" s="63"/>
    </row>
    <row r="309" spans="7:7">
      <c r="G309" s="63"/>
    </row>
    <row r="310" spans="7:7">
      <c r="G310" s="63"/>
    </row>
    <row r="311" spans="7:7">
      <c r="G311" s="63"/>
    </row>
    <row r="312" spans="7:7">
      <c r="G312" s="63"/>
    </row>
    <row r="313" spans="7:7">
      <c r="G313" s="63"/>
    </row>
    <row r="314" spans="7:7">
      <c r="G314" s="63"/>
    </row>
    <row r="315" spans="7:7">
      <c r="G315" s="63"/>
    </row>
    <row r="316" spans="7:7">
      <c r="G316" s="63"/>
    </row>
    <row r="317" spans="7:7">
      <c r="G317" s="63"/>
    </row>
    <row r="318" spans="7:7">
      <c r="G318" s="63"/>
    </row>
    <row r="319" spans="7:7">
      <c r="G319" s="63"/>
    </row>
    <row r="320" spans="7:7">
      <c r="G320" s="63"/>
    </row>
    <row r="321" spans="7:7">
      <c r="G321" s="63"/>
    </row>
    <row r="322" spans="7:7">
      <c r="G322" s="63"/>
    </row>
    <row r="323" spans="7:7">
      <c r="G323" s="63"/>
    </row>
    <row r="324" spans="7:7">
      <c r="G324" s="63"/>
    </row>
    <row r="325" spans="7:7">
      <c r="G325" s="63"/>
    </row>
    <row r="326" spans="7:7">
      <c r="G326" s="63"/>
    </row>
    <row r="327" spans="7:7">
      <c r="G327" s="63"/>
    </row>
    <row r="328" spans="7:7">
      <c r="G328" s="63"/>
    </row>
    <row r="329" spans="7:7">
      <c r="G329" s="63"/>
    </row>
    <row r="330" spans="7:7">
      <c r="G330" s="63"/>
    </row>
    <row r="331" spans="7:7">
      <c r="G331" s="63"/>
    </row>
    <row r="332" spans="7:7">
      <c r="G332" s="63"/>
    </row>
    <row r="333" spans="7:7">
      <c r="G333" s="63"/>
    </row>
    <row r="334" spans="7:7">
      <c r="G334" s="63"/>
    </row>
    <row r="335" spans="7:7">
      <c r="G335" s="63"/>
    </row>
    <row r="336" spans="7:7">
      <c r="G336" s="63"/>
    </row>
    <row r="337" spans="7:7">
      <c r="G337" s="63"/>
    </row>
    <row r="338" spans="7:7">
      <c r="G338" s="63"/>
    </row>
    <row r="339" spans="7:7">
      <c r="G339" s="63"/>
    </row>
    <row r="340" spans="7:7">
      <c r="G340" s="63"/>
    </row>
    <row r="341" spans="7:7">
      <c r="G341" s="63"/>
    </row>
    <row r="342" spans="7:7">
      <c r="G342" s="63"/>
    </row>
    <row r="343" spans="7:7">
      <c r="G343" s="63"/>
    </row>
    <row r="344" spans="7:7">
      <c r="G344" s="63"/>
    </row>
    <row r="345" spans="7:7">
      <c r="G345" s="63"/>
    </row>
    <row r="346" spans="7:7">
      <c r="G346" s="63"/>
    </row>
    <row r="347" spans="7:7">
      <c r="G347" s="63"/>
    </row>
    <row r="348" spans="7:7">
      <c r="G348" s="63"/>
    </row>
    <row r="349" spans="7:7">
      <c r="G349" s="63"/>
    </row>
    <row r="350" spans="7:7">
      <c r="G350" s="63"/>
    </row>
    <row r="351" spans="7:7">
      <c r="G351" s="63"/>
    </row>
    <row r="352" spans="7:7">
      <c r="G352" s="63"/>
    </row>
    <row r="353" spans="7:7">
      <c r="G353" s="63"/>
    </row>
    <row r="354" spans="7:7">
      <c r="G354" s="63"/>
    </row>
    <row r="355" spans="7:7">
      <c r="G355" s="63"/>
    </row>
    <row r="356" spans="7:7">
      <c r="G356" s="63"/>
    </row>
    <row r="357" spans="7:7">
      <c r="G357" s="63"/>
    </row>
    <row r="358" spans="7:7">
      <c r="G358" s="63"/>
    </row>
    <row r="359" spans="7:7">
      <c r="G359" s="63"/>
    </row>
    <row r="360" spans="7:7">
      <c r="G360" s="63"/>
    </row>
    <row r="361" spans="7:7">
      <c r="G361" s="63"/>
    </row>
    <row r="362" spans="7:7">
      <c r="G362" s="63"/>
    </row>
    <row r="363" spans="7:7">
      <c r="G363" s="63"/>
    </row>
    <row r="364" spans="7:7">
      <c r="G364" s="63"/>
    </row>
    <row r="365" spans="7:7">
      <c r="G365" s="63"/>
    </row>
    <row r="366" spans="7:7">
      <c r="G366" s="63"/>
    </row>
    <row r="367" spans="7:7">
      <c r="G367" s="63"/>
    </row>
    <row r="368" spans="7:7">
      <c r="G368" s="63"/>
    </row>
    <row r="369" spans="7:7">
      <c r="G369" s="63"/>
    </row>
    <row r="370" spans="7:7">
      <c r="G370" s="63"/>
    </row>
    <row r="371" spans="7:7">
      <c r="G371" s="63"/>
    </row>
    <row r="372" spans="7:7">
      <c r="G372" s="63"/>
    </row>
    <row r="373" spans="7:7">
      <c r="G373" s="63"/>
    </row>
    <row r="374" spans="7:7">
      <c r="G374" s="63"/>
    </row>
    <row r="375" spans="7:7">
      <c r="G375" s="63"/>
    </row>
    <row r="376" spans="7:7">
      <c r="G376" s="63"/>
    </row>
    <row r="377" spans="7:7">
      <c r="G377" s="63"/>
    </row>
    <row r="378" spans="7:7">
      <c r="G378" s="63"/>
    </row>
    <row r="379" spans="7:7">
      <c r="G379" s="63"/>
    </row>
    <row r="380" spans="7:7">
      <c r="G380" s="63"/>
    </row>
    <row r="381" spans="7:7">
      <c r="G381" s="63"/>
    </row>
    <row r="382" spans="7:7">
      <c r="G382" s="63"/>
    </row>
    <row r="383" spans="7:7">
      <c r="G383" s="63"/>
    </row>
    <row r="384" spans="7:7">
      <c r="G384" s="63"/>
    </row>
    <row r="385" spans="7:7">
      <c r="G385" s="63"/>
    </row>
    <row r="386" spans="7:7">
      <c r="G386" s="63"/>
    </row>
    <row r="387" spans="7:7">
      <c r="G387" s="63"/>
    </row>
    <row r="388" spans="7:7">
      <c r="G388" s="63"/>
    </row>
    <row r="389" spans="7:7">
      <c r="G389" s="63"/>
    </row>
    <row r="390" spans="7:7">
      <c r="G390" s="63"/>
    </row>
    <row r="391" spans="7:7">
      <c r="G391" s="63"/>
    </row>
    <row r="392" spans="7:7">
      <c r="G392" s="63"/>
    </row>
    <row r="393" spans="7:7">
      <c r="G393" s="63"/>
    </row>
    <row r="394" spans="7:7">
      <c r="G394" s="63"/>
    </row>
    <row r="395" spans="7:7">
      <c r="G395" s="63"/>
    </row>
    <row r="396" spans="7:7">
      <c r="G396" s="63"/>
    </row>
    <row r="397" spans="7:7">
      <c r="G397" s="63"/>
    </row>
    <row r="398" spans="7:7">
      <c r="G398" s="63"/>
    </row>
    <row r="399" spans="7:7">
      <c r="G399" s="63"/>
    </row>
    <row r="400" spans="7:7">
      <c r="G400" s="63"/>
    </row>
    <row r="401" spans="7:7">
      <c r="G401" s="63"/>
    </row>
    <row r="402" spans="7:7">
      <c r="G402" s="63"/>
    </row>
    <row r="403" spans="7:7">
      <c r="G403" s="63"/>
    </row>
    <row r="404" spans="7:7">
      <c r="G404" s="63"/>
    </row>
    <row r="405" spans="7:7">
      <c r="G405" s="63"/>
    </row>
    <row r="406" spans="7:7">
      <c r="G406" s="63"/>
    </row>
    <row r="407" spans="7:7">
      <c r="G407" s="63"/>
    </row>
    <row r="408" spans="7:7">
      <c r="G408" s="63"/>
    </row>
    <row r="409" spans="7:7">
      <c r="G409" s="63"/>
    </row>
    <row r="410" spans="7:7">
      <c r="G410" s="63"/>
    </row>
    <row r="411" spans="7:7">
      <c r="G411" s="63"/>
    </row>
    <row r="412" spans="7:7">
      <c r="G412" s="63"/>
    </row>
    <row r="413" spans="7:7">
      <c r="G413" s="63"/>
    </row>
    <row r="414" spans="7:7">
      <c r="G414" s="63"/>
    </row>
    <row r="415" spans="7:7">
      <c r="G415" s="63"/>
    </row>
    <row r="416" spans="7:7">
      <c r="G416" s="63"/>
    </row>
    <row r="417" spans="7:7">
      <c r="G417" s="63"/>
    </row>
    <row r="418" spans="7:7">
      <c r="G418" s="63"/>
    </row>
    <row r="419" spans="7:7">
      <c r="G419" s="63"/>
    </row>
    <row r="420" spans="7:7">
      <c r="G420" s="63"/>
    </row>
    <row r="421" spans="7:7">
      <c r="G421" s="63"/>
    </row>
    <row r="422" spans="7:7">
      <c r="G422" s="63"/>
    </row>
    <row r="423" spans="7:7">
      <c r="G423" s="63"/>
    </row>
    <row r="424" spans="7:7">
      <c r="G424" s="63"/>
    </row>
    <row r="425" spans="7:7">
      <c r="G425" s="63"/>
    </row>
    <row r="426" spans="7:7">
      <c r="G426" s="63"/>
    </row>
    <row r="427" spans="7:7">
      <c r="G427" s="63"/>
    </row>
    <row r="428" spans="7:7">
      <c r="G428" s="63"/>
    </row>
    <row r="429" spans="7:7">
      <c r="G429" s="63"/>
    </row>
    <row r="430" spans="7:7">
      <c r="G430" s="63"/>
    </row>
    <row r="431" spans="7:7">
      <c r="G431" s="63"/>
    </row>
    <row r="432" spans="7:7">
      <c r="G432" s="63"/>
    </row>
    <row r="433" spans="7:7">
      <c r="G433" s="63"/>
    </row>
    <row r="434" spans="7:7">
      <c r="G434" s="63"/>
    </row>
    <row r="435" spans="7:7">
      <c r="G435" s="63"/>
    </row>
    <row r="436" spans="7:7">
      <c r="G436" s="63"/>
    </row>
    <row r="437" spans="7:7">
      <c r="G437" s="63"/>
    </row>
    <row r="438" spans="7:7">
      <c r="G438" s="63"/>
    </row>
    <row r="439" spans="7:7">
      <c r="G439" s="63"/>
    </row>
    <row r="440" spans="7:7">
      <c r="G440" s="63"/>
    </row>
    <row r="441" spans="7:7">
      <c r="G441" s="63"/>
    </row>
    <row r="442" spans="7:7">
      <c r="G442" s="63"/>
    </row>
    <row r="443" spans="7:7">
      <c r="G443" s="63"/>
    </row>
    <row r="444" spans="7:7">
      <c r="G444" s="63"/>
    </row>
    <row r="445" spans="7:7">
      <c r="G445" s="63"/>
    </row>
    <row r="446" spans="7:7">
      <c r="G446" s="63"/>
    </row>
    <row r="447" spans="7:7">
      <c r="G447" s="63"/>
    </row>
    <row r="448" spans="7:7">
      <c r="G448" s="63"/>
    </row>
    <row r="449" spans="7:7">
      <c r="G449" s="63"/>
    </row>
    <row r="450" spans="7:7">
      <c r="G450" s="63"/>
    </row>
    <row r="451" spans="7:7">
      <c r="G451" s="63"/>
    </row>
    <row r="452" spans="7:7">
      <c r="G452" s="63"/>
    </row>
    <row r="453" spans="7:7">
      <c r="G453" s="63"/>
    </row>
    <row r="454" spans="7:7">
      <c r="G454" s="63"/>
    </row>
    <row r="455" spans="7:7">
      <c r="G455" s="63"/>
    </row>
    <row r="456" spans="7:7">
      <c r="G456" s="63"/>
    </row>
    <row r="457" spans="7:7">
      <c r="G457" s="63"/>
    </row>
    <row r="458" spans="7:7">
      <c r="G458" s="63"/>
    </row>
    <row r="459" spans="7:7">
      <c r="G459" s="63"/>
    </row>
    <row r="460" spans="7:7">
      <c r="G460" s="63"/>
    </row>
    <row r="461" spans="7:7">
      <c r="G461" s="63"/>
    </row>
    <row r="462" spans="7:7">
      <c r="G462" s="63"/>
    </row>
    <row r="463" spans="7:7">
      <c r="G463" s="63"/>
    </row>
    <row r="464" spans="7:7">
      <c r="G464" s="63"/>
    </row>
    <row r="465" spans="7:7">
      <c r="G465" s="63"/>
    </row>
    <row r="466" spans="7:7">
      <c r="G466" s="63"/>
    </row>
    <row r="467" spans="7:7">
      <c r="G467" s="63"/>
    </row>
    <row r="468" spans="7:7">
      <c r="G468" s="63"/>
    </row>
    <row r="469" spans="7:7">
      <c r="G469" s="63"/>
    </row>
    <row r="470" spans="7:7">
      <c r="G470" s="63"/>
    </row>
    <row r="471" spans="7:7">
      <c r="G471" s="63"/>
    </row>
    <row r="472" spans="7:7">
      <c r="G472" s="63"/>
    </row>
    <row r="473" spans="7:7">
      <c r="G473" s="63"/>
    </row>
    <row r="474" spans="7:7">
      <c r="G474" s="63"/>
    </row>
    <row r="475" spans="7:7">
      <c r="G475" s="63"/>
    </row>
    <row r="476" spans="7:7">
      <c r="G476" s="63"/>
    </row>
    <row r="477" spans="7:7">
      <c r="G477" s="63"/>
    </row>
    <row r="478" spans="7:7">
      <c r="G478" s="63"/>
    </row>
    <row r="479" spans="7:7">
      <c r="G479" s="63"/>
    </row>
    <row r="480" spans="7:7">
      <c r="G480" s="63"/>
    </row>
    <row r="481" spans="7:7">
      <c r="G481" s="63"/>
    </row>
    <row r="482" spans="7:7">
      <c r="G482" s="63"/>
    </row>
    <row r="483" spans="7:7">
      <c r="G483" s="63"/>
    </row>
    <row r="484" spans="7:7">
      <c r="G484" s="63"/>
    </row>
    <row r="485" spans="7:7">
      <c r="G485" s="63"/>
    </row>
    <row r="486" spans="7:7">
      <c r="G486" s="63"/>
    </row>
    <row r="487" spans="7:7">
      <c r="G487" s="63"/>
    </row>
    <row r="488" spans="7:7">
      <c r="G488" s="63"/>
    </row>
    <row r="489" spans="7:7">
      <c r="G489" s="63"/>
    </row>
    <row r="490" spans="7:7">
      <c r="G490" s="63"/>
    </row>
    <row r="491" spans="7:7">
      <c r="G491" s="63"/>
    </row>
    <row r="492" spans="7:7">
      <c r="G492" s="63"/>
    </row>
    <row r="493" spans="7:7">
      <c r="G493" s="63"/>
    </row>
    <row r="494" spans="7:7">
      <c r="G494" s="63"/>
    </row>
    <row r="495" spans="7:7">
      <c r="G495" s="63"/>
    </row>
    <row r="496" spans="7:7">
      <c r="G496" s="63"/>
    </row>
    <row r="497" spans="7:7">
      <c r="G497" s="63"/>
    </row>
    <row r="498" spans="7:7">
      <c r="G498" s="63"/>
    </row>
    <row r="499" spans="7:7">
      <c r="G499" s="63"/>
    </row>
    <row r="500" spans="7:7">
      <c r="G500" s="63"/>
    </row>
    <row r="501" spans="7:7">
      <c r="G501" s="63"/>
    </row>
    <row r="502" spans="7:7">
      <c r="G502" s="63"/>
    </row>
    <row r="503" spans="7:7">
      <c r="G503" s="63"/>
    </row>
    <row r="504" spans="7:7">
      <c r="G504" s="63"/>
    </row>
    <row r="505" spans="7:7">
      <c r="G505" s="63"/>
    </row>
    <row r="506" spans="7:7">
      <c r="G506" s="63"/>
    </row>
    <row r="507" spans="7:7">
      <c r="G507" s="63"/>
    </row>
    <row r="508" spans="7:7">
      <c r="G508" s="63"/>
    </row>
    <row r="509" spans="7:7">
      <c r="G509" s="63"/>
    </row>
    <row r="510" spans="7:7">
      <c r="G510" s="63"/>
    </row>
    <row r="511" spans="7:7">
      <c r="G511" s="63"/>
    </row>
    <row r="512" spans="7:7">
      <c r="G512" s="63"/>
    </row>
    <row r="513" spans="7:7">
      <c r="G513" s="63"/>
    </row>
    <row r="514" spans="7:7">
      <c r="G514" s="63"/>
    </row>
    <row r="515" spans="7:7">
      <c r="G515" s="63"/>
    </row>
    <row r="516" spans="7:7">
      <c r="G516" s="63"/>
    </row>
    <row r="517" spans="7:7">
      <c r="G517" s="63"/>
    </row>
    <row r="518" spans="7:7">
      <c r="G518" s="63"/>
    </row>
    <row r="519" spans="7:7">
      <c r="G519" s="63"/>
    </row>
    <row r="520" spans="7:7">
      <c r="G520" s="63"/>
    </row>
    <row r="521" spans="7:7">
      <c r="G521" s="63"/>
    </row>
    <row r="522" spans="7:7">
      <c r="G522" s="63"/>
    </row>
    <row r="523" spans="7:7">
      <c r="G523" s="63"/>
    </row>
    <row r="524" spans="7:7">
      <c r="G524" s="63"/>
    </row>
    <row r="525" spans="7:7">
      <c r="G525" s="63"/>
    </row>
    <row r="526" spans="7:7">
      <c r="G526" s="63"/>
    </row>
    <row r="527" spans="7:7">
      <c r="G527" s="63"/>
    </row>
    <row r="528" spans="7:7">
      <c r="G528" s="63"/>
    </row>
    <row r="529" spans="7:7">
      <c r="G529" s="63"/>
    </row>
    <row r="530" spans="7:7">
      <c r="G530" s="63"/>
    </row>
    <row r="531" spans="7:7">
      <c r="G531" s="63"/>
    </row>
    <row r="532" spans="7:7">
      <c r="G532" s="63"/>
    </row>
    <row r="533" spans="7:7">
      <c r="G533" s="63"/>
    </row>
    <row r="534" spans="7:7">
      <c r="G534" s="63"/>
    </row>
    <row r="535" spans="7:7">
      <c r="G535" s="63"/>
    </row>
    <row r="536" spans="7:7">
      <c r="G536" s="63"/>
    </row>
    <row r="537" spans="7:7">
      <c r="G537" s="63"/>
    </row>
    <row r="538" spans="7:7">
      <c r="G538" s="63"/>
    </row>
    <row r="539" spans="7:7">
      <c r="G539" s="63"/>
    </row>
    <row r="540" spans="7:7">
      <c r="G540" s="63"/>
    </row>
    <row r="541" spans="7:7">
      <c r="G541" s="63"/>
    </row>
    <row r="542" spans="7:7">
      <c r="G542" s="63"/>
    </row>
    <row r="543" spans="7:7">
      <c r="G543" s="63"/>
    </row>
    <row r="544" spans="7:7">
      <c r="G544" s="63"/>
    </row>
    <row r="545" spans="7:7">
      <c r="G545" s="63"/>
    </row>
    <row r="546" spans="7:7">
      <c r="G546" s="63"/>
    </row>
    <row r="547" spans="7:7">
      <c r="G547" s="63"/>
    </row>
    <row r="548" spans="7:7">
      <c r="G548" s="63"/>
    </row>
    <row r="549" spans="7:7">
      <c r="G549" s="63"/>
    </row>
    <row r="550" spans="7:7">
      <c r="G550" s="63"/>
    </row>
    <row r="551" spans="7:7">
      <c r="G551" s="63"/>
    </row>
    <row r="552" spans="7:7">
      <c r="G552" s="63"/>
    </row>
    <row r="553" spans="7:7">
      <c r="G553" s="63"/>
    </row>
    <row r="554" spans="7:7">
      <c r="G554" s="63"/>
    </row>
    <row r="555" spans="7:7">
      <c r="G555" s="63"/>
    </row>
    <row r="556" spans="7:7">
      <c r="G556" s="63"/>
    </row>
    <row r="557" spans="7:7">
      <c r="G557" s="63"/>
    </row>
    <row r="558" spans="7:7">
      <c r="G558" s="63"/>
    </row>
    <row r="559" spans="7:7">
      <c r="G559" s="63"/>
    </row>
    <row r="560" spans="7:7">
      <c r="G560" s="63"/>
    </row>
    <row r="561" spans="7:7">
      <c r="G561" s="63"/>
    </row>
    <row r="562" spans="7:7">
      <c r="G562" s="63"/>
    </row>
    <row r="563" spans="7:7">
      <c r="G563" s="63"/>
    </row>
    <row r="564" spans="7:7">
      <c r="G564" s="63"/>
    </row>
    <row r="565" spans="7:7">
      <c r="G565" s="63"/>
    </row>
    <row r="566" spans="7:7">
      <c r="G566" s="63"/>
    </row>
    <row r="567" spans="7:7">
      <c r="G567" s="63"/>
    </row>
    <row r="568" spans="7:7">
      <c r="G568" s="63"/>
    </row>
    <row r="569" spans="7:7">
      <c r="G569" s="63"/>
    </row>
    <row r="570" spans="7:7">
      <c r="G570" s="63"/>
    </row>
    <row r="571" spans="7:7">
      <c r="G571" s="63"/>
    </row>
    <row r="572" spans="7:7">
      <c r="G572" s="63"/>
    </row>
    <row r="573" spans="7:7">
      <c r="G573" s="63"/>
    </row>
    <row r="574" spans="7:7">
      <c r="G574" s="63"/>
    </row>
    <row r="575" spans="7:7">
      <c r="G575" s="63"/>
    </row>
    <row r="576" spans="7:7">
      <c r="G576" s="63"/>
    </row>
    <row r="577" spans="7:7">
      <c r="G577" s="63"/>
    </row>
    <row r="578" spans="7:7">
      <c r="G578" s="63"/>
    </row>
    <row r="579" spans="7:7">
      <c r="G579" s="63"/>
    </row>
    <row r="580" spans="7:7">
      <c r="G580" s="63"/>
    </row>
    <row r="581" spans="7:7">
      <c r="G581" s="63"/>
    </row>
    <row r="582" spans="7:7">
      <c r="G582" s="63"/>
    </row>
    <row r="583" spans="7:7">
      <c r="G583" s="63"/>
    </row>
    <row r="584" spans="7:7">
      <c r="G584" s="63"/>
    </row>
    <row r="585" spans="7:7">
      <c r="G585" s="63"/>
    </row>
    <row r="586" spans="7:7">
      <c r="G586" s="63"/>
    </row>
    <row r="587" spans="7:7">
      <c r="G587" s="63"/>
    </row>
    <row r="588" spans="7:7">
      <c r="G588" s="63"/>
    </row>
    <row r="589" spans="7:7">
      <c r="G589" s="63"/>
    </row>
    <row r="590" spans="7:7">
      <c r="G590" s="63"/>
    </row>
    <row r="591" spans="7:7">
      <c r="G591" s="63"/>
    </row>
    <row r="592" spans="7:7">
      <c r="G592" s="63"/>
    </row>
    <row r="593" spans="7:7">
      <c r="G593" s="63"/>
    </row>
    <row r="594" spans="7:7">
      <c r="G594" s="63"/>
    </row>
    <row r="595" spans="7:7">
      <c r="G595" s="63"/>
    </row>
    <row r="596" spans="7:7">
      <c r="G596" s="63"/>
    </row>
    <row r="597" spans="7:7">
      <c r="G597" s="63"/>
    </row>
    <row r="598" spans="7:7">
      <c r="G598" s="63"/>
    </row>
    <row r="599" spans="7:7">
      <c r="G599" s="63"/>
    </row>
    <row r="600" spans="7:7">
      <c r="G600" s="63"/>
    </row>
    <row r="601" spans="7:7">
      <c r="G601" s="63"/>
    </row>
    <row r="602" spans="7:7">
      <c r="G602" s="63"/>
    </row>
    <row r="603" spans="7:7">
      <c r="G603" s="63"/>
    </row>
    <row r="604" spans="7:7">
      <c r="G604" s="63"/>
    </row>
    <row r="605" spans="7:7">
      <c r="G605" s="63"/>
    </row>
    <row r="606" spans="7:7">
      <c r="G606" s="63"/>
    </row>
    <row r="607" spans="7:7">
      <c r="G607" s="63"/>
    </row>
    <row r="608" spans="7:7">
      <c r="G608" s="63"/>
    </row>
    <row r="609" spans="7:7">
      <c r="G609" s="63"/>
    </row>
    <row r="610" spans="7:7">
      <c r="G610" s="63"/>
    </row>
    <row r="611" spans="7:7">
      <c r="G611" s="63"/>
    </row>
    <row r="612" spans="7:7">
      <c r="G612" s="63"/>
    </row>
    <row r="613" spans="7:7">
      <c r="G613" s="63"/>
    </row>
    <row r="614" spans="7:7">
      <c r="G614" s="63"/>
    </row>
    <row r="615" spans="7:7">
      <c r="G615" s="63"/>
    </row>
    <row r="616" spans="7:7">
      <c r="G616" s="63"/>
    </row>
    <row r="617" spans="7:7">
      <c r="G617" s="63"/>
    </row>
    <row r="618" spans="7:7">
      <c r="G618" s="63"/>
    </row>
    <row r="619" spans="7:7">
      <c r="G619" s="63"/>
    </row>
    <row r="620" spans="7:7">
      <c r="G620" s="63"/>
    </row>
    <row r="621" spans="7:7">
      <c r="G621" s="63"/>
    </row>
    <row r="622" spans="7:7">
      <c r="G622" s="63"/>
    </row>
    <row r="623" spans="7:7">
      <c r="G623" s="63"/>
    </row>
    <row r="624" spans="7:7">
      <c r="G624" s="63"/>
    </row>
    <row r="625" spans="7:7">
      <c r="G625" s="63"/>
    </row>
    <row r="626" spans="7:7">
      <c r="G626" s="63"/>
    </row>
    <row r="627" spans="7:7">
      <c r="G627" s="63"/>
    </row>
    <row r="628" spans="7:7">
      <c r="G628" s="63"/>
    </row>
    <row r="629" spans="7:7">
      <c r="G629" s="63"/>
    </row>
    <row r="630" spans="7:7">
      <c r="G630" s="63"/>
    </row>
    <row r="631" spans="7:7">
      <c r="G631" s="63"/>
    </row>
    <row r="632" spans="7:7">
      <c r="G632" s="63"/>
    </row>
    <row r="633" spans="7:7">
      <c r="G633" s="63"/>
    </row>
    <row r="634" spans="7:7">
      <c r="G634" s="63"/>
    </row>
    <row r="635" spans="7:7">
      <c r="G635" s="63"/>
    </row>
    <row r="636" spans="7:7">
      <c r="G636" s="63"/>
    </row>
    <row r="637" spans="7:7">
      <c r="G637" s="63"/>
    </row>
    <row r="638" spans="7:7">
      <c r="G638" s="63"/>
    </row>
    <row r="639" spans="7:7">
      <c r="G639" s="63"/>
    </row>
    <row r="640" spans="7:7">
      <c r="G640" s="63"/>
    </row>
    <row r="641" spans="7:7">
      <c r="G641" s="63"/>
    </row>
    <row r="642" spans="7:7">
      <c r="G642" s="63"/>
    </row>
    <row r="643" spans="7:7">
      <c r="G643" s="63"/>
    </row>
    <row r="644" spans="7:7">
      <c r="G644" s="63"/>
    </row>
    <row r="645" spans="7:7">
      <c r="G645" s="63"/>
    </row>
    <row r="646" spans="7:7">
      <c r="G646" s="63"/>
    </row>
    <row r="647" spans="7:7">
      <c r="G647" s="63"/>
    </row>
    <row r="648" spans="7:7">
      <c r="G648" s="63"/>
    </row>
    <row r="649" spans="7:7">
      <c r="G649" s="63"/>
    </row>
    <row r="650" spans="7:7">
      <c r="G650" s="63"/>
    </row>
    <row r="651" spans="7:7">
      <c r="G651" s="63"/>
    </row>
    <row r="652" spans="7:7">
      <c r="G652" s="63"/>
    </row>
    <row r="653" spans="7:7">
      <c r="G653" s="63"/>
    </row>
    <row r="654" spans="7:7">
      <c r="G654" s="63"/>
    </row>
    <row r="655" spans="7:7">
      <c r="G655" s="63"/>
    </row>
    <row r="656" spans="7:7">
      <c r="G656" s="63"/>
    </row>
    <row r="657" spans="7:7">
      <c r="G657" s="63"/>
    </row>
    <row r="658" spans="7:7">
      <c r="G658" s="63"/>
    </row>
    <row r="659" spans="7:7">
      <c r="G659" s="63"/>
    </row>
    <row r="660" spans="7:7">
      <c r="G660" s="63"/>
    </row>
    <row r="661" spans="7:7">
      <c r="G661" s="63"/>
    </row>
    <row r="662" spans="7:7">
      <c r="G662" s="63"/>
    </row>
    <row r="663" spans="7:7">
      <c r="G663" s="63"/>
    </row>
    <row r="664" spans="7:7">
      <c r="G664" s="63"/>
    </row>
    <row r="665" spans="7:7">
      <c r="G665" s="63"/>
    </row>
    <row r="666" spans="7:7">
      <c r="G666" s="63"/>
    </row>
    <row r="667" spans="7:7">
      <c r="G667" s="63"/>
    </row>
    <row r="668" spans="7:7">
      <c r="G668" s="63"/>
    </row>
    <row r="669" spans="7:7">
      <c r="G669" s="63"/>
    </row>
    <row r="670" spans="7:7">
      <c r="G670" s="63"/>
    </row>
    <row r="671" spans="7:7">
      <c r="G671" s="63"/>
    </row>
    <row r="672" spans="7:7">
      <c r="G672" s="63"/>
    </row>
    <row r="673" spans="7:7">
      <c r="G673" s="63"/>
    </row>
    <row r="674" spans="7:7">
      <c r="G674" s="63"/>
    </row>
    <row r="675" spans="7:7">
      <c r="G675" s="63"/>
    </row>
    <row r="676" spans="7:7">
      <c r="G676" s="63"/>
    </row>
    <row r="677" spans="7:7">
      <c r="G677" s="63"/>
    </row>
    <row r="678" spans="7:7">
      <c r="G678" s="63"/>
    </row>
    <row r="679" spans="7:7">
      <c r="G679" s="63"/>
    </row>
    <row r="680" spans="7:7">
      <c r="G680" s="63"/>
    </row>
    <row r="681" spans="7:7">
      <c r="G681" s="63"/>
    </row>
    <row r="682" spans="7:7">
      <c r="G682" s="63"/>
    </row>
    <row r="683" spans="7:7">
      <c r="G683" s="63"/>
    </row>
    <row r="684" spans="7:7">
      <c r="G684" s="63"/>
    </row>
    <row r="685" spans="7:7">
      <c r="G685" s="63"/>
    </row>
    <row r="686" spans="7:7">
      <c r="G686" s="63"/>
    </row>
    <row r="687" spans="7:7">
      <c r="G687" s="63"/>
    </row>
    <row r="688" spans="7:7">
      <c r="G688" s="63"/>
    </row>
    <row r="689" spans="7:7">
      <c r="G689" s="63"/>
    </row>
    <row r="690" spans="7:7">
      <c r="G690" s="63"/>
    </row>
    <row r="691" spans="7:7">
      <c r="G691" s="63"/>
    </row>
    <row r="692" spans="7:7">
      <c r="G692" s="63"/>
    </row>
    <row r="693" spans="7:7">
      <c r="G693" s="63"/>
    </row>
    <row r="694" spans="7:7">
      <c r="G694" s="63"/>
    </row>
    <row r="695" spans="7:7">
      <c r="G695" s="63"/>
    </row>
    <row r="696" spans="7:7">
      <c r="G696" s="63"/>
    </row>
    <row r="697" spans="7:7">
      <c r="G697" s="63"/>
    </row>
    <row r="698" spans="7:7">
      <c r="G698" s="63"/>
    </row>
    <row r="699" spans="7:7">
      <c r="G699" s="63"/>
    </row>
    <row r="700" spans="7:7">
      <c r="G700" s="63"/>
    </row>
    <row r="701" spans="7:7">
      <c r="G701" s="63"/>
    </row>
    <row r="702" spans="7:7">
      <c r="G702" s="63"/>
    </row>
    <row r="703" spans="7:7">
      <c r="G703" s="63"/>
    </row>
    <row r="704" spans="7:7">
      <c r="G704" s="63"/>
    </row>
    <row r="705" spans="7:7">
      <c r="G705" s="63"/>
    </row>
    <row r="706" spans="7:7">
      <c r="G706" s="63"/>
    </row>
    <row r="707" spans="7:7">
      <c r="G707" s="63"/>
    </row>
    <row r="708" spans="7:7">
      <c r="G708" s="63"/>
    </row>
    <row r="709" spans="7:7">
      <c r="G709" s="63"/>
    </row>
    <row r="710" spans="7:7">
      <c r="G710" s="63"/>
    </row>
    <row r="711" spans="7:7">
      <c r="G711" s="63"/>
    </row>
    <row r="712" spans="7:7">
      <c r="G712" s="63"/>
    </row>
    <row r="713" spans="7:7">
      <c r="G713" s="63"/>
    </row>
    <row r="714" spans="7:7">
      <c r="G714" s="63"/>
    </row>
    <row r="715" spans="7:7">
      <c r="G715" s="63"/>
    </row>
    <row r="716" spans="7:7">
      <c r="G716" s="63"/>
    </row>
    <row r="717" spans="7:7">
      <c r="G717" s="63"/>
    </row>
    <row r="718" spans="7:7">
      <c r="G718" s="63"/>
    </row>
    <row r="719" spans="7:7">
      <c r="G719" s="63"/>
    </row>
    <row r="720" spans="7:7">
      <c r="G720" s="63"/>
    </row>
    <row r="721" spans="7:7">
      <c r="G721" s="63"/>
    </row>
    <row r="722" spans="7:7">
      <c r="G722" s="63"/>
    </row>
    <row r="723" spans="7:7">
      <c r="G723" s="63"/>
    </row>
    <row r="724" spans="7:7">
      <c r="G724" s="63"/>
    </row>
    <row r="725" spans="7:7">
      <c r="G725" s="63"/>
    </row>
    <row r="726" spans="7:7">
      <c r="G726" s="63"/>
    </row>
    <row r="727" spans="7:7">
      <c r="G727" s="63"/>
    </row>
    <row r="728" spans="7:7">
      <c r="G728" s="63"/>
    </row>
    <row r="729" spans="7:7">
      <c r="G729" s="63"/>
    </row>
    <row r="730" spans="7:7">
      <c r="G730" s="63"/>
    </row>
    <row r="731" spans="7:7">
      <c r="G731" s="63"/>
    </row>
    <row r="732" spans="7:7">
      <c r="G732" s="63"/>
    </row>
    <row r="733" spans="7:7">
      <c r="G733" s="63"/>
    </row>
    <row r="734" spans="7:7">
      <c r="G734" s="63"/>
    </row>
    <row r="735" spans="7:7">
      <c r="G735" s="63"/>
    </row>
    <row r="736" spans="7:7">
      <c r="G736" s="63"/>
    </row>
    <row r="737" spans="7:7">
      <c r="G737" s="63"/>
    </row>
    <row r="738" spans="7:7">
      <c r="G738" s="63"/>
    </row>
    <row r="739" spans="7:7">
      <c r="G739" s="63"/>
    </row>
    <row r="740" spans="7:7">
      <c r="G740" s="63"/>
    </row>
    <row r="741" spans="7:7">
      <c r="G741" s="63"/>
    </row>
    <row r="742" spans="7:7">
      <c r="G742" s="63"/>
    </row>
    <row r="743" spans="7:7">
      <c r="G743" s="63"/>
    </row>
    <row r="744" spans="7:7">
      <c r="G744" s="63"/>
    </row>
    <row r="745" spans="7:7">
      <c r="G745" s="63"/>
    </row>
    <row r="746" spans="7:7">
      <c r="G746" s="63"/>
    </row>
    <row r="747" spans="7:7">
      <c r="G747" s="63"/>
    </row>
    <row r="748" spans="7:7">
      <c r="G748" s="63"/>
    </row>
    <row r="749" spans="7:7">
      <c r="G749" s="63"/>
    </row>
    <row r="750" spans="7:7">
      <c r="G750" s="63"/>
    </row>
    <row r="751" spans="7:7">
      <c r="G751" s="63"/>
    </row>
    <row r="752" spans="7:7">
      <c r="G752" s="63"/>
    </row>
    <row r="753" spans="7:7">
      <c r="G753" s="63"/>
    </row>
    <row r="754" spans="7:7">
      <c r="G754" s="63"/>
    </row>
    <row r="755" spans="7:7">
      <c r="G755" s="63"/>
    </row>
    <row r="756" spans="7:7">
      <c r="G756" s="63"/>
    </row>
    <row r="757" spans="7:7">
      <c r="G757" s="63"/>
    </row>
    <row r="758" spans="7:7">
      <c r="G758" s="63"/>
    </row>
    <row r="759" spans="7:7">
      <c r="G759" s="63"/>
    </row>
    <row r="760" spans="7:7">
      <c r="G760" s="63"/>
    </row>
    <row r="761" spans="7:7">
      <c r="G761" s="63"/>
    </row>
    <row r="762" spans="7:7">
      <c r="G762" s="63"/>
    </row>
    <row r="763" spans="7:7">
      <c r="G763" s="63"/>
    </row>
    <row r="764" spans="7:7">
      <c r="G764" s="63"/>
    </row>
    <row r="765" spans="7:7">
      <c r="G765" s="63"/>
    </row>
    <row r="766" spans="7:7">
      <c r="G766" s="63"/>
    </row>
    <row r="767" spans="7:7">
      <c r="G767" s="63"/>
    </row>
    <row r="768" spans="7:7">
      <c r="G768" s="63"/>
    </row>
    <row r="769" spans="7:7">
      <c r="G769" s="63"/>
    </row>
    <row r="770" spans="7:7">
      <c r="G770" s="63"/>
    </row>
    <row r="771" spans="7:7">
      <c r="G771" s="63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G38"/>
  <sheetViews>
    <sheetView workbookViewId="0"/>
  </sheetViews>
  <sheetFormatPr defaultRowHeight="15"/>
  <cols>
    <col min="2" max="2" width="43.140625" customWidth="1"/>
    <col min="3" max="3" width="17.140625" bestFit="1" customWidth="1"/>
    <col min="4" max="4" width="15.85546875" bestFit="1" customWidth="1"/>
    <col min="5" max="5" width="12.7109375" bestFit="1" customWidth="1"/>
  </cols>
  <sheetData>
    <row r="2" spans="2:4" ht="30">
      <c r="B2" s="261" t="s">
        <v>163</v>
      </c>
      <c r="C2" s="262" t="s">
        <v>170</v>
      </c>
      <c r="D2" s="262" t="s">
        <v>171</v>
      </c>
    </row>
    <row r="3" spans="2:4">
      <c r="B3" s="251" t="s">
        <v>167</v>
      </c>
      <c r="C3" s="252">
        <v>1186.29</v>
      </c>
      <c r="D3" s="252">
        <f>Taula6[[#This Row],[cost mensual 1 GB
iva exc]]*12</f>
        <v>14235.48</v>
      </c>
    </row>
    <row r="4" spans="2:4">
      <c r="B4" s="251" t="s">
        <v>174</v>
      </c>
      <c r="C4" s="252">
        <v>1673.16</v>
      </c>
      <c r="D4" s="252">
        <f>Taula6[[#This Row],[cost mensual 1 GB
iva exc]]*12</f>
        <v>20077.920000000002</v>
      </c>
    </row>
    <row r="5" spans="2:4">
      <c r="B5" s="251" t="s">
        <v>164</v>
      </c>
      <c r="C5" s="252">
        <v>400</v>
      </c>
      <c r="D5" s="252">
        <f>Taula6[[#This Row],[cost mensual 1 GB
iva exc]]*12</f>
        <v>4800</v>
      </c>
    </row>
    <row r="6" spans="2:4">
      <c r="B6" s="251" t="s">
        <v>166</v>
      </c>
      <c r="C6" s="253">
        <f>SUM(C3:C5)</f>
        <v>3259.45</v>
      </c>
      <c r="D6" s="253">
        <f>Taula6[[#This Row],[cost mensual 1 GB
iva exc]]*12</f>
        <v>39113.399999999994</v>
      </c>
    </row>
    <row r="7" spans="2:4">
      <c r="B7" s="251" t="s">
        <v>6</v>
      </c>
      <c r="C7" s="255"/>
      <c r="D7" s="254">
        <f>SUBTOTAL(109,Taula6[cost anual 1 GB
iva exc])</f>
        <v>78226.799999999988</v>
      </c>
    </row>
    <row r="8" spans="2:4">
      <c r="B8" s="251"/>
      <c r="C8" s="255"/>
      <c r="D8" s="254"/>
    </row>
    <row r="9" spans="2:4" s="294" customFormat="1">
      <c r="B9" s="100"/>
      <c r="C9" s="503"/>
      <c r="D9" s="504"/>
    </row>
    <row r="10" spans="2:4" ht="30">
      <c r="B10" s="100" t="s">
        <v>224</v>
      </c>
      <c r="C10" s="263" t="s">
        <v>173</v>
      </c>
      <c r="D10" s="263" t="s">
        <v>172</v>
      </c>
    </row>
    <row r="11" spans="2:4" s="294" customFormat="1" ht="30">
      <c r="B11" s="16" t="s">
        <v>223</v>
      </c>
      <c r="C11" s="502">
        <v>161.47999999999999</v>
      </c>
      <c r="D11" s="267">
        <f>C11*12</f>
        <v>1937.7599999999998</v>
      </c>
    </row>
    <row r="12" spans="2:4" s="294" customFormat="1">
      <c r="B12" s="100" t="s">
        <v>248</v>
      </c>
      <c r="C12" s="502">
        <v>73.86</v>
      </c>
      <c r="D12" s="267">
        <f>C12*12</f>
        <v>886.31999999999994</v>
      </c>
    </row>
    <row r="13" spans="2:4" s="294" customFormat="1">
      <c r="B13" t="s">
        <v>6</v>
      </c>
      <c r="C13" s="506">
        <f>SUBTOTAL(109,Taula10[cost mensual 
iva exc])</f>
        <v>235.33999999999997</v>
      </c>
      <c r="D13" s="505">
        <f>SUBTOTAL(109,Taula10[cost anual 
iva exc])</f>
        <v>2824.08</v>
      </c>
    </row>
    <row r="14" spans="2:4" s="294" customFormat="1">
      <c r="C14" s="506"/>
      <c r="D14" s="505"/>
    </row>
    <row r="15" spans="2:4" s="294" customFormat="1">
      <c r="C15" s="506"/>
      <c r="D15" s="505"/>
    </row>
    <row r="16" spans="2:4" s="294" customFormat="1" ht="31.5">
      <c r="B16" s="371" t="s">
        <v>225</v>
      </c>
      <c r="C16" s="263" t="s">
        <v>173</v>
      </c>
      <c r="D16" s="263" t="s">
        <v>172</v>
      </c>
    </row>
    <row r="17" spans="2:7" s="294" customFormat="1">
      <c r="B17" s="264" t="s">
        <v>165</v>
      </c>
      <c r="C17" s="265">
        <f>Taula7[cost anual 
iva exc]/12</f>
        <v>6250</v>
      </c>
      <c r="D17" s="266">
        <f>150000/2</f>
        <v>75000</v>
      </c>
    </row>
    <row r="18" spans="2:7" s="294" customFormat="1">
      <c r="B18" s="264" t="s">
        <v>6</v>
      </c>
      <c r="C18" s="268"/>
      <c r="D18" s="541">
        <f>SUBTOTAL(109,Taula7[cost anual 
iva exc])</f>
        <v>75000</v>
      </c>
    </row>
    <row r="19" spans="2:7" s="294" customFormat="1">
      <c r="C19" s="506"/>
      <c r="D19" s="505"/>
    </row>
    <row r="20" spans="2:7">
      <c r="B20" s="100"/>
      <c r="C20" s="502"/>
      <c r="D20" s="267"/>
    </row>
    <row r="21" spans="2:7" ht="15.75" thickBot="1"/>
    <row r="22" spans="2:7" ht="15.75" thickBot="1">
      <c r="B22" s="256" t="s">
        <v>168</v>
      </c>
      <c r="C22" s="257"/>
      <c r="D22" s="258">
        <f>Taula6[[#Totals],[cost anual 1 GB
iva exc]]+D18+Taula10[[#Totals],[cost anual 
iva exc]]</f>
        <v>156050.87999999998</v>
      </c>
    </row>
    <row r="23" spans="2:7" ht="15.75" thickBot="1"/>
    <row r="24" spans="2:7" ht="15.75" thickBot="1">
      <c r="B24" s="259" t="s">
        <v>169</v>
      </c>
      <c r="C24" s="260"/>
      <c r="D24" s="269">
        <f>D22*2</f>
        <v>312101.75999999995</v>
      </c>
    </row>
    <row r="27" spans="2:7">
      <c r="D27" s="253"/>
    </row>
    <row r="30" spans="2:7">
      <c r="G30">
        <f>CalculPressup[[#Totals],[Import Total 
IVA inclòs]]</f>
        <v>3457090.978764792</v>
      </c>
    </row>
    <row r="34" spans="2:2" ht="15.75">
      <c r="B34" s="501"/>
    </row>
    <row r="35" spans="2:2" ht="15.75">
      <c r="B35" s="501"/>
    </row>
    <row r="38" spans="2:2" ht="15.75">
      <c r="B38" s="501"/>
    </row>
  </sheetData>
  <pageMargins left="0.7" right="0.7" top="0.75" bottom="0.75" header="0.3" footer="0.3"/>
  <pageSetup paperSize="9" orientation="portrait" r:id="rId1"/>
  <legacy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5"/>
  <sheetViews>
    <sheetView topLeftCell="A37" workbookViewId="0">
      <selection activeCell="A64" sqref="A64:F77"/>
    </sheetView>
  </sheetViews>
  <sheetFormatPr defaultRowHeight="15"/>
  <cols>
    <col min="2" max="2" width="24.140625" customWidth="1"/>
    <col min="3" max="4" width="13.140625" bestFit="1" customWidth="1"/>
    <col min="5" max="5" width="14.7109375" bestFit="1" customWidth="1"/>
    <col min="6" max="6" width="15.7109375" bestFit="1" customWidth="1"/>
    <col min="7" max="7" width="13.140625" bestFit="1" customWidth="1"/>
    <col min="8" max="8" width="14.7109375" bestFit="1" customWidth="1"/>
    <col min="9" max="9" width="13.140625" bestFit="1" customWidth="1"/>
    <col min="11" max="11" width="7.140625" bestFit="1" customWidth="1"/>
    <col min="12" max="15" width="12" bestFit="1" customWidth="1"/>
  </cols>
  <sheetData>
    <row r="1" spans="2:16"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</row>
    <row r="2" spans="2:16" ht="18.75">
      <c r="D2" s="100"/>
      <c r="E2" s="666"/>
      <c r="F2" s="666"/>
      <c r="G2" s="666"/>
      <c r="H2" s="666"/>
      <c r="I2" s="666"/>
      <c r="J2" s="100"/>
      <c r="K2" s="666"/>
      <c r="L2" s="666"/>
      <c r="M2" s="666"/>
      <c r="N2" s="666"/>
      <c r="O2" s="564"/>
      <c r="P2" s="564"/>
    </row>
    <row r="3" spans="2:16" ht="30">
      <c r="B3" s="480" t="s">
        <v>237</v>
      </c>
      <c r="C3" s="489" t="s">
        <v>212</v>
      </c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565"/>
      <c r="P3" s="100"/>
    </row>
    <row r="4" spans="2:16">
      <c r="B4" s="294" t="s">
        <v>242</v>
      </c>
      <c r="C4" s="489">
        <f>E19</f>
        <v>390430</v>
      </c>
      <c r="D4" s="100"/>
      <c r="E4" s="100"/>
      <c r="F4" s="516"/>
      <c r="G4" s="516"/>
      <c r="H4" s="566"/>
      <c r="I4" s="667"/>
      <c r="J4" s="100"/>
      <c r="K4" s="100"/>
      <c r="L4" s="492"/>
      <c r="M4" s="492"/>
      <c r="N4" s="492"/>
      <c r="O4" s="565"/>
      <c r="P4" s="100"/>
    </row>
    <row r="5" spans="2:16" ht="18.75">
      <c r="B5" s="294" t="s">
        <v>243</v>
      </c>
      <c r="C5" s="252">
        <f>C25</f>
        <v>334000</v>
      </c>
      <c r="D5" s="100"/>
      <c r="E5" s="100"/>
      <c r="F5" s="516"/>
      <c r="G5" s="516"/>
      <c r="H5" s="492"/>
      <c r="I5" s="667"/>
      <c r="J5" s="100"/>
      <c r="K5" s="100"/>
      <c r="L5" s="100"/>
      <c r="M5" s="100"/>
      <c r="N5" s="100"/>
      <c r="O5" s="564"/>
      <c r="P5" s="100"/>
    </row>
    <row r="6" spans="2:16" ht="18.75">
      <c r="B6" s="294" t="s">
        <v>244</v>
      </c>
      <c r="C6" s="252">
        <f>D29</f>
        <v>480000</v>
      </c>
      <c r="D6" s="100"/>
      <c r="E6" s="100"/>
      <c r="F6" s="516"/>
      <c r="G6" s="516"/>
      <c r="H6" s="516"/>
      <c r="I6" s="667"/>
      <c r="J6" s="100"/>
      <c r="K6" s="100"/>
      <c r="L6" s="100"/>
      <c r="M6" s="100"/>
      <c r="N6" s="100"/>
      <c r="O6" s="564"/>
      <c r="P6" s="100"/>
    </row>
    <row r="7" spans="2:16" ht="18.75">
      <c r="B7" s="294" t="s">
        <v>245</v>
      </c>
      <c r="C7" s="252">
        <f>E34</f>
        <v>170300</v>
      </c>
      <c r="D7" s="100"/>
      <c r="E7" s="100"/>
      <c r="F7" s="516"/>
      <c r="G7" s="516"/>
      <c r="H7" s="518"/>
      <c r="I7" s="100"/>
      <c r="J7" s="100"/>
      <c r="K7" s="666"/>
      <c r="L7" s="666"/>
      <c r="M7" s="666"/>
      <c r="N7" s="666"/>
      <c r="O7" s="564"/>
      <c r="P7" s="100"/>
    </row>
    <row r="8" spans="2:16" ht="18.75">
      <c r="B8" s="294" t="s">
        <v>246</v>
      </c>
      <c r="C8" s="252">
        <v>200000</v>
      </c>
      <c r="D8" s="100"/>
      <c r="E8" s="100"/>
      <c r="F8" s="516"/>
      <c r="G8" s="516"/>
      <c r="H8" s="516"/>
      <c r="I8" s="100"/>
      <c r="J8" s="100"/>
      <c r="K8" s="100"/>
      <c r="L8" s="100"/>
      <c r="M8" s="100"/>
      <c r="N8" s="100"/>
      <c r="O8" s="564"/>
      <c r="P8" s="100"/>
    </row>
    <row r="9" spans="2:16" ht="18.75">
      <c r="B9" s="294" t="s">
        <v>247</v>
      </c>
      <c r="C9" s="252">
        <f>E47</f>
        <v>348512</v>
      </c>
      <c r="D9" s="100"/>
      <c r="E9" s="567"/>
      <c r="F9" s="568"/>
      <c r="G9" s="568"/>
      <c r="H9" s="568"/>
      <c r="I9" s="100"/>
      <c r="J9" s="100"/>
      <c r="K9" s="100"/>
      <c r="L9" s="492"/>
      <c r="M9" s="492"/>
      <c r="N9" s="492"/>
      <c r="O9" s="564"/>
      <c r="P9" s="100"/>
    </row>
    <row r="10" spans="2:16" ht="18.75">
      <c r="B10" s="294" t="s">
        <v>236</v>
      </c>
      <c r="C10" s="542">
        <f>SUBTOTAL(101,Taula9[Cost any
IVA Exclòs])</f>
        <v>320540.33333333331</v>
      </c>
      <c r="D10" s="100"/>
      <c r="E10" s="100"/>
      <c r="F10" s="100"/>
      <c r="G10" s="100"/>
      <c r="H10" s="100"/>
      <c r="I10" s="492"/>
      <c r="J10" s="100"/>
      <c r="K10" s="100"/>
      <c r="L10" s="100"/>
      <c r="M10" s="100"/>
      <c r="N10" s="100"/>
      <c r="O10" s="564"/>
      <c r="P10" s="100"/>
    </row>
    <row r="11" spans="2:16" ht="16.5" thickBot="1">
      <c r="D11" s="491"/>
      <c r="E11" s="491"/>
      <c r="F11" s="294"/>
      <c r="G11" s="294"/>
    </row>
    <row r="12" spans="2:16" ht="15.75" thickBot="1">
      <c r="B12" s="256" t="s">
        <v>238</v>
      </c>
      <c r="C12" s="525">
        <f>(C4+C5+C6+C9)/4</f>
        <v>388235.5</v>
      </c>
      <c r="D12" s="252"/>
      <c r="E12" s="252"/>
    </row>
    <row r="13" spans="2:16" ht="15.75">
      <c r="B13" s="490"/>
      <c r="C13" s="491"/>
    </row>
    <row r="14" spans="2:16" s="294" customFormat="1" ht="15.75">
      <c r="B14" s="490"/>
      <c r="C14" s="491"/>
    </row>
    <row r="15" spans="2:16" s="294" customFormat="1">
      <c r="B15" s="295"/>
      <c r="C15"/>
      <c r="D15"/>
      <c r="E15"/>
    </row>
    <row r="16" spans="2:16" ht="16.5" thickBot="1">
      <c r="F16" s="491"/>
      <c r="G16" s="548"/>
    </row>
    <row r="17" spans="2:7">
      <c r="B17" s="554" t="s">
        <v>242</v>
      </c>
      <c r="C17" s="550" t="s">
        <v>227</v>
      </c>
      <c r="D17" s="550" t="s">
        <v>228</v>
      </c>
      <c r="E17" s="551" t="s">
        <v>229</v>
      </c>
    </row>
    <row r="18" spans="2:7">
      <c r="B18" s="519" t="s">
        <v>230</v>
      </c>
      <c r="C18" s="512" t="s">
        <v>231</v>
      </c>
      <c r="D18" s="512" t="s">
        <v>232</v>
      </c>
      <c r="E18" s="520" t="s">
        <v>233</v>
      </c>
    </row>
    <row r="19" spans="2:7" ht="15.75" thickBot="1">
      <c r="B19" s="517" t="s">
        <v>234</v>
      </c>
      <c r="C19" s="555">
        <v>390430</v>
      </c>
      <c r="D19" s="555">
        <v>390430</v>
      </c>
      <c r="E19" s="556">
        <v>390430</v>
      </c>
    </row>
    <row r="20" spans="2:7" ht="15.75" thickBot="1">
      <c r="B20" s="507"/>
      <c r="C20" s="507"/>
      <c r="D20" s="507"/>
      <c r="E20" s="507"/>
    </row>
    <row r="21" spans="2:7" ht="15.75" thickBot="1">
      <c r="B21" s="508" t="s">
        <v>235</v>
      </c>
      <c r="C21" s="509"/>
      <c r="D21" s="514">
        <f>C19+D19</f>
        <v>780860</v>
      </c>
      <c r="E21" s="513">
        <f>C19+D19+E19</f>
        <v>1171290</v>
      </c>
    </row>
    <row r="23" spans="2:7" ht="16.5" thickBot="1">
      <c r="B23" s="491"/>
    </row>
    <row r="24" spans="2:7">
      <c r="B24" s="557" t="s">
        <v>243</v>
      </c>
      <c r="C24" s="558" t="s">
        <v>227</v>
      </c>
      <c r="D24" s="559" t="s">
        <v>228</v>
      </c>
    </row>
    <row r="25" spans="2:7" ht="15.75" thickBot="1">
      <c r="B25" s="517" t="s">
        <v>234</v>
      </c>
      <c r="C25" s="668">
        <v>334000</v>
      </c>
      <c r="D25" s="669"/>
    </row>
    <row r="27" spans="2:7" s="294" customFormat="1" ht="15.75" thickBot="1"/>
    <row r="28" spans="2:7" s="294" customFormat="1">
      <c r="B28" s="557" t="s">
        <v>244</v>
      </c>
      <c r="C28" s="558" t="s">
        <v>227</v>
      </c>
      <c r="D28" s="559" t="s">
        <v>228</v>
      </c>
    </row>
    <row r="29" spans="2:7" s="294" customFormat="1" ht="15.75" thickBot="1">
      <c r="B29" s="517" t="s">
        <v>234</v>
      </c>
      <c r="C29" s="562">
        <f>480000</f>
        <v>480000</v>
      </c>
      <c r="D29" s="563">
        <f>480000</f>
        <v>480000</v>
      </c>
    </row>
    <row r="30" spans="2:7">
      <c r="G30">
        <f>CalculPressup[[#Totals],[Import Total 
IVA inclòs]]</f>
        <v>3457090.978764792</v>
      </c>
    </row>
    <row r="31" spans="2:7" ht="15.75" thickBot="1">
      <c r="B31" s="295"/>
    </row>
    <row r="32" spans="2:7">
      <c r="B32" s="549" t="s">
        <v>245</v>
      </c>
      <c r="C32" s="550" t="s">
        <v>227</v>
      </c>
      <c r="D32" s="550" t="s">
        <v>228</v>
      </c>
      <c r="E32" s="551" t="s">
        <v>229</v>
      </c>
    </row>
    <row r="33" spans="2:5">
      <c r="B33" s="519" t="s">
        <v>230</v>
      </c>
      <c r="C33" s="512" t="s">
        <v>231</v>
      </c>
      <c r="D33" s="512" t="s">
        <v>232</v>
      </c>
      <c r="E33" s="520" t="s">
        <v>233</v>
      </c>
    </row>
    <row r="34" spans="2:5" ht="15.75" thickBot="1">
      <c r="B34" s="517" t="s">
        <v>234</v>
      </c>
      <c r="C34" s="552">
        <v>86268</v>
      </c>
      <c r="D34" s="524">
        <v>123500</v>
      </c>
      <c r="E34" s="553">
        <v>170300</v>
      </c>
    </row>
    <row r="35" spans="2:5" ht="15.75" thickBot="1">
      <c r="B35" s="507"/>
      <c r="C35" s="507"/>
      <c r="D35" s="507"/>
      <c r="E35" s="507"/>
    </row>
    <row r="36" spans="2:5" ht="15.75" thickBot="1">
      <c r="B36" s="508" t="s">
        <v>235</v>
      </c>
      <c r="C36" s="509"/>
      <c r="D36" s="510">
        <f>SUM(C32:D32)</f>
        <v>0</v>
      </c>
      <c r="E36" s="511">
        <f>C34+D34+E34</f>
        <v>380068</v>
      </c>
    </row>
    <row r="39" spans="2:5" ht="15.75" thickBot="1"/>
    <row r="40" spans="2:5">
      <c r="B40" s="557" t="s">
        <v>246</v>
      </c>
      <c r="C40" s="558" t="s">
        <v>227</v>
      </c>
      <c r="D40" s="559" t="s">
        <v>228</v>
      </c>
    </row>
    <row r="41" spans="2:5" ht="15.75" thickBot="1">
      <c r="B41" s="517" t="s">
        <v>234</v>
      </c>
      <c r="C41" s="560">
        <v>200000</v>
      </c>
      <c r="D41" s="561">
        <v>200000</v>
      </c>
    </row>
    <row r="44" spans="2:5" ht="15.75" thickBot="1"/>
    <row r="45" spans="2:5">
      <c r="B45" s="549" t="s">
        <v>247</v>
      </c>
      <c r="C45" s="550" t="s">
        <v>227</v>
      </c>
      <c r="D45" s="550" t="s">
        <v>228</v>
      </c>
      <c r="E45" s="551" t="s">
        <v>229</v>
      </c>
    </row>
    <row r="46" spans="2:5">
      <c r="B46" s="519" t="s">
        <v>230</v>
      </c>
      <c r="C46" s="512" t="s">
        <v>231</v>
      </c>
      <c r="D46" s="512" t="s">
        <v>232</v>
      </c>
      <c r="E46" s="520" t="s">
        <v>233</v>
      </c>
    </row>
    <row r="47" spans="2:5" ht="15.75" thickBot="1">
      <c r="B47" s="517" t="s">
        <v>234</v>
      </c>
      <c r="C47" s="521">
        <v>225823</v>
      </c>
      <c r="D47" s="522">
        <v>315320</v>
      </c>
      <c r="E47" s="523">
        <v>348512</v>
      </c>
    </row>
    <row r="48" spans="2:5">
      <c r="B48" s="294"/>
      <c r="E48" s="132"/>
    </row>
    <row r="49" spans="2:5">
      <c r="B49" s="294"/>
      <c r="C49" s="294"/>
      <c r="D49" s="294"/>
      <c r="E49" s="294"/>
    </row>
    <row r="50" spans="2:5">
      <c r="B50" s="294"/>
      <c r="C50" s="294"/>
      <c r="D50" s="294"/>
      <c r="E50" s="294"/>
    </row>
    <row r="51" spans="2:5">
      <c r="B51" s="294"/>
      <c r="C51" s="294"/>
      <c r="D51" s="294"/>
      <c r="E51" s="294"/>
    </row>
    <row r="52" spans="2:5">
      <c r="B52" s="294"/>
      <c r="C52" s="294"/>
      <c r="D52" s="294"/>
      <c r="E52" s="294"/>
    </row>
    <row r="53" spans="2:5">
      <c r="B53" s="294"/>
      <c r="C53" s="294"/>
      <c r="D53" s="294"/>
      <c r="E53" s="294"/>
    </row>
    <row r="54" spans="2:5">
      <c r="B54" s="294"/>
      <c r="C54" s="294"/>
      <c r="D54" s="294"/>
      <c r="E54" s="294"/>
    </row>
    <row r="55" spans="2:5">
      <c r="B55" s="294"/>
      <c r="C55" s="294"/>
      <c r="D55" s="294"/>
      <c r="E55" s="294"/>
    </row>
  </sheetData>
  <mergeCells count="5">
    <mergeCell ref="E2:I2"/>
    <mergeCell ref="K2:N2"/>
    <mergeCell ref="K7:N7"/>
    <mergeCell ref="I4:I6"/>
    <mergeCell ref="C25:D25"/>
  </mergeCells>
  <pageMargins left="0.7" right="0.7" top="0.75" bottom="0.75" header="0.3" footer="0.3"/>
  <pageSetup paperSize="9" orientation="portrait" horizontalDpi="90" verticalDpi="9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0"/>
  <sheetViews>
    <sheetView workbookViewId="0"/>
  </sheetViews>
  <sheetFormatPr defaultRowHeight="15"/>
  <cols>
    <col min="3" max="3" width="13.140625" bestFit="1" customWidth="1"/>
  </cols>
  <sheetData>
    <row r="2" spans="2:3" ht="15.75" thickBot="1"/>
    <row r="3" spans="2:3" ht="15.75" thickBot="1">
      <c r="B3" s="670" t="s">
        <v>249</v>
      </c>
      <c r="C3" s="671"/>
    </row>
    <row r="4" spans="2:3">
      <c r="B4" s="543" t="s">
        <v>250</v>
      </c>
      <c r="C4" s="544" t="s">
        <v>251</v>
      </c>
    </row>
    <row r="5" spans="2:3">
      <c r="B5" s="155">
        <v>24</v>
      </c>
      <c r="C5" s="545">
        <v>280000</v>
      </c>
    </row>
    <row r="6" spans="2:3" ht="15.75" thickBot="1">
      <c r="B6" s="546">
        <v>10</v>
      </c>
      <c r="C6" s="547">
        <f>C5/B5*B6</f>
        <v>116666.66666666666</v>
      </c>
    </row>
    <row r="30" spans="7:7">
      <c r="G30">
        <f>CalculPressup[[#Totals],[Import Total 
IVA inclòs]]</f>
        <v>3457090.978764792</v>
      </c>
    </row>
  </sheetData>
  <mergeCells count="1">
    <mergeCell ref="B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7</vt:i4>
      </vt:variant>
    </vt:vector>
  </HeadingPairs>
  <TitlesOfParts>
    <vt:vector size="7" baseType="lpstr">
      <vt:lpstr>Càlcul pressupost </vt:lpstr>
      <vt:lpstr>Perfils</vt:lpstr>
      <vt:lpstr>Taules IJ</vt:lpstr>
      <vt:lpstr>Costos Indirectes</vt:lpstr>
      <vt:lpstr>Infraestructura</vt:lpstr>
      <vt:lpstr>Llicències</vt:lpstr>
      <vt:lpstr>SuportProf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Yolanda Gordo</dc:creator>
  <cp:lastModifiedBy>Ajuntament de Barcelona</cp:lastModifiedBy>
  <dcterms:created xsi:type="dcterms:W3CDTF">2020-04-20T14:58:25Z</dcterms:created>
  <dcterms:modified xsi:type="dcterms:W3CDTF">2023-03-26T03:10:12Z</dcterms:modified>
</cp:coreProperties>
</file>