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23 Nou AM OSAM\"/>
    </mc:Choice>
  </mc:AlternateContent>
  <bookViews>
    <workbookView xWindow="0" yWindow="0" windowWidth="28800" windowHeight="11835" tabRatio="589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</sheets>
  <externalReferences>
    <externalReference r:id="rId8"/>
    <externalReference r:id="rId9"/>
  </externalReferences>
  <definedNames>
    <definedName name="_xlnm._FilterDatabase" localSheetId="0" hidden="1">'Càlcul pressupost '!$B$14:$AC$24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1" l="1"/>
  <c r="D20" i="4" l="1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F81" i="4" l="1"/>
  <c r="E81" i="4"/>
  <c r="G81" i="4" s="1"/>
  <c r="C81" i="4"/>
  <c r="F40" i="4" l="1"/>
  <c r="F58" i="4"/>
  <c r="F76" i="4"/>
  <c r="E93" i="4" l="1"/>
  <c r="C93" i="4"/>
  <c r="E74" i="4"/>
  <c r="G74" i="4" s="1"/>
  <c r="C74" i="4"/>
  <c r="E56" i="4"/>
  <c r="G56" i="4" s="1"/>
  <c r="C56" i="4"/>
  <c r="E38" i="4"/>
  <c r="G38" i="4" s="1"/>
  <c r="C38" i="4"/>
  <c r="F93" i="4"/>
  <c r="F38" i="4" l="1"/>
  <c r="F74" i="4"/>
  <c r="F56" i="4"/>
  <c r="T17" i="14" l="1"/>
  <c r="S17" i="14"/>
  <c r="R56" i="14" l="1"/>
  <c r="E40" i="4" l="1"/>
  <c r="E39" i="4"/>
  <c r="C40" i="4"/>
  <c r="C39" i="4"/>
  <c r="C37" i="4"/>
  <c r="C36" i="4"/>
  <c r="C35" i="4"/>
  <c r="C34" i="4"/>
  <c r="C28" i="4"/>
  <c r="C27" i="4"/>
  <c r="C26" i="4"/>
  <c r="C24" i="4"/>
  <c r="E58" i="4"/>
  <c r="E57" i="4"/>
  <c r="C58" i="4"/>
  <c r="C57" i="4"/>
  <c r="C76" i="4"/>
  <c r="C75" i="4"/>
  <c r="E76" i="4"/>
  <c r="G76" i="4" s="1"/>
  <c r="E75" i="4"/>
  <c r="G75" i="4" s="1"/>
  <c r="C95" i="4"/>
  <c r="C94" i="4"/>
  <c r="E45" i="4" l="1"/>
  <c r="G45" i="4" s="1"/>
  <c r="C45" i="4"/>
  <c r="E27" i="4"/>
  <c r="G27" i="4" s="1"/>
  <c r="E63" i="4"/>
  <c r="G63" i="4" s="1"/>
  <c r="C63" i="4"/>
  <c r="E82" i="4"/>
  <c r="G82" i="4" s="1"/>
  <c r="C82" i="4"/>
  <c r="T19" i="14" l="1"/>
  <c r="T20" i="14"/>
  <c r="T21" i="14"/>
  <c r="S19" i="14"/>
  <c r="S20" i="14"/>
  <c r="S21" i="14"/>
  <c r="F63" i="4" l="1"/>
  <c r="F45" i="4"/>
  <c r="F82" i="4"/>
  <c r="F27" i="4"/>
  <c r="E87" i="4"/>
  <c r="G87" i="4" s="1"/>
  <c r="E88" i="4"/>
  <c r="E68" i="4"/>
  <c r="G68" i="4" s="1"/>
  <c r="E69" i="4"/>
  <c r="G69" i="4" s="1"/>
  <c r="E50" i="4"/>
  <c r="G50" i="4" s="1"/>
  <c r="E51" i="4"/>
  <c r="E32" i="4"/>
  <c r="G32" i="4" s="1"/>
  <c r="E33" i="4"/>
  <c r="F51" i="4"/>
  <c r="F32" i="4"/>
  <c r="F87" i="4" l="1"/>
  <c r="F50" i="4"/>
  <c r="F68" i="4"/>
  <c r="F88" i="4"/>
  <c r="F69" i="4"/>
  <c r="F33" i="4"/>
  <c r="H77" i="4"/>
  <c r="H41" i="4"/>
  <c r="G40" i="4"/>
  <c r="G39" i="4"/>
  <c r="E37" i="4"/>
  <c r="G37" i="4" s="1"/>
  <c r="E36" i="4"/>
  <c r="G36" i="4" s="1"/>
  <c r="E35" i="4"/>
  <c r="G35" i="4" s="1"/>
  <c r="E34" i="4"/>
  <c r="G34" i="4" s="1"/>
  <c r="G33" i="4"/>
  <c r="E31" i="4"/>
  <c r="G31" i="4" s="1"/>
  <c r="E30" i="4"/>
  <c r="G30" i="4" s="1"/>
  <c r="E29" i="4"/>
  <c r="G29" i="4" s="1"/>
  <c r="E28" i="4"/>
  <c r="G28" i="4" s="1"/>
  <c r="E26" i="4"/>
  <c r="G26" i="4" s="1"/>
  <c r="E25" i="4"/>
  <c r="G25" i="4" s="1"/>
  <c r="E24" i="4"/>
  <c r="G24" i="4" s="1"/>
  <c r="G57" i="4"/>
  <c r="G58" i="4"/>
  <c r="E55" i="4"/>
  <c r="G55" i="4" s="1"/>
  <c r="C55" i="4"/>
  <c r="E54" i="4"/>
  <c r="G54" i="4" s="1"/>
  <c r="C54" i="4"/>
  <c r="E53" i="4"/>
  <c r="G53" i="4" s="1"/>
  <c r="C53" i="4"/>
  <c r="E52" i="4"/>
  <c r="G52" i="4" s="1"/>
  <c r="C52" i="4"/>
  <c r="G51" i="4"/>
  <c r="E49" i="4"/>
  <c r="G49" i="4" s="1"/>
  <c r="E48" i="4"/>
  <c r="G48" i="4" s="1"/>
  <c r="E47" i="4"/>
  <c r="G47" i="4" s="1"/>
  <c r="E46" i="4"/>
  <c r="G46" i="4" s="1"/>
  <c r="C46" i="4"/>
  <c r="E44" i="4"/>
  <c r="G44" i="4" s="1"/>
  <c r="C44" i="4"/>
  <c r="E43" i="4"/>
  <c r="G43" i="4" s="1"/>
  <c r="E42" i="4"/>
  <c r="G42" i="4" s="1"/>
  <c r="C42" i="4"/>
  <c r="E73" i="4"/>
  <c r="G73" i="4" s="1"/>
  <c r="C73" i="4"/>
  <c r="E72" i="4"/>
  <c r="G72" i="4" s="1"/>
  <c r="C72" i="4"/>
  <c r="E71" i="4"/>
  <c r="G71" i="4" s="1"/>
  <c r="C71" i="4"/>
  <c r="E70" i="4"/>
  <c r="G70" i="4" s="1"/>
  <c r="C70" i="4"/>
  <c r="E67" i="4"/>
  <c r="G67" i="4" s="1"/>
  <c r="E66" i="4"/>
  <c r="G66" i="4" s="1"/>
  <c r="E65" i="4"/>
  <c r="G65" i="4" s="1"/>
  <c r="E64" i="4"/>
  <c r="G64" i="4" s="1"/>
  <c r="C64" i="4"/>
  <c r="E62" i="4"/>
  <c r="G62" i="4" s="1"/>
  <c r="C62" i="4"/>
  <c r="E61" i="4"/>
  <c r="G61" i="4" s="1"/>
  <c r="E60" i="4"/>
  <c r="G60" i="4" s="1"/>
  <c r="C60" i="4"/>
  <c r="E94" i="4"/>
  <c r="G94" i="4" s="1"/>
  <c r="F95" i="4"/>
  <c r="E95" i="4"/>
  <c r="E86" i="4"/>
  <c r="G86" i="4" s="1"/>
  <c r="E84" i="4"/>
  <c r="G84" i="4" s="1"/>
  <c r="E79" i="4"/>
  <c r="G79" i="4" s="1"/>
  <c r="G88" i="4"/>
  <c r="F31" i="4"/>
  <c r="F71" i="4"/>
  <c r="F52" i="4"/>
  <c r="F55" i="4"/>
  <c r="F72" i="4"/>
  <c r="F30" i="4"/>
  <c r="F29" i="4"/>
  <c r="F64" i="4"/>
  <c r="F62" i="4"/>
  <c r="F79" i="4"/>
  <c r="F24" i="4"/>
  <c r="F94" i="4" l="1"/>
  <c r="F39" i="4"/>
  <c r="F75" i="4"/>
  <c r="F57" i="4"/>
  <c r="F70" i="4"/>
  <c r="G41" i="4"/>
  <c r="G77" i="4"/>
  <c r="F65" i="4"/>
  <c r="F84" i="4"/>
  <c r="F47" i="4"/>
  <c r="F25" i="4"/>
  <c r="F28" i="4"/>
  <c r="F37" i="4"/>
  <c r="F35" i="4"/>
  <c r="F48" i="4"/>
  <c r="F54" i="4"/>
  <c r="F44" i="4"/>
  <c r="F26" i="4"/>
  <c r="F36" i="4"/>
  <c r="F66" i="4"/>
  <c r="F34" i="4"/>
  <c r="F73" i="4"/>
  <c r="F53" i="4"/>
  <c r="F61" i="4"/>
  <c r="F42" i="4"/>
  <c r="F46" i="4"/>
  <c r="F49" i="4"/>
  <c r="F43" i="4"/>
  <c r="F67" i="4"/>
  <c r="F60" i="4"/>
  <c r="F86" i="4"/>
  <c r="S15" i="14"/>
  <c r="M55" i="14" l="1"/>
  <c r="N55" i="14" s="1"/>
  <c r="M49" i="14"/>
  <c r="N49" i="14" s="1"/>
  <c r="M50" i="14"/>
  <c r="N50" i="14" s="1"/>
  <c r="M52" i="14"/>
  <c r="N52" i="14" s="1"/>
  <c r="M47" i="14"/>
  <c r="N47" i="14" s="1"/>
  <c r="M54" i="14"/>
  <c r="N54" i="14" s="1"/>
  <c r="M48" i="14"/>
  <c r="N48" i="14" s="1"/>
  <c r="M51" i="14"/>
  <c r="N51" i="14" s="1"/>
  <c r="M53" i="14"/>
  <c r="N53" i="14" s="1"/>
  <c r="M33" i="14"/>
  <c r="N33" i="14" s="1"/>
  <c r="M17" i="14"/>
  <c r="N17" i="14" s="1"/>
  <c r="M65" i="14"/>
  <c r="N65" i="14" s="1"/>
  <c r="G51" i="14"/>
  <c r="H51" i="14" s="1"/>
  <c r="G48" i="14"/>
  <c r="H48" i="14" s="1"/>
  <c r="G54" i="14"/>
  <c r="H54" i="14" s="1"/>
  <c r="G49" i="14"/>
  <c r="H49" i="14" s="1"/>
  <c r="G53" i="14"/>
  <c r="H53" i="14" s="1"/>
  <c r="G47" i="14"/>
  <c r="H47" i="14" s="1"/>
  <c r="G50" i="14"/>
  <c r="H50" i="14" s="1"/>
  <c r="G52" i="14"/>
  <c r="H52" i="14" s="1"/>
  <c r="G55" i="14"/>
  <c r="H55" i="14" s="1"/>
  <c r="G33" i="14"/>
  <c r="H33" i="14" s="1"/>
  <c r="G65" i="14"/>
  <c r="H65" i="14" s="1"/>
  <c r="G17" i="14"/>
  <c r="H17" i="14" s="1"/>
  <c r="G70" i="14"/>
  <c r="H70" i="14" s="1"/>
  <c r="G64" i="14"/>
  <c r="H64" i="14" s="1"/>
  <c r="G71" i="14"/>
  <c r="H71" i="14" s="1"/>
  <c r="G21" i="14"/>
  <c r="H21" i="14" s="1"/>
  <c r="G35" i="14"/>
  <c r="H35" i="14" s="1"/>
  <c r="G34" i="14"/>
  <c r="H34" i="14" s="1"/>
  <c r="G69" i="14"/>
  <c r="H69" i="14" s="1"/>
  <c r="G66" i="14"/>
  <c r="H66" i="14" s="1"/>
  <c r="G36" i="14"/>
  <c r="H36" i="14" s="1"/>
  <c r="G19" i="14"/>
  <c r="H19" i="14" s="1"/>
  <c r="G67" i="14"/>
  <c r="H67" i="14" s="1"/>
  <c r="G37" i="14"/>
  <c r="H37" i="14" s="1"/>
  <c r="G20" i="14"/>
  <c r="H20" i="14" s="1"/>
  <c r="G68" i="14"/>
  <c r="H68" i="14" s="1"/>
  <c r="M70" i="14"/>
  <c r="N70" i="14" s="1"/>
  <c r="M37" i="14"/>
  <c r="N37" i="14" s="1"/>
  <c r="M71" i="14"/>
  <c r="N71" i="14" s="1"/>
  <c r="M19" i="14"/>
  <c r="N19" i="14" s="1"/>
  <c r="M20" i="14"/>
  <c r="N20" i="14" s="1"/>
  <c r="M35" i="14"/>
  <c r="N35" i="14" s="1"/>
  <c r="M69" i="14"/>
  <c r="N69" i="14" s="1"/>
  <c r="M64" i="14"/>
  <c r="N64" i="14" s="1"/>
  <c r="M21" i="14"/>
  <c r="N21" i="14" s="1"/>
  <c r="M36" i="14"/>
  <c r="N36" i="14" s="1"/>
  <c r="M66" i="14"/>
  <c r="N66" i="14" s="1"/>
  <c r="M68" i="14"/>
  <c r="N68" i="14" s="1"/>
  <c r="M67" i="14"/>
  <c r="N67" i="14" s="1"/>
  <c r="M34" i="14"/>
  <c r="N34" i="14" s="1"/>
  <c r="M15" i="14"/>
  <c r="N15" i="14" s="1"/>
  <c r="M32" i="14"/>
  <c r="N32" i="14" s="1"/>
  <c r="M23" i="14"/>
  <c r="N23" i="14" s="1"/>
  <c r="M38" i="14"/>
  <c r="N38" i="14" s="1"/>
  <c r="M31" i="14"/>
  <c r="N31" i="14" s="1"/>
  <c r="M16" i="14"/>
  <c r="N16" i="14" s="1"/>
  <c r="M18" i="14"/>
  <c r="N18" i="14" s="1"/>
  <c r="M22" i="14"/>
  <c r="N22" i="14" s="1"/>
  <c r="M63" i="14"/>
  <c r="N63" i="14" s="1"/>
  <c r="M39" i="14"/>
  <c r="N39" i="14" s="1"/>
  <c r="N72" i="14" l="1"/>
  <c r="I8" i="14" s="1"/>
  <c r="K8" i="11" s="1"/>
  <c r="E33" i="11" s="1"/>
  <c r="N24" i="14"/>
  <c r="F8" i="14" s="1"/>
  <c r="B8" i="11" s="1"/>
  <c r="N56" i="14"/>
  <c r="H8" i="14" s="1"/>
  <c r="H8" i="11" s="1"/>
  <c r="N40" i="14"/>
  <c r="G8" i="14" s="1"/>
  <c r="E8" i="11" s="1"/>
  <c r="H56" i="14"/>
  <c r="H6" i="14" s="1"/>
  <c r="L56" i="14"/>
  <c r="L58" i="14" s="1"/>
  <c r="F56" i="14"/>
  <c r="F58" i="14" s="1"/>
  <c r="L24" i="14"/>
  <c r="L26" i="14" s="1"/>
  <c r="L72" i="14"/>
  <c r="L74" i="14" s="1"/>
  <c r="L40" i="14"/>
  <c r="F92" i="4"/>
  <c r="E92" i="4"/>
  <c r="G92" i="4" s="1"/>
  <c r="C92" i="4"/>
  <c r="L8" i="11" l="1"/>
  <c r="E31" i="11"/>
  <c r="I8" i="11"/>
  <c r="N8" i="11"/>
  <c r="F8" i="11"/>
  <c r="E29" i="11"/>
  <c r="J8" i="14"/>
  <c r="K8" i="14" s="1"/>
  <c r="M8" i="11"/>
  <c r="D33" i="11" s="1"/>
  <c r="J33" i="11" s="1"/>
  <c r="F33" i="11"/>
  <c r="E27" i="11"/>
  <c r="C8" i="11"/>
  <c r="D8" i="11" s="1"/>
  <c r="L42" i="14"/>
  <c r="D27" i="11" l="1"/>
  <c r="J27" i="11" s="1"/>
  <c r="F27" i="11"/>
  <c r="O8" i="11"/>
  <c r="F29" i="11"/>
  <c r="G8" i="11"/>
  <c r="D29" i="11" s="1"/>
  <c r="J29" i="11" s="1"/>
  <c r="J8" i="11"/>
  <c r="D31" i="11" s="1"/>
  <c r="J31" i="11" s="1"/>
  <c r="F31" i="11"/>
  <c r="V24" i="14"/>
  <c r="J34" i="11" l="1"/>
  <c r="P8" i="11"/>
  <c r="C90" i="4"/>
  <c r="C89" i="4"/>
  <c r="F80" i="4" l="1"/>
  <c r="E80" i="4"/>
  <c r="C80" i="4" l="1"/>
  <c r="G80" i="4"/>
  <c r="R72" i="14" l="1"/>
  <c r="F83" i="4"/>
  <c r="E83" i="4"/>
  <c r="F91" i="4"/>
  <c r="E91" i="4"/>
  <c r="F90" i="4"/>
  <c r="E90" i="4"/>
  <c r="F89" i="4"/>
  <c r="E89" i="4"/>
  <c r="F85" i="4"/>
  <c r="E85" i="4"/>
  <c r="C91" i="4"/>
  <c r="F78" i="4"/>
  <c r="E78" i="4"/>
  <c r="C83" i="4"/>
  <c r="C78" i="4"/>
  <c r="K25" i="14" l="1"/>
  <c r="H25" i="14" l="1"/>
  <c r="S23" i="14"/>
  <c r="S22" i="14"/>
  <c r="S18" i="14"/>
  <c r="S16" i="14"/>
  <c r="H96" i="4" l="1"/>
  <c r="H59" i="4"/>
  <c r="G95" i="4"/>
  <c r="G91" i="4"/>
  <c r="G90" i="4"/>
  <c r="G89" i="4"/>
  <c r="G85" i="4"/>
  <c r="G83" i="4"/>
  <c r="G78" i="4"/>
  <c r="G59" i="4" l="1"/>
  <c r="G96" i="4"/>
  <c r="P55" i="14" l="1"/>
  <c r="Q55" i="14" s="1"/>
  <c r="P47" i="14"/>
  <c r="Q47" i="14" s="1"/>
  <c r="P50" i="14"/>
  <c r="Q50" i="14" s="1"/>
  <c r="P53" i="14"/>
  <c r="Q53" i="14" s="1"/>
  <c r="P52" i="14"/>
  <c r="Q52" i="14" s="1"/>
  <c r="P51" i="14"/>
  <c r="Q51" i="14" s="1"/>
  <c r="P49" i="14"/>
  <c r="Q49" i="14" s="1"/>
  <c r="P48" i="14"/>
  <c r="Q48" i="14" s="1"/>
  <c r="P54" i="14"/>
  <c r="Q54" i="14" s="1"/>
  <c r="P65" i="14"/>
  <c r="Q65" i="14" s="1"/>
  <c r="P17" i="14"/>
  <c r="Q17" i="14" s="1"/>
  <c r="P33" i="14"/>
  <c r="Q33" i="14" s="1"/>
  <c r="J48" i="14"/>
  <c r="K48" i="14" s="1"/>
  <c r="J55" i="14"/>
  <c r="K55" i="14" s="1"/>
  <c r="S55" i="14" s="1"/>
  <c r="J53" i="14"/>
  <c r="K53" i="14" s="1"/>
  <c r="J51" i="14"/>
  <c r="K51" i="14" s="1"/>
  <c r="J49" i="14"/>
  <c r="K49" i="14" s="1"/>
  <c r="J47" i="14"/>
  <c r="K47" i="14" s="1"/>
  <c r="J54" i="14"/>
  <c r="K54" i="14" s="1"/>
  <c r="J52" i="14"/>
  <c r="K52" i="14" s="1"/>
  <c r="J50" i="14"/>
  <c r="K50" i="14" s="1"/>
  <c r="J17" i="14"/>
  <c r="K17" i="14" s="1"/>
  <c r="J65" i="14"/>
  <c r="K65" i="14" s="1"/>
  <c r="S65" i="14" s="1"/>
  <c r="J33" i="14"/>
  <c r="K33" i="14" s="1"/>
  <c r="S33" i="14" s="1"/>
  <c r="J63" i="14"/>
  <c r="K63" i="14" s="1"/>
  <c r="J69" i="14"/>
  <c r="K69" i="14" s="1"/>
  <c r="J35" i="14"/>
  <c r="K35" i="14" s="1"/>
  <c r="J70" i="14"/>
  <c r="K70" i="14" s="1"/>
  <c r="J36" i="14"/>
  <c r="K36" i="14" s="1"/>
  <c r="J34" i="14"/>
  <c r="K34" i="14" s="1"/>
  <c r="J71" i="14"/>
  <c r="K71" i="14" s="1"/>
  <c r="J37" i="14"/>
  <c r="K37" i="14" s="1"/>
  <c r="J21" i="14"/>
  <c r="K21" i="14" s="1"/>
  <c r="J66" i="14"/>
  <c r="K66" i="14" s="1"/>
  <c r="J19" i="14"/>
  <c r="K19" i="14" s="1"/>
  <c r="J64" i="14"/>
  <c r="K64" i="14" s="1"/>
  <c r="J68" i="14"/>
  <c r="K68" i="14" s="1"/>
  <c r="J67" i="14"/>
  <c r="K67" i="14" s="1"/>
  <c r="J20" i="14"/>
  <c r="K20" i="14" s="1"/>
  <c r="P69" i="14"/>
  <c r="Q69" i="14" s="1"/>
  <c r="P70" i="14"/>
  <c r="Q70" i="14" s="1"/>
  <c r="P34" i="14"/>
  <c r="Q34" i="14" s="1"/>
  <c r="P35" i="14"/>
  <c r="Q35" i="14" s="1"/>
  <c r="P19" i="14"/>
  <c r="Q19" i="14" s="1"/>
  <c r="P36" i="14"/>
  <c r="Q36" i="14" s="1"/>
  <c r="P20" i="14"/>
  <c r="Q20" i="14" s="1"/>
  <c r="P37" i="14"/>
  <c r="Q37" i="14" s="1"/>
  <c r="P21" i="14"/>
  <c r="Q21" i="14" s="1"/>
  <c r="P71" i="14"/>
  <c r="Q71" i="14" s="1"/>
  <c r="P64" i="14"/>
  <c r="Q64" i="14" s="1"/>
  <c r="P66" i="14"/>
  <c r="Q66" i="14" s="1"/>
  <c r="P67" i="14"/>
  <c r="Q67" i="14" s="1"/>
  <c r="P68" i="14"/>
  <c r="Q68" i="14" s="1"/>
  <c r="P63" i="14"/>
  <c r="Q63" i="14" s="1"/>
  <c r="G63" i="14"/>
  <c r="H63" i="14" s="1"/>
  <c r="P31" i="14"/>
  <c r="Q31" i="14" s="1"/>
  <c r="P15" i="14"/>
  <c r="Q15" i="14" s="1"/>
  <c r="P39" i="14"/>
  <c r="Q39" i="14" s="1"/>
  <c r="P23" i="14"/>
  <c r="Q23" i="14" s="1"/>
  <c r="P38" i="14"/>
  <c r="Q38" i="14" s="1"/>
  <c r="P22" i="14"/>
  <c r="Q22" i="14" s="1"/>
  <c r="P18" i="14"/>
  <c r="Q18" i="14" s="1"/>
  <c r="P32" i="14"/>
  <c r="Q32" i="14" s="1"/>
  <c r="P16" i="14"/>
  <c r="Q16" i="14" s="1"/>
  <c r="G31" i="14"/>
  <c r="H31" i="14" s="1"/>
  <c r="G15" i="14"/>
  <c r="H15" i="14" s="1"/>
  <c r="G39" i="14"/>
  <c r="H39" i="14" s="1"/>
  <c r="G23" i="14"/>
  <c r="H23" i="14" s="1"/>
  <c r="G38" i="14"/>
  <c r="H38" i="14" s="1"/>
  <c r="G22" i="14"/>
  <c r="H22" i="14" s="1"/>
  <c r="G18" i="14"/>
  <c r="H18" i="14" s="1"/>
  <c r="G32" i="14"/>
  <c r="H32" i="14" s="1"/>
  <c r="G16" i="14"/>
  <c r="H16" i="14" s="1"/>
  <c r="J31" i="14"/>
  <c r="K31" i="14" s="1"/>
  <c r="J15" i="14"/>
  <c r="K15" i="14" s="1"/>
  <c r="J39" i="14"/>
  <c r="K39" i="14" s="1"/>
  <c r="J23" i="14"/>
  <c r="K23" i="14" s="1"/>
  <c r="J38" i="14"/>
  <c r="K38" i="14" s="1"/>
  <c r="J22" i="14"/>
  <c r="K22" i="14" s="1"/>
  <c r="J18" i="14"/>
  <c r="K18" i="14" s="1"/>
  <c r="J32" i="14"/>
  <c r="K32" i="14" s="1"/>
  <c r="J16" i="14"/>
  <c r="K16" i="14" s="1"/>
  <c r="S34" i="14" l="1"/>
  <c r="S71" i="14"/>
  <c r="S52" i="14"/>
  <c r="W17" i="14"/>
  <c r="S50" i="14"/>
  <c r="S70" i="14"/>
  <c r="S32" i="14"/>
  <c r="S37" i="14"/>
  <c r="S51" i="14"/>
  <c r="S64" i="14"/>
  <c r="S54" i="14"/>
  <c r="W20" i="14"/>
  <c r="S53" i="14"/>
  <c r="S67" i="14"/>
  <c r="S38" i="14"/>
  <c r="S68" i="14"/>
  <c r="S36" i="14"/>
  <c r="S48" i="14"/>
  <c r="W22" i="14"/>
  <c r="S63" i="14"/>
  <c r="H72" i="14"/>
  <c r="I6" i="14" s="1"/>
  <c r="K6" i="11" s="1"/>
  <c r="Q72" i="14"/>
  <c r="I9" i="14" s="1"/>
  <c r="K9" i="11" s="1"/>
  <c r="L9" i="11" s="1"/>
  <c r="K24" i="14"/>
  <c r="F7" i="14" s="1"/>
  <c r="B7" i="11" s="1"/>
  <c r="S39" i="14"/>
  <c r="W19" i="14"/>
  <c r="S35" i="14"/>
  <c r="W18" i="14"/>
  <c r="W23" i="14"/>
  <c r="W15" i="14"/>
  <c r="S66" i="14"/>
  <c r="S69" i="14"/>
  <c r="K56" i="14"/>
  <c r="H7" i="14" s="1"/>
  <c r="S47" i="14"/>
  <c r="Q56" i="14"/>
  <c r="H9" i="14" s="1"/>
  <c r="W16" i="14"/>
  <c r="S31" i="14"/>
  <c r="W21" i="14"/>
  <c r="K72" i="14"/>
  <c r="I7" i="14" s="1"/>
  <c r="S49" i="14"/>
  <c r="O56" i="14"/>
  <c r="O58" i="14" s="1"/>
  <c r="I56" i="14"/>
  <c r="F72" i="14"/>
  <c r="F74" i="14" s="1"/>
  <c r="O72" i="14"/>
  <c r="O74" i="14" s="1"/>
  <c r="Q74" i="14"/>
  <c r="I72" i="14"/>
  <c r="I74" i="14" s="1"/>
  <c r="R24" i="14"/>
  <c r="R40" i="14"/>
  <c r="Q40" i="14"/>
  <c r="K40" i="14"/>
  <c r="H40" i="14"/>
  <c r="S56" i="14" l="1"/>
  <c r="I12" i="14"/>
  <c r="K7" i="11"/>
  <c r="L7" i="11" s="1"/>
  <c r="S72" i="14"/>
  <c r="H12" i="14"/>
  <c r="E32" i="11"/>
  <c r="I58" i="14"/>
  <c r="S58" i="14" s="1"/>
  <c r="S74" i="14"/>
  <c r="H6" i="11"/>
  <c r="G7" i="14"/>
  <c r="E7" i="11" s="1"/>
  <c r="H9" i="11"/>
  <c r="G6" i="14"/>
  <c r="G9" i="14"/>
  <c r="E9" i="11" s="1"/>
  <c r="H7" i="11"/>
  <c r="S40" i="14"/>
  <c r="E6" i="11" l="1"/>
  <c r="E28" i="11" s="1"/>
  <c r="G12" i="14"/>
  <c r="E30" i="11"/>
  <c r="M7" i="11"/>
  <c r="G10" i="14"/>
  <c r="H10" i="14"/>
  <c r="L6" i="11"/>
  <c r="I10" i="14"/>
  <c r="T23" i="14"/>
  <c r="F32" i="11" l="1"/>
  <c r="M6" i="11"/>
  <c r="M9" i="11"/>
  <c r="D32" i="11" l="1"/>
  <c r="I32" i="11" s="1"/>
  <c r="T18" i="14"/>
  <c r="T22" i="14"/>
  <c r="I40" i="14" l="1"/>
  <c r="T16" i="14"/>
  <c r="T15" i="14"/>
  <c r="I42" i="14" l="1"/>
  <c r="C39" i="11"/>
  <c r="E39" i="11"/>
  <c r="I24" i="14" l="1"/>
  <c r="I26" i="14" s="1"/>
  <c r="F40" i="14" l="1"/>
  <c r="F42" i="14" l="1"/>
  <c r="O40" i="14" l="1"/>
  <c r="F9" i="11"/>
  <c r="G9" i="11" s="1"/>
  <c r="O42" i="14" l="1"/>
  <c r="S42" i="14" s="1"/>
  <c r="F7" i="11"/>
  <c r="G7" i="11" l="1"/>
  <c r="I18" i="2"/>
  <c r="M18" i="2"/>
  <c r="E18" i="2"/>
  <c r="G18" i="2" s="1"/>
  <c r="I7" i="11" l="1"/>
  <c r="F6" i="2"/>
  <c r="J7" i="11" l="1"/>
  <c r="I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9" i="11" l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J7" i="14" l="1"/>
  <c r="K7" i="14" l="1"/>
  <c r="E10" i="11"/>
  <c r="B17" i="11" s="1"/>
  <c r="K10" i="11"/>
  <c r="B19" i="11" s="1"/>
  <c r="L10" i="11"/>
  <c r="C19" i="11" s="1"/>
  <c r="F6" i="11"/>
  <c r="F28" i="11" s="1"/>
  <c r="F10" i="11" l="1"/>
  <c r="C17" i="11" s="1"/>
  <c r="H10" i="11"/>
  <c r="B18" i="11" s="1"/>
  <c r="B47" i="11" s="1"/>
  <c r="B46" i="11"/>
  <c r="G46" i="11" s="1"/>
  <c r="B48" i="11"/>
  <c r="M10" i="11"/>
  <c r="D19" i="11" s="1"/>
  <c r="C7" i="11"/>
  <c r="N7" i="11"/>
  <c r="G6" i="11"/>
  <c r="D28" i="11" s="1"/>
  <c r="I28" i="11" s="1"/>
  <c r="I6" i="11"/>
  <c r="F30" i="11" s="1"/>
  <c r="O7" i="11" l="1"/>
  <c r="I10" i="11"/>
  <c r="C18" i="11" s="1"/>
  <c r="G10" i="11"/>
  <c r="D17" i="11" s="1"/>
  <c r="D7" i="11"/>
  <c r="J6" i="11"/>
  <c r="D30" i="11" s="1"/>
  <c r="I30" i="11" s="1"/>
  <c r="G47" i="11"/>
  <c r="P7" i="11" l="1"/>
  <c r="J10" i="11"/>
  <c r="D18" i="11" s="1"/>
  <c r="G48" i="11"/>
  <c r="G49" i="11"/>
  <c r="F24" i="14" l="1"/>
  <c r="F26" i="14" s="1"/>
  <c r="H24" i="14"/>
  <c r="F6" i="14" s="1"/>
  <c r="B6" i="11" l="1"/>
  <c r="C6" i="11" s="1"/>
  <c r="J6" i="14"/>
  <c r="N6" i="11" l="1"/>
  <c r="D6" i="11"/>
  <c r="O6" i="11"/>
  <c r="K6" i="14"/>
  <c r="W24" i="14"/>
  <c r="O24" i="14"/>
  <c r="O26" i="14" s="1"/>
  <c r="Q24" i="14"/>
  <c r="Q26" i="14" s="1"/>
  <c r="S26" i="14" l="1"/>
  <c r="P6" i="11"/>
  <c r="F9" i="14"/>
  <c r="B9" i="11" l="1"/>
  <c r="E26" i="11" s="1"/>
  <c r="E34" i="11" s="1"/>
  <c r="F12" i="14"/>
  <c r="F10" i="14"/>
  <c r="J9" i="14"/>
  <c r="J12" i="14" s="1"/>
  <c r="J10" i="14" l="1"/>
  <c r="K9" i="14"/>
  <c r="N9" i="11"/>
  <c r="N10" i="11" s="1"/>
  <c r="B10" i="11"/>
  <c r="B16" i="11" s="1"/>
  <c r="C9" i="11"/>
  <c r="F26" i="11" s="1"/>
  <c r="F34" i="11" s="1"/>
  <c r="K10" i="14" l="1"/>
  <c r="K12" i="14"/>
  <c r="O9" i="11"/>
  <c r="O10" i="11" s="1"/>
  <c r="B20" i="11"/>
  <c r="B45" i="11"/>
  <c r="C10" i="11"/>
  <c r="C16" i="11" s="1"/>
  <c r="C20" i="11" s="1"/>
  <c r="D9" i="11"/>
  <c r="D26" i="11" s="1"/>
  <c r="D34" i="11" l="1"/>
  <c r="I26" i="11"/>
  <c r="I34" i="11" s="1"/>
  <c r="K34" i="11" s="1"/>
  <c r="B51" i="11"/>
  <c r="P9" i="11"/>
  <c r="P10" i="11" s="1"/>
  <c r="G45" i="11"/>
  <c r="D10" i="11"/>
  <c r="C5" i="17"/>
  <c r="F5" i="17" s="1"/>
  <c r="D21" i="11"/>
  <c r="D16" i="11"/>
  <c r="D20" i="11" s="1"/>
  <c r="G50" i="11" l="1"/>
  <c r="G51" i="11" s="1"/>
  <c r="C51" i="11"/>
  <c r="B38" i="11"/>
  <c r="B39" i="11" s="1"/>
  <c r="D5" i="17"/>
  <c r="E5" i="17" s="1"/>
  <c r="F38" i="11" l="1"/>
  <c r="F39" i="11" s="1"/>
  <c r="F40" i="11" s="1"/>
  <c r="E50" i="11" s="1"/>
  <c r="D38" i="11"/>
  <c r="D39" i="11" s="1"/>
  <c r="D40" i="11" s="1"/>
  <c r="D50" i="11" s="1"/>
  <c r="D13" i="17"/>
  <c r="D14" i="17"/>
  <c r="E46" i="11" l="1"/>
  <c r="D46" i="11"/>
  <c r="F46" i="11" s="1"/>
  <c r="E45" i="11"/>
  <c r="E47" i="11"/>
  <c r="E49" i="11"/>
  <c r="D48" i="11"/>
  <c r="F48" i="11" s="1"/>
  <c r="E48" i="11"/>
  <c r="D47" i="11"/>
  <c r="F47" i="11" s="1"/>
  <c r="D45" i="11"/>
  <c r="D49" i="11"/>
  <c r="F49" i="11" s="1"/>
  <c r="H5" i="17"/>
  <c r="G5" i="17"/>
  <c r="D15" i="17" s="1"/>
  <c r="F45" i="11" l="1"/>
  <c r="D51" i="11"/>
  <c r="E51" i="11"/>
  <c r="K5" i="17"/>
  <c r="D10" i="17" s="1"/>
  <c r="D17" i="17" s="1"/>
  <c r="I5" i="17"/>
  <c r="D9" i="17" s="1"/>
  <c r="F51" i="11" l="1"/>
  <c r="A57" i="11" s="1"/>
  <c r="C59" i="11" s="1"/>
  <c r="B59" i="11" s="1"/>
  <c r="J5" i="17"/>
  <c r="D8" i="17" s="1"/>
  <c r="E59" i="11" l="1"/>
  <c r="D59" i="11"/>
</calcChain>
</file>

<file path=xl/sharedStrings.xml><?xml version="1.0" encoding="utf-8"?>
<sst xmlns="http://schemas.openxmlformats.org/spreadsheetml/2006/main" count="906" uniqueCount="279">
  <si>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</si>
  <si>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</si>
  <si>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</si>
  <si>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</si>
  <si>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</si>
  <si>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</si>
  <si>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</si>
  <si>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</si>
  <si>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</si>
  <si>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</si>
  <si>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</si>
  <si>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</si>
  <si>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</si>
  <si>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</si>
  <si>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</si>
  <si>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</si>
  <si>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</si>
  <si>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</si>
  <si>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</si>
  <si>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</si>
  <si>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</si>
  <si>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</si>
  <si>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</si>
  <si>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</si>
  <si>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</si>
  <si>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</si>
  <si>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</si>
  <si>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</si>
  <si>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</si>
  <si>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</si>
  <si>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</si>
  <si>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</si>
  <si>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</si>
  <si>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</si>
  <si>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</si>
  <si>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</si>
  <si>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</si>
  <si>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</si>
  <si>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</si>
  <si>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</si>
  <si>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</si>
  <si>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</si>
  <si>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</si>
  <si>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</si>
  <si>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</si>
  <si>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</si>
  <si>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</si>
  <si>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</si>
  <si>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</si>
  <si>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</si>
  <si>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</si>
  <si>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</si>
  <si>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</si>
  <si>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</si>
  <si>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</si>
  <si>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</si>
  <si>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</si>
  <si>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</si>
  <si>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</si>
  <si>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</si>
  <si>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</si>
  <si>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</si>
  <si>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</si>
  <si>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</si>
  <si>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</si>
  <si>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</si>
  <si>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</si>
  <si>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</si>
  <si>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</si>
  <si>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</si>
  <si>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</si>
  <si>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</si>
  <si>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</si>
  <si>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</si>
  <si>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</si>
  <si>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</si>
  <si>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</si>
  <si>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</si>
  <si>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</si>
  <si>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</si>
  <si>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</si>
  <si>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</si>
  <si>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</si>
  <si>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</si>
  <si>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</si>
  <si>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</si>
  <si>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</si>
  <si>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</si>
  <si>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</si>
  <si>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</si>
  <si>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</si>
  <si>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</si>
  <si>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</si>
  <si>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</si>
  <si>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</si>
  <si>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</si>
  <si>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</si>
  <si>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</si>
  <si>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</si>
  <si>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</si>
  <si>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</si>
  <si>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</si>
  <si>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</si>
  <si>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</si>
  <si>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</si>
  <si>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</si>
  <si>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</si>
  <si>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</si>
  <si>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</si>
  <si>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</si>
  <si>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</si>
  <si>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</si>
  <si>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</si>
  <si>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</si>
  <si>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</si>
  <si>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</si>
  <si>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</si>
  <si>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</si>
  <si>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</si>
  <si>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</si>
  <si>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</si>
  <si>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</si>
  <si>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</si>
  <si>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</si>
  <si>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</si>
  <si>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</si>
  <si>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</si>
  <si>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</si>
  <si>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</si>
  <si>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</si>
  <si>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</si>
  <si>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</si>
  <si>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</si>
  <si>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</si>
  <si>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</si>
  <si>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</si>
  <si>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</si>
  <si>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</si>
  <si>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</si>
  <si>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</si>
  <si>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</si>
  <si>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</si>
  <si>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</si>
  <si>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</si>
  <si>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</si>
  <si>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</si>
  <si>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</si>
  <si>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</si>
  <si>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</si>
  <si>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</si>
  <si>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</si>
  <si>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</si>
  <si>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</si>
  <si>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</si>
  <si>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</si>
  <si>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</si>
  <si>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</si>
  <si>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</si>
  <si>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</si>
  <si>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</si>
  <si>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</si>
  <si>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</si>
  <si>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</si>
  <si>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</si>
  <si>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</si>
  <si>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</si>
  <si>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</si>
  <si>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</si>
  <si>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</si>
  <si>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</si>
  <si>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</si>
  <si>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</si>
  <si>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</si>
  <si>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</si>
  <si>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</si>
  <si>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2023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</si>
  <si>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</si>
  <si>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</si>
  <si>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</si>
  <si>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</si>
  <si>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</si>
  <si>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</si>
  <si>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</si>
  <si>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</si>
  <si>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</si>
  <si>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€ Llicències</t>
  </si>
  <si>
    <t>Preu perfil IVA inclòs</t>
  </si>
  <si>
    <t>Preu perfil IVA exclòs</t>
  </si>
  <si>
    <t>Import Total IVA exclòs</t>
  </si>
  <si>
    <t>Import Total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</si>
  <si>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</si>
  <si>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</si>
  <si>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</si>
  <si>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</si>
  <si>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SER9999</t>
  </si>
  <si>
    <t>Genèric</t>
  </si>
  <si>
    <t>APP9999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</si>
  <si>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</si>
  <si>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</si>
  <si>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</si>
  <si>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</si>
  <si>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</si>
  <si>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Mesos transició</t>
  </si>
  <si>
    <t>Mesos</t>
  </si>
  <si>
    <t>Preu / hora /perfil</t>
  </si>
  <si>
    <t>Import 2025</t>
  </si>
  <si>
    <t xml:space="preserve"> </t>
  </si>
  <si>
    <t xml:space="preserve">TOTAL </t>
  </si>
  <si>
    <t>36 mesos</t>
  </si>
  <si>
    <t>2 transició</t>
  </si>
  <si>
    <t>34 servei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</si>
  <si>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</si>
  <si>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AM OSAM (3+2)</t>
  </si>
  <si>
    <t>SER0299</t>
  </si>
  <si>
    <t xml:space="preserve">Servei Aplicacions Mobils  </t>
  </si>
  <si>
    <t>N/A</t>
  </si>
  <si>
    <t>OSAM - Aplicacions mòbils</t>
  </si>
  <si>
    <t>SER0393</t>
  </si>
  <si>
    <t>Vincles</t>
  </si>
  <si>
    <t>Període</t>
  </si>
  <si>
    <t>Capítol</t>
  </si>
  <si>
    <t>II</t>
  </si>
  <si>
    <t>VI</t>
  </si>
  <si>
    <t>de l'1-1 al 31-12</t>
  </si>
  <si>
    <t>  </t>
  </si>
  <si>
    <t>Serveis d'evolutius recurrents</t>
  </si>
  <si>
    <t>º</t>
  </si>
  <si>
    <t>de l'1-8 al 31-12</t>
  </si>
  <si>
    <t>de l'1-10 al 31-12</t>
  </si>
  <si>
    <t>de l'1-1 al 31-7</t>
  </si>
  <si>
    <t>Import 2026</t>
  </si>
  <si>
    <t>ANY 2023 2 mesos de transició + 3 mesos de servei</t>
  </si>
  <si>
    <t>Data inici possible pròrroga</t>
  </si>
  <si>
    <t>Data màxima fi pròrroga</t>
  </si>
  <si>
    <t>Scrum Master</t>
  </si>
  <si>
    <t>Cap de projecte sènior</t>
  </si>
  <si>
    <t>Cap de projecte júnior</t>
  </si>
  <si>
    <t>Full Stack Desenvolupador mòbil</t>
  </si>
  <si>
    <t>Analista / Desenvolupador Python/mòbil (Android/IOS/webapps/Xamarin/Kotlin/Flutter/IONIC)</t>
  </si>
  <si>
    <t>Desenvolupador mòbil junior Flutter</t>
  </si>
  <si>
    <t>Tècnic JIRA / Confluence</t>
  </si>
  <si>
    <t>Especialista IC</t>
  </si>
  <si>
    <t>€ Evolutius recurrents</t>
  </si>
  <si>
    <t>PT  Evolutius recurrents</t>
  </si>
  <si>
    <t>APP0481</t>
  </si>
  <si>
    <t>Palantir Mobile</t>
  </si>
  <si>
    <t>Barcelona a la Butxaca</t>
  </si>
  <si>
    <t>SER0630</t>
  </si>
  <si>
    <t>Aplicacions mobilitat BSM</t>
  </si>
  <si>
    <t>La Mercè</t>
  </si>
  <si>
    <t>BCN Llum</t>
  </si>
  <si>
    <t>ANY 2026 7 mesos de servei</t>
  </si>
  <si>
    <t>Aplicació de gestió de mòduls i serveis comuns de la OSAM</t>
  </si>
  <si>
    <t>ANYS 2024</t>
  </si>
  <si>
    <t>ANYS 2025</t>
  </si>
  <si>
    <t>BCN+65</t>
  </si>
  <si>
    <t>C2</t>
  </si>
  <si>
    <t>C6</t>
  </si>
  <si>
    <t>Cost 
Indirecte (6,4 %)</t>
  </si>
  <si>
    <t>Costos salarials - Seguretat Social (34%)*</t>
  </si>
  <si>
    <t>Despeses generals d’estructura (6,40%)**</t>
  </si>
  <si>
    <t>Benefici industrial (20%)**</t>
  </si>
  <si>
    <t>*Percentatge calculat sobre el salari brut.</t>
  </si>
  <si>
    <t>**Percentatge calculat sobre el cost total del contracte.</t>
  </si>
  <si>
    <t>Coordinador/a del contracte / Responsable de contracte</t>
  </si>
  <si>
    <t>Arquitecte/a / Responsable seguretat</t>
  </si>
  <si>
    <t>Analista / Desenvolupador/a Python/mòbil (Android/IOS/webapps/Xamarin/Kotlin/Flutter/IONIC)</t>
  </si>
  <si>
    <t>Tècnic/a JIRA / Confluence</t>
  </si>
  <si>
    <t>Tècnic/a Testing</t>
  </si>
  <si>
    <t>Tècnic/a Usabilitat</t>
  </si>
  <si>
    <t>Tècnic/a Accessibilitat</t>
  </si>
  <si>
    <t>Tècnic/a markets</t>
  </si>
  <si>
    <t>Desenvolupador/a mòbil júnior Flutter</t>
  </si>
  <si>
    <t>Consultor/a Júnior / Suport HelpDesk de primer nivell</t>
  </si>
  <si>
    <t>Consultor/a legal</t>
  </si>
  <si>
    <t>Full Stack Desenvolupador/a mòbil</t>
  </si>
  <si>
    <t>Expert/a analista ASO i analítica per aplicacions mòbils</t>
  </si>
  <si>
    <t>Dissenyador/a gràfic/a</t>
  </si>
  <si>
    <t>Import màxim €/hora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</si>
</sst>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_-* #,##0\ _€_-;\-* #,##0\ _€_-;_-* &quot;-&quot;??\ _€_-;_-@_-"/>
    <numFmt numFmtId="172" formatCode="#,##0.000"/>
    <numFmt numFmtId="173" formatCode="#,##0.000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0"/>
      <color rgb="FFFF0000"/>
      <name val="Calibri"/>
      <family val="2"/>
    </font>
    <font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300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13" borderId="0" xfId="0" applyFont="1" applyFill="1"/>
    <xf numFmtId="0" fontId="0" fillId="0" borderId="2" xfId="0" applyBorder="1" applyAlignment="1">
      <alignment horizontal="left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5" fillId="17" borderId="0" xfId="0" applyFont="1" applyFill="1" applyAlignment="1">
      <alignment horizontal="left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1" fillId="0" borderId="9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4" fontId="29" fillId="0" borderId="2" xfId="0" applyNumberFormat="1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 applyAlignment="1" applyProtection="1">
      <alignment wrapText="1"/>
      <protection locked="0"/>
    </xf>
    <xf numFmtId="0" fontId="9" fillId="17" borderId="0" xfId="0" applyFont="1" applyFill="1" applyProtection="1">
      <protection locked="0"/>
    </xf>
    <xf numFmtId="4" fontId="1" fillId="0" borderId="2" xfId="0" applyNumberFormat="1" applyFont="1" applyFill="1" applyBorder="1" applyAlignment="1">
      <alignment horizontal="center"/>
    </xf>
    <xf numFmtId="9" fontId="0" fillId="0" borderId="0" xfId="2" applyFont="1"/>
    <xf numFmtId="3" fontId="3" fillId="0" borderId="2" xfId="0" applyNumberFormat="1" applyFont="1" applyBorder="1" applyAlignment="1">
      <alignment horizontal="center" vertical="center"/>
    </xf>
    <xf numFmtId="0" fontId="0" fillId="0" borderId="2" xfId="0" applyFont="1" applyBorder="1" applyProtection="1">
      <protection locked="0"/>
    </xf>
    <xf numFmtId="0" fontId="0" fillId="0" borderId="7" xfId="0" applyFill="1" applyBorder="1"/>
    <xf numFmtId="0" fontId="0" fillId="0" borderId="7" xfId="0" applyBorder="1"/>
    <xf numFmtId="4" fontId="0" fillId="0" borderId="7" xfId="0" applyNumberFormat="1" applyBorder="1"/>
    <xf numFmtId="0" fontId="0" fillId="0" borderId="0" xfId="0" applyFont="1" applyAlignment="1">
      <alignment horizontal="center" wrapText="1"/>
    </xf>
    <xf numFmtId="14" fontId="9" fillId="0" borderId="0" xfId="0" applyNumberFormat="1" applyFont="1" applyAlignment="1">
      <alignment horizontal="center"/>
    </xf>
    <xf numFmtId="171" fontId="9" fillId="0" borderId="0" xfId="10" applyNumberFormat="1" applyFont="1" applyAlignment="1">
      <alignment horizontal="center"/>
    </xf>
    <xf numFmtId="164" fontId="29" fillId="0" borderId="2" xfId="1" applyNumberFormat="1" applyFont="1" applyFill="1" applyBorder="1" applyAlignment="1">
      <alignment horizontal="center" vertical="center"/>
    </xf>
    <xf numFmtId="172" fontId="29" fillId="0" borderId="0" xfId="0" applyNumberFormat="1" applyFont="1" applyBorder="1" applyAlignment="1">
      <alignment horizontal="center" vertical="center"/>
    </xf>
    <xf numFmtId="172" fontId="11" fillId="11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Border="1" applyAlignment="1">
      <alignment horizontal="right" vertical="center"/>
    </xf>
    <xf numFmtId="0" fontId="0" fillId="0" borderId="0" xfId="0" applyFont="1"/>
    <xf numFmtId="173" fontId="29" fillId="0" borderId="0" xfId="0" applyNumberFormat="1" applyFont="1" applyFill="1" applyBorder="1" applyAlignment="1">
      <alignment horizontal="center" vertical="center"/>
    </xf>
    <xf numFmtId="173" fontId="29" fillId="0" borderId="0" xfId="0" applyNumberFormat="1" applyFont="1" applyBorder="1" applyAlignment="1">
      <alignment horizontal="center" vertical="center"/>
    </xf>
    <xf numFmtId="0" fontId="0" fillId="0" borderId="2" xfId="0" applyBorder="1" applyAlignment="1"/>
    <xf numFmtId="44" fontId="14" fillId="11" borderId="2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left"/>
    </xf>
    <xf numFmtId="0" fontId="1" fillId="0" borderId="0" xfId="0" applyFont="1" applyAlignment="1" applyProtection="1">
      <alignment horizontal="right"/>
      <protection locked="0"/>
    </xf>
    <xf numFmtId="9" fontId="9" fillId="0" borderId="0" xfId="2" applyFont="1"/>
    <xf numFmtId="14" fontId="29" fillId="20" borderId="0" xfId="0" applyNumberFormat="1" applyFont="1" applyFill="1" applyAlignment="1">
      <alignment wrapText="1"/>
    </xf>
    <xf numFmtId="14" fontId="29" fillId="20" borderId="0" xfId="0" applyNumberFormat="1" applyFont="1" applyFill="1"/>
    <xf numFmtId="0" fontId="1" fillId="17" borderId="0" xfId="0" applyFont="1" applyFill="1" applyAlignment="1" applyProtection="1">
      <alignment horizontal="right"/>
      <protection locked="0"/>
    </xf>
    <xf numFmtId="10" fontId="2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44" fontId="41" fillId="11" borderId="2" xfId="0" applyNumberFormat="1" applyFont="1" applyFill="1" applyBorder="1" applyAlignment="1">
      <alignment horizontal="right" vertical="center"/>
    </xf>
    <xf numFmtId="0" fontId="17" fillId="14" borderId="4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0" fontId="14" fillId="21" borderId="2" xfId="0" applyFont="1" applyFill="1" applyBorder="1" applyAlignment="1">
      <alignment horizontal="center"/>
    </xf>
    <xf numFmtId="44" fontId="18" fillId="21" borderId="2" xfId="0" applyNumberFormat="1" applyFont="1" applyFill="1" applyBorder="1" applyAlignment="1">
      <alignment horizontal="center" vertical="center" wrapText="1"/>
    </xf>
    <xf numFmtId="44" fontId="15" fillId="0" borderId="2" xfId="0" applyNumberFormat="1" applyFont="1" applyBorder="1"/>
    <xf numFmtId="0" fontId="18" fillId="21" borderId="2" xfId="0" applyFont="1" applyFill="1" applyBorder="1" applyAlignment="1">
      <alignment horizontal="center" vertical="center" wrapText="1"/>
    </xf>
    <xf numFmtId="44" fontId="14" fillId="21" borderId="2" xfId="0" applyNumberFormat="1" applyFont="1" applyFill="1" applyBorder="1" applyAlignment="1">
      <alignment horizontal="center"/>
    </xf>
    <xf numFmtId="44" fontId="21" fillId="0" borderId="2" xfId="0" applyNumberFormat="1" applyFont="1" applyFill="1" applyBorder="1" applyAlignment="1">
      <alignment horizontal="right" vertical="center"/>
    </xf>
    <xf numFmtId="0" fontId="11" fillId="0" borderId="0" xfId="0" applyNumberFormat="1" applyFont="1" applyFill="1" applyBorder="1" applyAlignment="1" applyProtection="1">
      <alignment horizontal="center" wrapText="1"/>
      <protection hidden="1"/>
    </xf>
    <xf numFmtId="14" fontId="29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Alignment="1" applyProtection="1">
      <alignment horizontal="center" wrapText="1"/>
      <protection hidden="1"/>
    </xf>
    <xf numFmtId="14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Border="1" applyAlignment="1">
      <alignment horizontal="left" wrapText="1"/>
    </xf>
    <xf numFmtId="10" fontId="0" fillId="0" borderId="28" xfId="0" applyNumberFormat="1" applyBorder="1"/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7" xfId="0" applyBorder="1" applyAlignment="1">
      <alignment wrapText="1"/>
    </xf>
    <xf numFmtId="4" fontId="1" fillId="0" borderId="0" xfId="0" applyNumberFormat="1" applyFont="1" applyAlignment="1">
      <alignment horizontal="left" wrapText="1"/>
    </xf>
    <xf numFmtId="3" fontId="0" fillId="0" borderId="2" xfId="0" applyNumberFormat="1" applyFont="1" applyBorder="1" applyAlignment="1">
      <alignment horizontal="center" vertical="center"/>
    </xf>
    <xf numFmtId="2" fontId="0" fillId="0" borderId="29" xfId="0" applyNumberFormat="1" applyBorder="1"/>
    <xf numFmtId="0" fontId="42" fillId="0" borderId="0" xfId="0" applyFont="1" applyBorder="1" applyAlignment="1">
      <alignment horizontal="left" vertical="top"/>
    </xf>
    <xf numFmtId="4" fontId="0" fillId="0" borderId="0" xfId="0" applyNumberFormat="1"/>
    <xf numFmtId="9" fontId="0" fillId="0" borderId="0" xfId="0" applyNumberFormat="1"/>
    <xf numFmtId="171" fontId="9" fillId="0" borderId="0" xfId="0" applyNumberFormat="1" applyFont="1"/>
    <xf numFmtId="0" fontId="0" fillId="0" borderId="30" xfId="0" applyBorder="1" applyAlignment="1">
      <alignment horizontal="left"/>
    </xf>
    <xf numFmtId="4" fontId="1" fillId="17" borderId="31" xfId="0" applyNumberFormat="1" applyFont="1" applyFill="1" applyBorder="1" applyAlignment="1">
      <alignment horizontal="center"/>
    </xf>
    <xf numFmtId="0" fontId="0" fillId="0" borderId="30" xfId="0" applyBorder="1" applyAlignment="1">
      <alignment horizontal="left" wrapText="1"/>
    </xf>
    <xf numFmtId="0" fontId="0" fillId="0" borderId="32" xfId="0" applyBorder="1" applyAlignment="1">
      <alignment horizontal="left"/>
    </xf>
    <xf numFmtId="4" fontId="1" fillId="0" borderId="33" xfId="0" applyNumberFormat="1" applyFont="1" applyFill="1" applyBorder="1" applyAlignment="1">
      <alignment horizontal="center"/>
    </xf>
    <xf numFmtId="4" fontId="1" fillId="17" borderId="34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33" xfId="0" applyNumberFormat="1" applyFont="1" applyFill="1" applyBorder="1" applyAlignment="1" applyProtection="1">
      <alignment horizontal="center"/>
      <protection locked="0"/>
    </xf>
    <xf numFmtId="0" fontId="1" fillId="11" borderId="7" xfId="0" applyFont="1" applyFill="1" applyBorder="1" applyAlignment="1">
      <alignment horizontal="left"/>
    </xf>
    <xf numFmtId="0" fontId="7" fillId="18" borderId="25" xfId="0" applyFont="1" applyFill="1" applyBorder="1" applyAlignment="1">
      <alignment horizontal="center" vertical="center" wrapText="1"/>
    </xf>
    <xf numFmtId="0" fontId="7" fillId="18" borderId="26" xfId="0" applyFont="1" applyFill="1" applyBorder="1" applyAlignment="1">
      <alignment horizontal="center" vertical="center" wrapText="1"/>
    </xf>
    <xf numFmtId="0" fontId="7" fillId="18" borderId="24" xfId="0" applyFont="1" applyFill="1" applyBorder="1" applyAlignment="1">
      <alignment horizontal="center" vertical="center" wrapText="1"/>
    </xf>
    <xf numFmtId="0" fontId="7" fillId="18" borderId="27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39" fillId="14" borderId="23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1">
    <cellStyle name="Coma 2" xfId="5"/>
    <cellStyle name="Millares" xfId="10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202406</xdr:colOff>
          <xdr:row>29</xdr:row>
          <xdr:rowOff>326231</xdr:rowOff>
        </xdr:from>
        <xdr:to>
          <xdr:col>2</xdr:col>
          <xdr:colOff>150019</xdr:colOff>
          <xdr:row>29</xdr:row>
          <xdr:rowOff>507206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202406</xdr:colOff>
          <xdr:row>29</xdr:row>
          <xdr:rowOff>326231</xdr:rowOff>
        </xdr:from>
        <xdr:to>
          <xdr:col>2</xdr:col>
          <xdr:colOff>150019</xdr:colOff>
          <xdr:row>29</xdr:row>
          <xdr:rowOff>507206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202406</xdr:colOff>
          <xdr:row>29</xdr:row>
          <xdr:rowOff>326231</xdr:rowOff>
        </xdr:from>
        <xdr:to>
          <xdr:col>2</xdr:col>
          <xdr:colOff>150019</xdr:colOff>
          <xdr:row>29</xdr:row>
          <xdr:rowOff>507206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202406</xdr:colOff>
          <xdr:row>29</xdr:row>
          <xdr:rowOff>326231</xdr:rowOff>
        </xdr:from>
        <xdr:to>
          <xdr:col>2</xdr:col>
          <xdr:colOff>150019</xdr:colOff>
          <xdr:row>29</xdr:row>
          <xdr:rowOff>507206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202406</xdr:colOff>
          <xdr:row>29</xdr:row>
          <xdr:rowOff>326231</xdr:rowOff>
        </xdr:from>
        <xdr:to>
          <xdr:col>2</xdr:col>
          <xdr:colOff>150019</xdr:colOff>
          <xdr:row>29</xdr:row>
          <xdr:rowOff>507206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C80"/>
  <sheetViews>
    <sheetView tabSelected="1" zoomScale="80" zoomScaleNormal="80" workbookViewId="0"/>
  </sheetViews>
  <sheetFormatPr baseColWidth="10" defaultColWidth="11.42578125" defaultRowHeight="15" x14ac:dyDescent="0.25"/>
  <cols>
    <col min="1" max="1" width="19.140625" style="207" customWidth="1"/>
    <col min="2" max="2" width="11.85546875" style="58" customWidth="1"/>
    <col min="3" max="3" width="39.85546875" style="57" bestFit="1" customWidth="1"/>
    <col min="4" max="4" width="15.140625" style="58" bestFit="1" customWidth="1"/>
    <col min="5" max="5" width="33.140625" style="213" customWidth="1"/>
    <col min="6" max="6" width="21.85546875" style="57" bestFit="1" customWidth="1"/>
    <col min="7" max="7" width="12.28515625" style="57" customWidth="1"/>
    <col min="8" max="8" width="21.28515625" style="59" bestFit="1" customWidth="1"/>
    <col min="9" max="9" width="19.7109375" style="59" bestFit="1" customWidth="1"/>
    <col min="10" max="10" width="14" style="59" customWidth="1"/>
    <col min="11" max="11" width="21.28515625" style="59" bestFit="1" customWidth="1"/>
    <col min="12" max="12" width="17.5703125" style="59" customWidth="1"/>
    <col min="13" max="13" width="12.42578125" style="59" customWidth="1"/>
    <col min="14" max="14" width="15.140625" style="59" customWidth="1"/>
    <col min="15" max="15" width="31.5703125" style="59" bestFit="1" customWidth="1"/>
    <col min="16" max="16" width="15.28515625" style="59" customWidth="1"/>
    <col min="17" max="17" width="14.28515625" style="59" customWidth="1"/>
    <col min="18" max="18" width="14.5703125" style="59" bestFit="1" customWidth="1"/>
    <col min="19" max="19" width="14.7109375" style="59" customWidth="1"/>
    <col min="20" max="20" width="15.7109375" style="59" bestFit="1" customWidth="1"/>
    <col min="21" max="21" width="14.7109375" style="207" bestFit="1" customWidth="1"/>
    <col min="22" max="22" width="16.85546875" style="59" bestFit="1" customWidth="1"/>
    <col min="23" max="23" width="20.140625" style="59" bestFit="1" customWidth="1"/>
    <col min="24" max="25" width="17.85546875" style="60" bestFit="1" customWidth="1"/>
    <col min="26" max="26" width="14.42578125" style="99" customWidth="1"/>
    <col min="27" max="27" width="11.5703125" style="60" bestFit="1" customWidth="1"/>
    <col min="28" max="28" width="18.28515625" style="60" bestFit="1" customWidth="1"/>
    <col min="29" max="29" width="17.28515625" style="60" customWidth="1"/>
    <col min="30" max="30" width="14" style="59" customWidth="1"/>
    <col min="31" max="32" width="11.42578125" style="59"/>
    <col min="33" max="33" width="12.7109375" style="59" bestFit="1" customWidth="1"/>
    <col min="34" max="16384" width="11.42578125" style="59"/>
  </cols>
  <sheetData>
    <row r="1" spans="1:29" ht="31.5" customHeight="1" x14ac:dyDescent="0.25">
      <c r="A1" s="64" t="s">
        <v>212</v>
      </c>
      <c r="B1" s="105"/>
      <c r="C1" s="176"/>
      <c r="D1" s="64"/>
      <c r="E1" s="210"/>
      <c r="F1" s="63" t="s">
        <v>208</v>
      </c>
      <c r="G1" s="59"/>
      <c r="J1" s="232"/>
      <c r="T1" s="207"/>
      <c r="U1" s="59"/>
      <c r="V1" s="218"/>
      <c r="X1" s="59"/>
      <c r="Z1" s="59"/>
      <c r="AA1" s="59"/>
      <c r="AB1" s="59"/>
      <c r="AC1" s="59"/>
    </row>
    <row r="2" spans="1:29" ht="16.5" customHeight="1" x14ac:dyDescent="0.25">
      <c r="A2" s="206" t="s">
        <v>115</v>
      </c>
      <c r="B2" s="247">
        <v>45139</v>
      </c>
      <c r="C2" s="248"/>
      <c r="D2" s="108"/>
      <c r="E2" s="211"/>
      <c r="F2" s="251" t="s">
        <v>209</v>
      </c>
      <c r="G2" s="71"/>
      <c r="I2" s="233"/>
      <c r="S2" s="99"/>
      <c r="T2" s="218"/>
      <c r="U2" s="59"/>
      <c r="V2" s="218"/>
      <c r="X2" s="59"/>
      <c r="Y2" s="59"/>
      <c r="Z2" s="59"/>
      <c r="AA2" s="59"/>
      <c r="AB2" s="59"/>
      <c r="AC2" s="59"/>
    </row>
    <row r="3" spans="1:29" ht="18" customHeight="1" x14ac:dyDescent="0.25">
      <c r="A3" s="39" t="s">
        <v>137</v>
      </c>
      <c r="B3" s="247">
        <v>45202</v>
      </c>
      <c r="C3" s="248"/>
      <c r="D3" s="108"/>
      <c r="E3" s="211"/>
      <c r="F3" s="251" t="s">
        <v>210</v>
      </c>
      <c r="G3" s="71"/>
      <c r="I3" s="233"/>
      <c r="S3" s="99"/>
      <c r="T3" s="218"/>
      <c r="U3" s="59"/>
      <c r="V3" s="218"/>
      <c r="X3" s="59"/>
      <c r="Y3" s="59"/>
      <c r="Z3" s="59"/>
      <c r="AA3" s="59"/>
      <c r="AB3" s="59"/>
      <c r="AC3" s="59"/>
    </row>
    <row r="4" spans="1:29" ht="21.75" customHeight="1" x14ac:dyDescent="0.25">
      <c r="A4" s="206" t="s">
        <v>171</v>
      </c>
      <c r="B4" s="247">
        <v>46234</v>
      </c>
      <c r="C4" s="248"/>
      <c r="D4" s="107"/>
      <c r="E4" s="212"/>
      <c r="G4" s="59">
        <v>12</v>
      </c>
      <c r="H4" s="59">
        <v>12</v>
      </c>
      <c r="I4" s="234">
        <v>7</v>
      </c>
      <c r="J4" s="277"/>
      <c r="S4" s="99"/>
      <c r="T4" s="218"/>
      <c r="U4" s="60"/>
      <c r="V4" s="218"/>
      <c r="X4" s="59"/>
      <c r="Y4" s="59"/>
      <c r="Z4" s="59"/>
      <c r="AA4" s="59"/>
      <c r="AB4" s="59"/>
      <c r="AC4" s="59"/>
    </row>
    <row r="5" spans="1:29" ht="30" x14ac:dyDescent="0.25">
      <c r="A5" s="262" t="s">
        <v>232</v>
      </c>
      <c r="B5" s="263">
        <v>46235</v>
      </c>
      <c r="C5" s="106"/>
      <c r="D5" s="61"/>
      <c r="E5" s="109" t="s">
        <v>0</v>
      </c>
      <c r="F5" s="56" t="s">
        <v>175</v>
      </c>
      <c r="G5" s="56" t="s">
        <v>193</v>
      </c>
      <c r="H5" s="56" t="s">
        <v>205</v>
      </c>
      <c r="I5" s="56" t="s">
        <v>230</v>
      </c>
      <c r="J5" s="200" t="s">
        <v>189</v>
      </c>
      <c r="K5" s="200" t="s">
        <v>188</v>
      </c>
      <c r="U5" s="99"/>
      <c r="V5" s="218"/>
      <c r="X5" s="59"/>
      <c r="Z5" s="59"/>
      <c r="AA5" s="59"/>
      <c r="AB5" s="59"/>
      <c r="AC5" s="59"/>
    </row>
    <row r="6" spans="1:29" ht="30" x14ac:dyDescent="0.25">
      <c r="A6" s="264" t="s">
        <v>233</v>
      </c>
      <c r="B6" s="265">
        <v>46965</v>
      </c>
      <c r="C6" s="178" t="s">
        <v>199</v>
      </c>
      <c r="E6" s="110" t="s">
        <v>7</v>
      </c>
      <c r="F6" s="71">
        <f>+H24</f>
        <v>11994.51</v>
      </c>
      <c r="G6" s="71">
        <f>+H40</f>
        <v>47978.04</v>
      </c>
      <c r="H6" s="71">
        <f>+H56</f>
        <v>47978.04</v>
      </c>
      <c r="I6" s="71">
        <f>H72</f>
        <v>27987.19</v>
      </c>
      <c r="J6" s="71">
        <f>SUM(F6:I6)</f>
        <v>135937.78</v>
      </c>
      <c r="K6" s="201">
        <f>+ROUND(J6/1.21,2)</f>
        <v>112345.27</v>
      </c>
      <c r="U6" s="99"/>
      <c r="V6" s="218"/>
      <c r="X6" s="59"/>
      <c r="Z6" s="103"/>
      <c r="AA6" s="59"/>
      <c r="AB6" s="59"/>
      <c r="AC6" s="59"/>
    </row>
    <row r="7" spans="1:29" x14ac:dyDescent="0.25">
      <c r="B7" s="207"/>
      <c r="C7" s="178" t="s">
        <v>200</v>
      </c>
      <c r="E7" s="110" t="s">
        <v>13</v>
      </c>
      <c r="F7" s="71">
        <f>+K24+V24</f>
        <v>68442.009166666656</v>
      </c>
      <c r="G7" s="71">
        <f>+K40</f>
        <v>213849.46</v>
      </c>
      <c r="H7" s="71">
        <f>+K56</f>
        <v>228849.46</v>
      </c>
      <c r="I7" s="71">
        <f>K72</f>
        <v>133495.53</v>
      </c>
      <c r="J7" s="71">
        <f>SUM(F7:I7)</f>
        <v>644636.45916666661</v>
      </c>
      <c r="K7" s="201">
        <f>+ROUND(J7/1.21,2)</f>
        <v>532757.4</v>
      </c>
      <c r="U7" s="99"/>
      <c r="V7" s="218"/>
      <c r="X7" s="59"/>
      <c r="Y7" s="100"/>
      <c r="Z7" s="100"/>
      <c r="AA7" s="59"/>
      <c r="AB7" s="59"/>
      <c r="AC7" s="59"/>
    </row>
    <row r="8" spans="1:29" x14ac:dyDescent="0.25">
      <c r="B8" s="207"/>
      <c r="C8" s="178" t="s">
        <v>200</v>
      </c>
      <c r="E8" s="271" t="s">
        <v>225</v>
      </c>
      <c r="F8" s="71">
        <f>N24</f>
        <v>80000</v>
      </c>
      <c r="G8" s="71">
        <f>N40</f>
        <v>150000</v>
      </c>
      <c r="H8" s="71">
        <f>N56</f>
        <v>80000</v>
      </c>
      <c r="I8" s="71">
        <f>N72</f>
        <v>47000</v>
      </c>
      <c r="J8" s="71">
        <f>SUM(F8:I8)</f>
        <v>357000</v>
      </c>
      <c r="K8" s="201">
        <f>+ROUND(J8/1.21,2)</f>
        <v>295041.32</v>
      </c>
      <c r="U8" s="99"/>
      <c r="V8" s="218"/>
      <c r="X8" s="59"/>
      <c r="Y8" s="100"/>
      <c r="Z8" s="100"/>
      <c r="AA8" s="59"/>
      <c r="AB8" s="59"/>
      <c r="AC8" s="59"/>
    </row>
    <row r="9" spans="1:29" x14ac:dyDescent="0.25">
      <c r="B9" s="207"/>
      <c r="C9" s="178" t="s">
        <v>201</v>
      </c>
      <c r="E9" s="244" t="s">
        <v>192</v>
      </c>
      <c r="F9" s="71">
        <f>+Q24</f>
        <v>123132.31</v>
      </c>
      <c r="G9" s="71">
        <f>+Q40+R40</f>
        <v>495028.2</v>
      </c>
      <c r="H9" s="71">
        <f>+Q56+R56</f>
        <v>495028.2</v>
      </c>
      <c r="I9" s="71">
        <f>Q72</f>
        <v>287308.71000000002</v>
      </c>
      <c r="J9" s="71">
        <f>SUM(F9:I9)</f>
        <v>1400497.42</v>
      </c>
      <c r="K9" s="201">
        <f>+ROUND(J9/1.21,2)</f>
        <v>1157435.8799999999</v>
      </c>
      <c r="U9" s="99"/>
      <c r="V9" s="218"/>
      <c r="X9" s="59"/>
      <c r="Y9" s="59"/>
      <c r="Z9" s="59"/>
      <c r="AA9" s="59"/>
      <c r="AB9" s="59"/>
      <c r="AC9" s="59"/>
    </row>
    <row r="10" spans="1:29" x14ac:dyDescent="0.25">
      <c r="B10" s="207"/>
      <c r="C10" s="58"/>
      <c r="D10" s="57"/>
      <c r="E10" s="111" t="s">
        <v>135</v>
      </c>
      <c r="F10" s="123">
        <f t="shared" ref="F10:K10" si="0">SUM(F6:F9)</f>
        <v>283568.82916666666</v>
      </c>
      <c r="G10" s="123">
        <f t="shared" si="0"/>
        <v>906855.7</v>
      </c>
      <c r="H10" s="123">
        <f t="shared" si="0"/>
        <v>851855.7</v>
      </c>
      <c r="I10" s="123">
        <f t="shared" si="0"/>
        <v>495791.43000000005</v>
      </c>
      <c r="J10" s="72">
        <f t="shared" si="0"/>
        <v>2538071.6591666667</v>
      </c>
      <c r="K10" s="72">
        <f t="shared" si="0"/>
        <v>2097579.87</v>
      </c>
      <c r="U10" s="99"/>
      <c r="V10" s="218"/>
      <c r="X10" s="59"/>
      <c r="Y10" s="59"/>
      <c r="Z10" s="59"/>
      <c r="AA10" s="59"/>
      <c r="AB10" s="59"/>
      <c r="AC10" s="59"/>
    </row>
    <row r="11" spans="1:29" x14ac:dyDescent="0.25">
      <c r="B11" s="207"/>
      <c r="C11" s="58"/>
      <c r="D11" s="57"/>
      <c r="E11" s="111"/>
      <c r="F11" s="123"/>
      <c r="G11" s="123"/>
      <c r="H11" s="123"/>
      <c r="I11" s="123"/>
      <c r="J11" s="72"/>
      <c r="K11" s="72"/>
      <c r="U11" s="99"/>
      <c r="V11" s="218"/>
      <c r="W11" s="99"/>
      <c r="X11" s="59"/>
      <c r="Y11" s="59"/>
      <c r="Z11" s="59"/>
      <c r="AA11" s="59"/>
      <c r="AB11" s="59"/>
      <c r="AC11" s="59"/>
    </row>
    <row r="12" spans="1:29" x14ac:dyDescent="0.25">
      <c r="B12" s="207"/>
      <c r="C12" s="107"/>
      <c r="D12" s="59"/>
      <c r="E12" s="107"/>
      <c r="F12" s="73">
        <f>+F6+F7+F9</f>
        <v>203568.82916666666</v>
      </c>
      <c r="G12" s="73">
        <f t="shared" ref="G12:K12" si="1">+G6+G7+G9</f>
        <v>756855.7</v>
      </c>
      <c r="H12" s="73">
        <f t="shared" si="1"/>
        <v>771855.7</v>
      </c>
      <c r="I12" s="73">
        <f t="shared" si="1"/>
        <v>448791.43000000005</v>
      </c>
      <c r="J12" s="73">
        <f t="shared" si="1"/>
        <v>2181071.6591666667</v>
      </c>
      <c r="K12" s="73">
        <f t="shared" si="1"/>
        <v>1802538.5499999998</v>
      </c>
      <c r="W12" s="99"/>
      <c r="X12" s="59"/>
      <c r="Y12" s="59"/>
      <c r="AA12" s="59"/>
      <c r="AB12" s="59"/>
      <c r="AC12" s="59"/>
    </row>
    <row r="13" spans="1:29" ht="15.75" x14ac:dyDescent="0.25">
      <c r="A13" s="209" t="s">
        <v>231</v>
      </c>
      <c r="B13" s="204"/>
      <c r="C13" s="224"/>
      <c r="D13" s="249"/>
      <c r="E13" s="223">
        <v>3</v>
      </c>
      <c r="S13" s="60"/>
      <c r="T13" s="104"/>
      <c r="U13" s="219"/>
      <c r="V13" s="104"/>
      <c r="W13" s="99"/>
      <c r="X13" s="63"/>
      <c r="Y13" s="63"/>
      <c r="Z13" s="60"/>
      <c r="AA13" s="59"/>
      <c r="AB13" s="59"/>
      <c r="AC13" s="59"/>
    </row>
    <row r="14" spans="1:29" s="63" customFormat="1" ht="31.5" x14ac:dyDescent="0.25">
      <c r="B14" s="65" t="s">
        <v>0</v>
      </c>
      <c r="C14" s="65" t="s">
        <v>144</v>
      </c>
      <c r="D14" s="65" t="s">
        <v>136</v>
      </c>
      <c r="E14" s="65" t="s">
        <v>138</v>
      </c>
      <c r="F14" s="66" t="s">
        <v>133</v>
      </c>
      <c r="G14" s="66" t="s">
        <v>108</v>
      </c>
      <c r="H14" s="66" t="s">
        <v>2</v>
      </c>
      <c r="I14" s="66" t="s">
        <v>146</v>
      </c>
      <c r="J14" s="66" t="s">
        <v>108</v>
      </c>
      <c r="K14" s="66" t="s">
        <v>15</v>
      </c>
      <c r="L14" s="66" t="s">
        <v>243</v>
      </c>
      <c r="M14" s="66" t="s">
        <v>108</v>
      </c>
      <c r="N14" s="66" t="s">
        <v>242</v>
      </c>
      <c r="O14" s="66" t="s">
        <v>190</v>
      </c>
      <c r="P14" s="66" t="s">
        <v>108</v>
      </c>
      <c r="Q14" s="66" t="s">
        <v>191</v>
      </c>
      <c r="R14" s="66" t="s">
        <v>185</v>
      </c>
      <c r="S14" s="65" t="s">
        <v>147</v>
      </c>
      <c r="T14" s="65" t="s">
        <v>137</v>
      </c>
      <c r="U14" s="65" t="s">
        <v>202</v>
      </c>
      <c r="V14" s="66" t="s">
        <v>197</v>
      </c>
      <c r="W14" s="66" t="s">
        <v>154</v>
      </c>
      <c r="X14" s="102"/>
    </row>
    <row r="15" spans="1:29" s="63" customFormat="1" x14ac:dyDescent="0.25">
      <c r="B15" s="227" t="s">
        <v>213</v>
      </c>
      <c r="C15" s="30" t="s">
        <v>214</v>
      </c>
      <c r="D15" s="228" t="s">
        <v>215</v>
      </c>
      <c r="E15" s="30" t="s">
        <v>216</v>
      </c>
      <c r="F15" s="241">
        <v>155.97542262678803</v>
      </c>
      <c r="G15" s="113">
        <f>+Perfils!$G$41</f>
        <v>76.900000000000006</v>
      </c>
      <c r="H15" s="114">
        <f>ROUND(F15*G15,2)</f>
        <v>11994.51</v>
      </c>
      <c r="I15" s="241">
        <v>138.30273081924577</v>
      </c>
      <c r="J15" s="115">
        <f>+Perfils!$G$59</f>
        <v>76.900000000000006</v>
      </c>
      <c r="K15" s="114">
        <f>ROUND(I15*J15,2)</f>
        <v>10635.48</v>
      </c>
      <c r="L15" s="240">
        <v>0</v>
      </c>
      <c r="M15" s="114">
        <f>+Perfils!$G$77</f>
        <v>76.900000000000006</v>
      </c>
      <c r="N15" s="114">
        <f>ROUND(L15*M15,2)</f>
        <v>0</v>
      </c>
      <c r="O15" s="241">
        <v>1190.7374512353706</v>
      </c>
      <c r="P15" s="115">
        <f>+Perfils!$G$96</f>
        <v>76.900000000000006</v>
      </c>
      <c r="Q15" s="114">
        <f>ROUND(O15*P15,2)</f>
        <v>91567.71</v>
      </c>
      <c r="R15" s="114">
        <v>2499</v>
      </c>
      <c r="S15" s="221">
        <f>+$B$2</f>
        <v>45139</v>
      </c>
      <c r="T15" s="221">
        <f>+$B$3</f>
        <v>45202</v>
      </c>
      <c r="U15" s="220">
        <v>2</v>
      </c>
      <c r="V15" s="235">
        <v>19032.949166666665</v>
      </c>
      <c r="W15" s="222">
        <f>+H15+K15+Q15+R15</f>
        <v>116696.70000000001</v>
      </c>
      <c r="X15" s="102"/>
    </row>
    <row r="16" spans="1:29" s="63" customFormat="1" x14ac:dyDescent="0.25">
      <c r="B16" s="227" t="s">
        <v>213</v>
      </c>
      <c r="C16" s="30" t="s">
        <v>214</v>
      </c>
      <c r="D16" t="s">
        <v>244</v>
      </c>
      <c r="E16" s="30" t="s">
        <v>245</v>
      </c>
      <c r="F16" s="241">
        <v>0</v>
      </c>
      <c r="G16" s="113">
        <f>+Perfils!$G$41</f>
        <v>76.900000000000006</v>
      </c>
      <c r="H16" s="114">
        <f t="shared" ref="H16:H23" si="2">ROUND(F16*G16,2)</f>
        <v>0</v>
      </c>
      <c r="I16" s="241">
        <v>97.529258777633288</v>
      </c>
      <c r="J16" s="115">
        <f>+Perfils!$G$59</f>
        <v>76.900000000000006</v>
      </c>
      <c r="K16" s="114">
        <f t="shared" ref="K16:K23" si="3">ROUND(I16*J16,2)</f>
        <v>7500</v>
      </c>
      <c r="L16" s="240">
        <v>195.05851755526658</v>
      </c>
      <c r="M16" s="114">
        <f>+Perfils!$G$77</f>
        <v>76.900000000000006</v>
      </c>
      <c r="N16" s="114">
        <f t="shared" ref="N16:N23" si="4">ROUND(L16*M16,2)</f>
        <v>15000</v>
      </c>
      <c r="O16" s="241">
        <v>0</v>
      </c>
      <c r="P16" s="115">
        <f>+Perfils!$G$96</f>
        <v>76.900000000000006</v>
      </c>
      <c r="Q16" s="114">
        <f t="shared" ref="Q16:Q23" si="5">ROUND(O16*P16,2)</f>
        <v>0</v>
      </c>
      <c r="R16" s="114">
        <v>0</v>
      </c>
      <c r="S16" s="221">
        <f t="shared" ref="S16:S23" si="6">+$B$2</f>
        <v>45139</v>
      </c>
      <c r="T16" s="221">
        <f>+$B$3</f>
        <v>45202</v>
      </c>
      <c r="U16" s="220">
        <v>2</v>
      </c>
      <c r="V16" s="235">
        <v>1250</v>
      </c>
      <c r="W16" s="222">
        <f>+H16+K16+Q16+R16+V16</f>
        <v>8750</v>
      </c>
    </row>
    <row r="17" spans="1:29" s="63" customFormat="1" ht="30" x14ac:dyDescent="0.25">
      <c r="B17" s="272" t="s">
        <v>213</v>
      </c>
      <c r="C17" s="30" t="s">
        <v>214</v>
      </c>
      <c r="D17" s="30" t="s">
        <v>215</v>
      </c>
      <c r="E17" s="180" t="s">
        <v>252</v>
      </c>
      <c r="F17" s="241">
        <v>0</v>
      </c>
      <c r="G17" s="113">
        <f>+Perfils!$G$41</f>
        <v>76.900000000000006</v>
      </c>
      <c r="H17" s="114">
        <f t="shared" si="2"/>
        <v>0</v>
      </c>
      <c r="I17" s="241">
        <v>0</v>
      </c>
      <c r="J17" s="115">
        <f>+Perfils!$G$59</f>
        <v>76.900000000000006</v>
      </c>
      <c r="K17" s="114">
        <f t="shared" si="3"/>
        <v>0</v>
      </c>
      <c r="L17" s="240">
        <v>0</v>
      </c>
      <c r="M17" s="114">
        <f>+Perfils!$G$77</f>
        <v>76.900000000000006</v>
      </c>
      <c r="N17" s="114">
        <f t="shared" si="4"/>
        <v>0</v>
      </c>
      <c r="O17" s="241">
        <v>0</v>
      </c>
      <c r="P17" s="115">
        <f>+Perfils!$G$96</f>
        <v>76.900000000000006</v>
      </c>
      <c r="Q17" s="114">
        <f t="shared" si="5"/>
        <v>0</v>
      </c>
      <c r="R17" s="114">
        <v>0</v>
      </c>
      <c r="S17" s="221">
        <f t="shared" si="6"/>
        <v>45139</v>
      </c>
      <c r="T17" s="221">
        <f>+$B$3</f>
        <v>45202</v>
      </c>
      <c r="U17" s="220">
        <v>2</v>
      </c>
      <c r="V17" s="235">
        <v>0</v>
      </c>
      <c r="W17" s="222">
        <f>+H17+K17+Q17+R17+V17</f>
        <v>0</v>
      </c>
    </row>
    <row r="18" spans="1:29" s="63" customFormat="1" x14ac:dyDescent="0.25">
      <c r="B18" s="227" t="s">
        <v>213</v>
      </c>
      <c r="C18" s="30" t="s">
        <v>214</v>
      </c>
      <c r="D18" s="228" t="s">
        <v>215</v>
      </c>
      <c r="E18" s="30" t="s">
        <v>246</v>
      </c>
      <c r="F18" s="241">
        <v>0</v>
      </c>
      <c r="G18" s="113">
        <f>+Perfils!$G$41</f>
        <v>76.900000000000006</v>
      </c>
      <c r="H18" s="114">
        <f t="shared" si="2"/>
        <v>0</v>
      </c>
      <c r="I18" s="241">
        <v>245.44863459037708</v>
      </c>
      <c r="J18" s="115">
        <f>+Perfils!$G$59</f>
        <v>76.900000000000006</v>
      </c>
      <c r="K18" s="114">
        <f t="shared" si="3"/>
        <v>18875</v>
      </c>
      <c r="L18" s="240">
        <v>0</v>
      </c>
      <c r="M18" s="114">
        <f>+Perfils!$G$77</f>
        <v>76.900000000000006</v>
      </c>
      <c r="N18" s="114">
        <f t="shared" si="4"/>
        <v>0</v>
      </c>
      <c r="O18" s="241">
        <v>0</v>
      </c>
      <c r="P18" s="115">
        <f>+Perfils!$G$96</f>
        <v>76.900000000000006</v>
      </c>
      <c r="Q18" s="114">
        <f t="shared" si="5"/>
        <v>0</v>
      </c>
      <c r="R18" s="114">
        <v>0</v>
      </c>
      <c r="S18" s="221">
        <f t="shared" si="6"/>
        <v>45139</v>
      </c>
      <c r="T18" s="221">
        <f t="shared" ref="T18:T23" si="7">+$B$3</f>
        <v>45202</v>
      </c>
      <c r="U18" s="220">
        <v>2</v>
      </c>
      <c r="V18" s="235">
        <v>3145.8333333333335</v>
      </c>
      <c r="W18" s="222">
        <f>+H18+K18+Q18+R18+V18</f>
        <v>22020.833333333332</v>
      </c>
    </row>
    <row r="19" spans="1:29" s="63" customFormat="1" x14ac:dyDescent="0.25">
      <c r="B19" s="227" t="s">
        <v>213</v>
      </c>
      <c r="C19" s="30" t="s">
        <v>214</v>
      </c>
      <c r="D19" s="228" t="s">
        <v>215</v>
      </c>
      <c r="E19" s="30" t="s">
        <v>249</v>
      </c>
      <c r="F19" s="241">
        <v>0</v>
      </c>
      <c r="G19" s="113">
        <f>+Perfils!$G$41</f>
        <v>76.900000000000006</v>
      </c>
      <c r="H19" s="114">
        <f t="shared" si="2"/>
        <v>0</v>
      </c>
      <c r="I19" s="241">
        <v>0</v>
      </c>
      <c r="J19" s="115">
        <f>+Perfils!$G$59</f>
        <v>76.900000000000006</v>
      </c>
      <c r="K19" s="114">
        <f t="shared" si="3"/>
        <v>0</v>
      </c>
      <c r="L19" s="240">
        <v>0</v>
      </c>
      <c r="M19" s="114">
        <f>+Perfils!$G$77</f>
        <v>76.900000000000006</v>
      </c>
      <c r="N19" s="114">
        <f t="shared" si="4"/>
        <v>0</v>
      </c>
      <c r="O19" s="241">
        <v>0</v>
      </c>
      <c r="P19" s="115">
        <f>+Perfils!$G$96</f>
        <v>76.900000000000006</v>
      </c>
      <c r="Q19" s="114">
        <f t="shared" si="5"/>
        <v>0</v>
      </c>
      <c r="R19" s="114">
        <v>0</v>
      </c>
      <c r="S19" s="221">
        <f t="shared" si="6"/>
        <v>45139</v>
      </c>
      <c r="T19" s="221">
        <f t="shared" si="7"/>
        <v>45202</v>
      </c>
      <c r="U19" s="220">
        <v>2</v>
      </c>
      <c r="V19" s="235">
        <v>2072.4275000000002</v>
      </c>
      <c r="W19" s="222">
        <f t="shared" ref="W19:W21" si="8">+H19+K19+Q19+R19+V19</f>
        <v>2072.4275000000002</v>
      </c>
    </row>
    <row r="20" spans="1:29" s="63" customFormat="1" x14ac:dyDescent="0.25">
      <c r="B20" s="227" t="s">
        <v>213</v>
      </c>
      <c r="C20" s="30" t="s">
        <v>214</v>
      </c>
      <c r="D20" s="228" t="s">
        <v>215</v>
      </c>
      <c r="E20" s="30" t="s">
        <v>250</v>
      </c>
      <c r="F20" s="241">
        <v>0</v>
      </c>
      <c r="G20" s="113">
        <f>+Perfils!$G$41</f>
        <v>76.900000000000006</v>
      </c>
      <c r="H20" s="114">
        <f t="shared" si="2"/>
        <v>0</v>
      </c>
      <c r="I20" s="241">
        <v>0</v>
      </c>
      <c r="J20" s="115">
        <f>+Perfils!$G$59</f>
        <v>76.900000000000006</v>
      </c>
      <c r="K20" s="114">
        <f t="shared" si="3"/>
        <v>0</v>
      </c>
      <c r="L20" s="240">
        <v>845.25357607282183</v>
      </c>
      <c r="M20" s="114">
        <f>+Perfils!$G$77</f>
        <v>76.900000000000006</v>
      </c>
      <c r="N20" s="114">
        <f t="shared" si="4"/>
        <v>65000</v>
      </c>
      <c r="O20" s="241">
        <v>0</v>
      </c>
      <c r="P20" s="115">
        <f>+Perfils!$G$96</f>
        <v>76.900000000000006</v>
      </c>
      <c r="Q20" s="114">
        <f t="shared" si="5"/>
        <v>0</v>
      </c>
      <c r="R20" s="114">
        <v>0</v>
      </c>
      <c r="S20" s="221">
        <f t="shared" si="6"/>
        <v>45139</v>
      </c>
      <c r="T20" s="221">
        <f t="shared" si="7"/>
        <v>45202</v>
      </c>
      <c r="U20" s="220">
        <v>2</v>
      </c>
      <c r="V20" s="235">
        <v>669.5533333333334</v>
      </c>
      <c r="W20" s="222">
        <f t="shared" si="8"/>
        <v>669.5533333333334</v>
      </c>
    </row>
    <row r="21" spans="1:29" s="63" customFormat="1" x14ac:dyDescent="0.25">
      <c r="B21" s="272" t="s">
        <v>247</v>
      </c>
      <c r="C21" s="30" t="s">
        <v>248</v>
      </c>
      <c r="D21" s="228" t="s">
        <v>215</v>
      </c>
      <c r="E21" s="30" t="s">
        <v>248</v>
      </c>
      <c r="F21" s="241">
        <v>0</v>
      </c>
      <c r="G21" s="113">
        <f>+Perfils!$G$41</f>
        <v>76.900000000000006</v>
      </c>
      <c r="H21" s="114">
        <f t="shared" si="2"/>
        <v>0</v>
      </c>
      <c r="I21" s="241">
        <v>0</v>
      </c>
      <c r="J21" s="115">
        <f>+Perfils!$G$59</f>
        <v>76.900000000000006</v>
      </c>
      <c r="K21" s="114">
        <f t="shared" si="3"/>
        <v>0</v>
      </c>
      <c r="L21" s="240">
        <v>0</v>
      </c>
      <c r="M21" s="114">
        <f>+Perfils!$G$77</f>
        <v>76.900000000000006</v>
      </c>
      <c r="N21" s="114">
        <f t="shared" si="4"/>
        <v>0</v>
      </c>
      <c r="O21" s="241">
        <v>236.3276983094928</v>
      </c>
      <c r="P21" s="115">
        <f>+Perfils!$G$96</f>
        <v>76.900000000000006</v>
      </c>
      <c r="Q21" s="114">
        <f t="shared" si="5"/>
        <v>18173.599999999999</v>
      </c>
      <c r="R21" s="114">
        <v>0</v>
      </c>
      <c r="S21" s="221">
        <f t="shared" si="6"/>
        <v>45139</v>
      </c>
      <c r="T21" s="221">
        <f t="shared" si="7"/>
        <v>45202</v>
      </c>
      <c r="U21" s="220">
        <v>2</v>
      </c>
      <c r="V21" s="235">
        <v>3028.9325000000003</v>
      </c>
      <c r="W21" s="222">
        <f t="shared" si="8"/>
        <v>21202.532499999998</v>
      </c>
    </row>
    <row r="22" spans="1:29" s="63" customFormat="1" x14ac:dyDescent="0.25">
      <c r="B22" s="227" t="s">
        <v>217</v>
      </c>
      <c r="C22" s="30" t="s">
        <v>218</v>
      </c>
      <c r="D22" s="228" t="s">
        <v>215</v>
      </c>
      <c r="E22" s="30" t="s">
        <v>255</v>
      </c>
      <c r="F22" s="241">
        <v>0</v>
      </c>
      <c r="G22" s="113">
        <f>+Perfils!$G$41</f>
        <v>76.900000000000006</v>
      </c>
      <c r="H22" s="114">
        <f t="shared" si="2"/>
        <v>0</v>
      </c>
      <c r="I22" s="241">
        <v>0</v>
      </c>
      <c r="J22" s="115">
        <f>+Perfils!$G$59</f>
        <v>76.900000000000006</v>
      </c>
      <c r="K22" s="114">
        <f t="shared" si="3"/>
        <v>0</v>
      </c>
      <c r="L22" s="240">
        <v>0</v>
      </c>
      <c r="M22" s="114">
        <f>+Perfils!$G$77</f>
        <v>76.900000000000006</v>
      </c>
      <c r="N22" s="114">
        <f t="shared" si="4"/>
        <v>0</v>
      </c>
      <c r="O22" s="241">
        <v>174.13524057217163</v>
      </c>
      <c r="P22" s="115">
        <f>+Perfils!$G$96</f>
        <v>76.900000000000006</v>
      </c>
      <c r="Q22" s="114">
        <f t="shared" si="5"/>
        <v>13391</v>
      </c>
      <c r="R22" s="114">
        <v>0</v>
      </c>
      <c r="S22" s="221">
        <f t="shared" si="6"/>
        <v>45139</v>
      </c>
      <c r="T22" s="221">
        <f t="shared" si="7"/>
        <v>45202</v>
      </c>
      <c r="U22" s="220">
        <v>2</v>
      </c>
      <c r="V22" s="235">
        <v>2231.8333333333335</v>
      </c>
      <c r="W22" s="222">
        <f>+H22+K22+Q22+R22+V22</f>
        <v>15622.833333333334</v>
      </c>
    </row>
    <row r="23" spans="1:29" s="63" customFormat="1" x14ac:dyDescent="0.25">
      <c r="B23" s="208" t="s">
        <v>194</v>
      </c>
      <c r="C23" s="242" t="s">
        <v>195</v>
      </c>
      <c r="D23" s="180" t="s">
        <v>196</v>
      </c>
      <c r="E23" s="180" t="s">
        <v>195</v>
      </c>
      <c r="F23" s="241">
        <v>0</v>
      </c>
      <c r="G23" s="113">
        <f>+Perfils!$G$41</f>
        <v>76.900000000000006</v>
      </c>
      <c r="H23" s="114">
        <f t="shared" si="2"/>
        <v>0</v>
      </c>
      <c r="I23" s="241">
        <v>0</v>
      </c>
      <c r="J23" s="115">
        <f>+Perfils!$G$59</f>
        <v>76.900000000000006</v>
      </c>
      <c r="K23" s="114">
        <f t="shared" si="3"/>
        <v>0</v>
      </c>
      <c r="L23" s="240">
        <v>0</v>
      </c>
      <c r="M23" s="114">
        <f>+Perfils!$G$77</f>
        <v>76.900000000000006</v>
      </c>
      <c r="N23" s="114">
        <f t="shared" si="4"/>
        <v>0</v>
      </c>
      <c r="O23" s="241">
        <v>0</v>
      </c>
      <c r="P23" s="115">
        <f>+Perfils!$G$96</f>
        <v>76.900000000000006</v>
      </c>
      <c r="Q23" s="114">
        <f t="shared" si="5"/>
        <v>0</v>
      </c>
      <c r="R23" s="114">
        <v>0</v>
      </c>
      <c r="S23" s="221">
        <f t="shared" si="6"/>
        <v>45139</v>
      </c>
      <c r="T23" s="221">
        <f t="shared" si="7"/>
        <v>45202</v>
      </c>
      <c r="U23" s="220">
        <v>0</v>
      </c>
      <c r="V23" s="235">
        <v>0</v>
      </c>
      <c r="W23" s="222">
        <f>+H23+K23+Q23+R23+V23</f>
        <v>0</v>
      </c>
    </row>
    <row r="24" spans="1:29" s="63" customFormat="1" ht="15.75" x14ac:dyDescent="0.25">
      <c r="B24" s="65" t="s">
        <v>116</v>
      </c>
      <c r="C24" s="183"/>
      <c r="D24" s="184"/>
      <c r="E24" s="185"/>
      <c r="F24" s="181">
        <f>SUM(F15:F23)</f>
        <v>155.97542262678803</v>
      </c>
      <c r="G24" s="181"/>
      <c r="H24" s="182">
        <f>SUM(H15:H23)</f>
        <v>11994.51</v>
      </c>
      <c r="I24" s="181">
        <f>SUM(I15:I23)</f>
        <v>481.28062418725614</v>
      </c>
      <c r="J24" s="181"/>
      <c r="K24" s="182">
        <f>SUM(K15:K23)</f>
        <v>37010.479999999996</v>
      </c>
      <c r="L24" s="182">
        <f>SUM(L15:L23)</f>
        <v>1040.3120936280884</v>
      </c>
      <c r="M24" s="182"/>
      <c r="N24" s="182">
        <f>SUM(N15:N23)</f>
        <v>80000</v>
      </c>
      <c r="O24" s="181">
        <f>SUM(O15:O23)</f>
        <v>1601.2003901170349</v>
      </c>
      <c r="P24" s="181"/>
      <c r="Q24" s="182">
        <f>SUM(Q15:Q23)</f>
        <v>123132.31</v>
      </c>
      <c r="R24" s="182">
        <f>SUM(R15:R23)</f>
        <v>2499</v>
      </c>
      <c r="S24" s="181"/>
      <c r="T24" s="181"/>
      <c r="U24" s="181"/>
      <c r="V24" s="182">
        <f>SUM(V15:V23)</f>
        <v>31431.529166666664</v>
      </c>
      <c r="W24" s="182">
        <f>SUM(W15:W23)</f>
        <v>187034.88000000003</v>
      </c>
    </row>
    <row r="25" spans="1:29" s="63" customFormat="1" x14ac:dyDescent="0.25">
      <c r="B25" s="2"/>
      <c r="C25" s="101"/>
      <c r="D25" s="175"/>
      <c r="E25" s="112"/>
      <c r="F25" s="113"/>
      <c r="G25" s="113"/>
      <c r="H25" s="114">
        <f>Q6</f>
        <v>0</v>
      </c>
      <c r="I25" s="113"/>
      <c r="J25" s="115"/>
      <c r="K25" s="114">
        <f>Q7</f>
        <v>0</v>
      </c>
      <c r="L25" s="114"/>
      <c r="M25" s="114"/>
      <c r="N25" s="114"/>
      <c r="O25" s="113"/>
      <c r="P25" s="115"/>
      <c r="Q25" s="114"/>
      <c r="R25" s="114"/>
      <c r="S25" s="124"/>
      <c r="T25" s="124"/>
      <c r="U25" s="205"/>
      <c r="V25" s="205"/>
    </row>
    <row r="26" spans="1:29" s="63" customFormat="1" x14ac:dyDescent="0.25">
      <c r="B26" s="2"/>
      <c r="C26" s="101"/>
      <c r="D26" s="175"/>
      <c r="E26" s="214" t="s">
        <v>198</v>
      </c>
      <c r="F26" s="215">
        <f>(F24/$E$13/8)/20</f>
        <v>0.32494879713914171</v>
      </c>
      <c r="G26" s="215"/>
      <c r="H26" s="215"/>
      <c r="I26" s="215">
        <f>(I24/$E$13/8)/20</f>
        <v>1.0026679670567835</v>
      </c>
      <c r="J26" s="216"/>
      <c r="K26" s="217"/>
      <c r="L26" s="215">
        <f>(L24/$E$13/8)/20</f>
        <v>2.1673168617251841</v>
      </c>
      <c r="M26" s="217"/>
      <c r="N26" s="217"/>
      <c r="O26" s="215">
        <f>(O24/$E$13/8)/20</f>
        <v>3.3358341460771563</v>
      </c>
      <c r="P26" s="115"/>
      <c r="Q26" s="215">
        <f>Q25/P23</f>
        <v>0</v>
      </c>
      <c r="R26" s="113"/>
      <c r="S26" s="215">
        <f>SUM(I26:R26)</f>
        <v>6.5058189748591246</v>
      </c>
      <c r="T26" s="124"/>
      <c r="U26" s="205"/>
      <c r="V26" s="205"/>
    </row>
    <row r="27" spans="1:29" s="63" customFormat="1" x14ac:dyDescent="0.25">
      <c r="B27" s="2"/>
      <c r="C27" s="101"/>
      <c r="D27" s="175"/>
      <c r="E27" s="112"/>
      <c r="F27" s="113"/>
      <c r="G27" s="113"/>
      <c r="H27" s="114"/>
      <c r="I27" s="113"/>
      <c r="J27" s="115"/>
      <c r="K27" s="114"/>
      <c r="L27" s="114"/>
      <c r="M27" s="114"/>
      <c r="N27" s="114"/>
      <c r="O27" s="113"/>
      <c r="P27" s="115"/>
      <c r="Q27" s="238"/>
      <c r="R27" s="114"/>
      <c r="S27" s="124"/>
      <c r="T27" s="124"/>
      <c r="U27" s="205"/>
      <c r="V27" s="205"/>
    </row>
    <row r="28" spans="1:29" x14ac:dyDescent="0.25">
      <c r="A28" s="59"/>
      <c r="B28" s="207"/>
      <c r="C28" s="107"/>
      <c r="D28" s="59"/>
      <c r="E28" s="107"/>
      <c r="F28" s="59"/>
      <c r="G28" s="59"/>
      <c r="V28" s="205"/>
      <c r="X28" s="62"/>
      <c r="Y28" s="62"/>
      <c r="AA28" s="59"/>
      <c r="AB28" s="59"/>
      <c r="AC28" s="59"/>
    </row>
    <row r="29" spans="1:29" ht="15.75" x14ac:dyDescent="0.25">
      <c r="A29" s="209" t="s">
        <v>253</v>
      </c>
      <c r="B29" s="204"/>
      <c r="C29" s="59"/>
      <c r="D29" s="245" t="s">
        <v>203</v>
      </c>
      <c r="E29" s="223">
        <v>12</v>
      </c>
      <c r="G29" s="59"/>
      <c r="S29" s="104"/>
      <c r="T29" s="219"/>
      <c r="U29" s="104"/>
      <c r="V29" s="205"/>
      <c r="W29" s="63"/>
      <c r="X29" s="63"/>
      <c r="Z29" s="59"/>
      <c r="AA29" s="59"/>
      <c r="AB29" s="59"/>
      <c r="AC29" s="59"/>
    </row>
    <row r="30" spans="1:29" s="63" customFormat="1" ht="54" customHeight="1" x14ac:dyDescent="0.25">
      <c r="B30" s="65" t="s">
        <v>0</v>
      </c>
      <c r="C30" s="65" t="s">
        <v>144</v>
      </c>
      <c r="D30" s="65" t="s">
        <v>136</v>
      </c>
      <c r="E30" s="65" t="s">
        <v>138</v>
      </c>
      <c r="F30" s="66" t="s">
        <v>133</v>
      </c>
      <c r="G30" s="66" t="s">
        <v>108</v>
      </c>
      <c r="H30" s="66" t="s">
        <v>2</v>
      </c>
      <c r="I30" s="66" t="s">
        <v>146</v>
      </c>
      <c r="J30" s="66" t="s">
        <v>108</v>
      </c>
      <c r="K30" s="66" t="s">
        <v>15</v>
      </c>
      <c r="L30" s="66" t="s">
        <v>243</v>
      </c>
      <c r="M30" s="66" t="s">
        <v>108</v>
      </c>
      <c r="N30" s="66" t="s">
        <v>242</v>
      </c>
      <c r="O30" s="66" t="s">
        <v>190</v>
      </c>
      <c r="P30" s="66" t="s">
        <v>108</v>
      </c>
      <c r="Q30" s="66" t="s">
        <v>191</v>
      </c>
      <c r="R30" s="66" t="s">
        <v>185</v>
      </c>
      <c r="S30" s="66" t="s">
        <v>154</v>
      </c>
      <c r="T30" s="102"/>
      <c r="V30" s="205"/>
    </row>
    <row r="31" spans="1:29" s="63" customFormat="1" x14ac:dyDescent="0.25">
      <c r="B31" s="227" t="s">
        <v>213</v>
      </c>
      <c r="C31" s="30" t="s">
        <v>214</v>
      </c>
      <c r="D31" s="228" t="s">
        <v>215</v>
      </c>
      <c r="E31" s="30" t="s">
        <v>216</v>
      </c>
      <c r="F31" s="240">
        <v>623.90169050715213</v>
      </c>
      <c r="G31" s="113">
        <f>+Perfils!$G$41</f>
        <v>76.900000000000006</v>
      </c>
      <c r="H31" s="114">
        <f>ROUND(F31*G31,2)</f>
        <v>47978.04</v>
      </c>
      <c r="I31" s="240">
        <v>553.21092327698307</v>
      </c>
      <c r="J31" s="115">
        <f>+Perfils!$G$59</f>
        <v>76.900000000000006</v>
      </c>
      <c r="K31" s="114">
        <f>ROUND(I31*J31,2)</f>
        <v>42541.919999999998</v>
      </c>
      <c r="L31" s="240">
        <v>0</v>
      </c>
      <c r="M31" s="114">
        <f>+Perfils!$G$77</f>
        <v>76.900000000000006</v>
      </c>
      <c r="N31" s="114">
        <f>ROUND(L31*M31,2)</f>
        <v>0</v>
      </c>
      <c r="O31" s="236">
        <v>4762.9495448634589</v>
      </c>
      <c r="P31" s="115">
        <f>+Perfils!$G$96</f>
        <v>76.900000000000006</v>
      </c>
      <c r="Q31" s="114">
        <f>ROUND(O31*P31,2)</f>
        <v>366270.82</v>
      </c>
      <c r="R31" s="114">
        <v>2499</v>
      </c>
      <c r="S31" s="222">
        <f>+H31+K31+Q31+R31</f>
        <v>459289.78</v>
      </c>
      <c r="T31" s="102"/>
    </row>
    <row r="32" spans="1:29" s="63" customFormat="1" x14ac:dyDescent="0.25">
      <c r="B32" s="227" t="s">
        <v>213</v>
      </c>
      <c r="C32" s="30" t="s">
        <v>214</v>
      </c>
      <c r="D32" t="s">
        <v>244</v>
      </c>
      <c r="E32" s="30" t="s">
        <v>245</v>
      </c>
      <c r="F32" s="240">
        <v>0</v>
      </c>
      <c r="G32" s="113">
        <f>+Perfils!$G$41</f>
        <v>76.900000000000006</v>
      </c>
      <c r="H32" s="114">
        <f t="shared" ref="H32:H39" si="9">ROUND(F32*G32,2)</f>
        <v>0</v>
      </c>
      <c r="I32" s="240">
        <v>390.11703511053315</v>
      </c>
      <c r="J32" s="115">
        <f>+Perfils!$G$59</f>
        <v>76.900000000000006</v>
      </c>
      <c r="K32" s="114">
        <f t="shared" ref="K32:K39" si="10">ROUND(I32*J32,2)</f>
        <v>30000</v>
      </c>
      <c r="L32" s="240">
        <v>260.0780234070221</v>
      </c>
      <c r="M32" s="114">
        <f>+Perfils!$G$77</f>
        <v>76.900000000000006</v>
      </c>
      <c r="N32" s="114">
        <f t="shared" ref="N32:N39" si="11">ROUND(L32*M32,2)</f>
        <v>20000</v>
      </c>
      <c r="O32" s="236">
        <v>0</v>
      </c>
      <c r="P32" s="115">
        <f>+Perfils!$G$96</f>
        <v>76.900000000000006</v>
      </c>
      <c r="Q32" s="114">
        <f t="shared" ref="Q32:Q39" si="12">ROUND(O32*P32,2)</f>
        <v>0</v>
      </c>
      <c r="R32" s="114">
        <v>0</v>
      </c>
      <c r="S32" s="222">
        <f>+H32+K32+Q32+R32</f>
        <v>30000</v>
      </c>
    </row>
    <row r="33" spans="1:22" s="63" customFormat="1" ht="30" x14ac:dyDescent="0.25">
      <c r="B33" s="227" t="s">
        <v>213</v>
      </c>
      <c r="C33" s="30" t="s">
        <v>214</v>
      </c>
      <c r="D33" s="30" t="s">
        <v>215</v>
      </c>
      <c r="E33" s="180" t="s">
        <v>252</v>
      </c>
      <c r="F33" s="240">
        <v>0</v>
      </c>
      <c r="G33" s="113">
        <f>+Perfils!$G$41</f>
        <v>76.900000000000006</v>
      </c>
      <c r="H33" s="114">
        <f t="shared" si="9"/>
        <v>0</v>
      </c>
      <c r="I33" s="240">
        <v>0</v>
      </c>
      <c r="J33" s="115">
        <f>+Perfils!$G$59</f>
        <v>76.900000000000006</v>
      </c>
      <c r="K33" s="114">
        <f t="shared" si="10"/>
        <v>0</v>
      </c>
      <c r="L33" s="240">
        <v>650.19505851755525</v>
      </c>
      <c r="M33" s="114">
        <f>+Perfils!$G$77</f>
        <v>76.900000000000006</v>
      </c>
      <c r="N33" s="114">
        <f t="shared" si="11"/>
        <v>50000</v>
      </c>
      <c r="O33" s="236">
        <v>0</v>
      </c>
      <c r="P33" s="115">
        <f>+Perfils!$G$96</f>
        <v>76.900000000000006</v>
      </c>
      <c r="Q33" s="114">
        <f t="shared" si="12"/>
        <v>0</v>
      </c>
      <c r="R33" s="114">
        <v>0</v>
      </c>
      <c r="S33" s="222">
        <f>+H33+K33+Q33+R33</f>
        <v>0</v>
      </c>
    </row>
    <row r="34" spans="1:22" s="63" customFormat="1" x14ac:dyDescent="0.25">
      <c r="B34" s="227" t="s">
        <v>213</v>
      </c>
      <c r="C34" s="30" t="s">
        <v>214</v>
      </c>
      <c r="D34" s="228" t="s">
        <v>215</v>
      </c>
      <c r="E34" s="30" t="s">
        <v>246</v>
      </c>
      <c r="F34" s="240">
        <v>0</v>
      </c>
      <c r="G34" s="113">
        <f>+Perfils!$G$41</f>
        <v>76.900000000000006</v>
      </c>
      <c r="H34" s="114">
        <f t="shared" si="9"/>
        <v>0</v>
      </c>
      <c r="I34" s="240">
        <v>981.79453836150833</v>
      </c>
      <c r="J34" s="115">
        <f>+Perfils!$G$59</f>
        <v>76.900000000000006</v>
      </c>
      <c r="K34" s="114">
        <f t="shared" si="10"/>
        <v>75500</v>
      </c>
      <c r="L34" s="240">
        <v>1040.3120936280884</v>
      </c>
      <c r="M34" s="114">
        <f>+Perfils!$G$77</f>
        <v>76.900000000000006</v>
      </c>
      <c r="N34" s="114">
        <f t="shared" si="11"/>
        <v>80000</v>
      </c>
      <c r="O34" s="236">
        <v>0</v>
      </c>
      <c r="P34" s="115">
        <f>+Perfils!$G$96</f>
        <v>76.900000000000006</v>
      </c>
      <c r="Q34" s="114">
        <f t="shared" si="12"/>
        <v>0</v>
      </c>
      <c r="R34" s="114">
        <v>0</v>
      </c>
      <c r="S34" s="222">
        <f t="shared" ref="S34:S37" si="13">+H34+K34+Q34+R34</f>
        <v>75500</v>
      </c>
    </row>
    <row r="35" spans="1:22" s="63" customFormat="1" x14ac:dyDescent="0.25">
      <c r="B35" s="227" t="s">
        <v>213</v>
      </c>
      <c r="C35" s="30" t="s">
        <v>214</v>
      </c>
      <c r="D35" s="228" t="s">
        <v>215</v>
      </c>
      <c r="E35" s="30" t="s">
        <v>249</v>
      </c>
      <c r="F35" s="240">
        <v>0</v>
      </c>
      <c r="G35" s="113">
        <f>+Perfils!$G$41</f>
        <v>76.900000000000006</v>
      </c>
      <c r="H35" s="114">
        <f t="shared" si="9"/>
        <v>0</v>
      </c>
      <c r="I35" s="240">
        <v>646.79141742522756</v>
      </c>
      <c r="J35" s="115">
        <f>+Perfils!$G$59</f>
        <v>76.900000000000006</v>
      </c>
      <c r="K35" s="114">
        <f t="shared" si="10"/>
        <v>49738.26</v>
      </c>
      <c r="L35" s="240">
        <v>0</v>
      </c>
      <c r="M35" s="114">
        <f>+Perfils!$G$77</f>
        <v>76.900000000000006</v>
      </c>
      <c r="N35" s="114">
        <f t="shared" si="11"/>
        <v>0</v>
      </c>
      <c r="O35" s="236">
        <v>0</v>
      </c>
      <c r="P35" s="115">
        <f>+Perfils!$G$96</f>
        <v>76.900000000000006</v>
      </c>
      <c r="Q35" s="114">
        <f t="shared" si="12"/>
        <v>0</v>
      </c>
      <c r="R35" s="114">
        <v>0</v>
      </c>
      <c r="S35" s="222">
        <f t="shared" si="13"/>
        <v>49738.26</v>
      </c>
    </row>
    <row r="36" spans="1:22" s="63" customFormat="1" x14ac:dyDescent="0.25">
      <c r="B36" s="227" t="s">
        <v>213</v>
      </c>
      <c r="C36" s="30" t="s">
        <v>214</v>
      </c>
      <c r="D36" s="228" t="s">
        <v>215</v>
      </c>
      <c r="E36" s="30" t="s">
        <v>250</v>
      </c>
      <c r="F36" s="240">
        <v>0</v>
      </c>
      <c r="G36" s="113">
        <f>+Perfils!$G$41</f>
        <v>76.900000000000006</v>
      </c>
      <c r="H36" s="114">
        <f t="shared" si="9"/>
        <v>0</v>
      </c>
      <c r="I36" s="240">
        <v>208.96332899869961</v>
      </c>
      <c r="J36" s="115">
        <f>+Perfils!$G$59</f>
        <v>76.900000000000006</v>
      </c>
      <c r="K36" s="114">
        <f t="shared" si="10"/>
        <v>16069.28</v>
      </c>
      <c r="L36" s="240">
        <v>0</v>
      </c>
      <c r="M36" s="114">
        <f>+Perfils!$G$77</f>
        <v>76.900000000000006</v>
      </c>
      <c r="N36" s="114">
        <f t="shared" si="11"/>
        <v>0</v>
      </c>
      <c r="O36" s="236">
        <v>0</v>
      </c>
      <c r="P36" s="115">
        <f>+Perfils!$G$96</f>
        <v>76.900000000000006</v>
      </c>
      <c r="Q36" s="114">
        <f t="shared" si="12"/>
        <v>0</v>
      </c>
      <c r="R36" s="114">
        <v>0</v>
      </c>
      <c r="S36" s="222">
        <f t="shared" si="13"/>
        <v>16069.28</v>
      </c>
    </row>
    <row r="37" spans="1:22" s="63" customFormat="1" x14ac:dyDescent="0.25">
      <c r="B37" s="272" t="s">
        <v>247</v>
      </c>
      <c r="C37" s="30" t="s">
        <v>248</v>
      </c>
      <c r="D37" s="228" t="s">
        <v>215</v>
      </c>
      <c r="E37" s="30" t="s">
        <v>248</v>
      </c>
      <c r="F37" s="240">
        <v>0</v>
      </c>
      <c r="G37" s="113">
        <f>+Perfils!$G$41</f>
        <v>76.900000000000006</v>
      </c>
      <c r="H37" s="114">
        <f t="shared" si="9"/>
        <v>0</v>
      </c>
      <c r="I37" s="240">
        <v>0</v>
      </c>
      <c r="J37" s="115">
        <f>+Perfils!$G$59</f>
        <v>76.900000000000006</v>
      </c>
      <c r="K37" s="114">
        <f t="shared" si="10"/>
        <v>0</v>
      </c>
      <c r="L37" s="240">
        <v>0</v>
      </c>
      <c r="M37" s="114">
        <f>+Perfils!$G$77</f>
        <v>76.900000000000006</v>
      </c>
      <c r="N37" s="114">
        <f t="shared" si="11"/>
        <v>0</v>
      </c>
      <c r="O37" s="236">
        <v>945.31053315994802</v>
      </c>
      <c r="P37" s="115">
        <f>+Perfils!$G$96</f>
        <v>76.900000000000006</v>
      </c>
      <c r="Q37" s="114">
        <f t="shared" si="12"/>
        <v>72694.38</v>
      </c>
      <c r="R37" s="114">
        <v>0</v>
      </c>
      <c r="S37" s="222">
        <f t="shared" si="13"/>
        <v>72694.38</v>
      </c>
    </row>
    <row r="38" spans="1:22" s="63" customFormat="1" x14ac:dyDescent="0.25">
      <c r="B38" s="227" t="s">
        <v>217</v>
      </c>
      <c r="C38" s="30" t="s">
        <v>218</v>
      </c>
      <c r="D38" s="228" t="s">
        <v>215</v>
      </c>
      <c r="E38" s="30" t="s">
        <v>255</v>
      </c>
      <c r="F38" s="240">
        <v>0</v>
      </c>
      <c r="G38" s="113">
        <f>+Perfils!$G$41</f>
        <v>76.900000000000006</v>
      </c>
      <c r="H38" s="114">
        <f t="shared" si="9"/>
        <v>0</v>
      </c>
      <c r="I38" s="240">
        <v>0</v>
      </c>
      <c r="J38" s="115">
        <f>+Perfils!$G$59</f>
        <v>76.900000000000006</v>
      </c>
      <c r="K38" s="114">
        <f t="shared" si="10"/>
        <v>0</v>
      </c>
      <c r="L38" s="240">
        <v>0</v>
      </c>
      <c r="M38" s="114">
        <f>+Perfils!$G$77</f>
        <v>76.900000000000006</v>
      </c>
      <c r="N38" s="114">
        <f t="shared" si="11"/>
        <v>0</v>
      </c>
      <c r="O38" s="236">
        <v>696.5409622886865</v>
      </c>
      <c r="P38" s="115">
        <f>+Perfils!$G$96</f>
        <v>76.900000000000006</v>
      </c>
      <c r="Q38" s="114">
        <f t="shared" si="12"/>
        <v>53564</v>
      </c>
      <c r="R38" s="114">
        <v>0</v>
      </c>
      <c r="S38" s="222">
        <f>+H38+K38+Q38+R38</f>
        <v>53564</v>
      </c>
    </row>
    <row r="39" spans="1:22" s="63" customFormat="1" x14ac:dyDescent="0.25">
      <c r="B39" s="208" t="s">
        <v>194</v>
      </c>
      <c r="C39" s="242" t="s">
        <v>195</v>
      </c>
      <c r="D39" s="180" t="s">
        <v>196</v>
      </c>
      <c r="E39" s="180" t="s">
        <v>195</v>
      </c>
      <c r="F39" s="240">
        <v>0</v>
      </c>
      <c r="G39" s="113">
        <f>+Perfils!$G$41</f>
        <v>76.900000000000006</v>
      </c>
      <c r="H39" s="114">
        <f t="shared" si="9"/>
        <v>0</v>
      </c>
      <c r="I39" s="240">
        <v>0</v>
      </c>
      <c r="J39" s="115">
        <f>+Perfils!$G$59</f>
        <v>76.900000000000006</v>
      </c>
      <c r="K39" s="114">
        <f t="shared" si="10"/>
        <v>0</v>
      </c>
      <c r="L39" s="240">
        <v>0</v>
      </c>
      <c r="M39" s="114">
        <f>+Perfils!$G$77</f>
        <v>76.900000000000006</v>
      </c>
      <c r="N39" s="114">
        <f t="shared" si="11"/>
        <v>0</v>
      </c>
      <c r="O39" s="241">
        <v>0</v>
      </c>
      <c r="P39" s="115">
        <f>+Perfils!$G$96</f>
        <v>76.900000000000006</v>
      </c>
      <c r="Q39" s="114">
        <f t="shared" si="12"/>
        <v>0</v>
      </c>
      <c r="R39" s="114">
        <v>0</v>
      </c>
      <c r="S39" s="222">
        <f>+H39+K39+Q39+R39</f>
        <v>0</v>
      </c>
    </row>
    <row r="40" spans="1:22" s="63" customFormat="1" ht="15.75" x14ac:dyDescent="0.25">
      <c r="B40" s="65" t="s">
        <v>116</v>
      </c>
      <c r="C40" s="183"/>
      <c r="D40" s="184"/>
      <c r="E40" s="185"/>
      <c r="F40" s="181">
        <f>SUM(F31:F39)</f>
        <v>623.90169050715213</v>
      </c>
      <c r="G40" s="181"/>
      <c r="H40" s="182">
        <f>SUM(H31:H39)</f>
        <v>47978.04</v>
      </c>
      <c r="I40" s="237">
        <f>SUM(I31:I39)</f>
        <v>2780.8772431729517</v>
      </c>
      <c r="J40" s="181"/>
      <c r="K40" s="182">
        <f>SUM(K31:K39)</f>
        <v>213849.46</v>
      </c>
      <c r="L40" s="182">
        <f>SUM(L31:L39)</f>
        <v>1950.5851755526658</v>
      </c>
      <c r="M40" s="182"/>
      <c r="N40" s="182">
        <f>SUM(N31:N39)</f>
        <v>150000</v>
      </c>
      <c r="O40" s="181">
        <f>SUM(O31:O39)</f>
        <v>6404.8010403120934</v>
      </c>
      <c r="P40" s="181"/>
      <c r="Q40" s="182">
        <f>SUM(Q31:Q39)</f>
        <v>492529.2</v>
      </c>
      <c r="R40" s="182">
        <f>SUM(R31:R39)</f>
        <v>2499</v>
      </c>
      <c r="S40" s="182">
        <f>SUM(S31:S39)</f>
        <v>756855.70000000007</v>
      </c>
    </row>
    <row r="41" spans="1:22" s="63" customFormat="1" x14ac:dyDescent="0.25">
      <c r="B41" s="2"/>
      <c r="C41" s="101"/>
      <c r="D41" s="175"/>
      <c r="E41" s="112"/>
      <c r="F41" s="113"/>
      <c r="G41" s="113"/>
      <c r="H41" s="114"/>
      <c r="I41" s="113"/>
      <c r="J41" s="115"/>
      <c r="K41" s="114"/>
      <c r="L41" s="114"/>
      <c r="M41" s="114"/>
      <c r="N41" s="114"/>
      <c r="O41" s="113"/>
      <c r="P41" s="115"/>
      <c r="Q41" s="114"/>
      <c r="R41" s="114"/>
      <c r="S41" s="124"/>
      <c r="T41" s="124"/>
      <c r="U41" s="205"/>
      <c r="V41" s="125"/>
    </row>
    <row r="42" spans="1:22" s="63" customFormat="1" x14ac:dyDescent="0.25">
      <c r="B42" s="2"/>
      <c r="C42" s="101"/>
      <c r="D42" s="175"/>
      <c r="E42" s="214" t="s">
        <v>198</v>
      </c>
      <c r="F42" s="215">
        <f>(F40/$E$29/8)/20</f>
        <v>0.32494879713914171</v>
      </c>
      <c r="G42" s="215"/>
      <c r="H42" s="215"/>
      <c r="I42" s="215">
        <f>(I40/$E$29/8)/20</f>
        <v>1.448373564152579</v>
      </c>
      <c r="J42" s="216"/>
      <c r="K42" s="217"/>
      <c r="L42" s="215">
        <f>(L40/$E$29/8)/20</f>
        <v>1.0159297789336801</v>
      </c>
      <c r="M42" s="217"/>
      <c r="N42" s="217"/>
      <c r="O42" s="215">
        <f>(O40/$E$29/8)/20</f>
        <v>3.3358338751625487</v>
      </c>
      <c r="P42" s="115"/>
      <c r="Q42" s="113"/>
      <c r="R42" s="113"/>
      <c r="S42" s="215">
        <f>SUM(F42:R42)</f>
        <v>6.1250860153879501</v>
      </c>
      <c r="T42" s="215"/>
      <c r="U42" s="205"/>
      <c r="V42" s="113"/>
    </row>
    <row r="43" spans="1:22" s="63" customFormat="1" x14ac:dyDescent="0.25">
      <c r="B43" s="2"/>
      <c r="C43" s="101"/>
      <c r="D43" s="175"/>
      <c r="E43" s="214"/>
      <c r="F43" s="215"/>
      <c r="G43" s="215"/>
      <c r="H43" s="215"/>
      <c r="I43" s="215"/>
      <c r="J43" s="216"/>
      <c r="K43" s="217"/>
      <c r="L43" s="217"/>
      <c r="M43" s="217"/>
      <c r="N43" s="217"/>
      <c r="O43" s="215"/>
      <c r="P43" s="115"/>
      <c r="Q43" s="113"/>
      <c r="R43" s="113"/>
      <c r="S43" s="215"/>
      <c r="T43" s="215"/>
      <c r="U43" s="205"/>
      <c r="V43" s="113"/>
    </row>
    <row r="44" spans="1:22" s="63" customFormat="1" x14ac:dyDescent="0.25">
      <c r="B44" s="2"/>
      <c r="C44" s="101"/>
      <c r="D44" s="175"/>
      <c r="E44" s="214"/>
      <c r="F44" s="215"/>
      <c r="G44" s="215"/>
      <c r="H44" s="215"/>
      <c r="I44" s="215"/>
      <c r="J44" s="216"/>
      <c r="K44" s="217"/>
      <c r="L44" s="217"/>
      <c r="M44" s="217"/>
      <c r="N44" s="217"/>
      <c r="O44" s="215"/>
      <c r="P44" s="115"/>
      <c r="Q44" s="113"/>
      <c r="R44" s="113"/>
      <c r="S44" s="215"/>
      <c r="T44" s="215"/>
      <c r="U44" s="205"/>
      <c r="V44" s="113"/>
    </row>
    <row r="45" spans="1:22" s="63" customFormat="1" ht="15.75" x14ac:dyDescent="0.25">
      <c r="A45" s="209" t="s">
        <v>254</v>
      </c>
      <c r="B45" s="204"/>
      <c r="C45" s="59"/>
      <c r="D45" s="245" t="s">
        <v>203</v>
      </c>
      <c r="E45" s="223">
        <v>12</v>
      </c>
      <c r="F45" s="57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104"/>
      <c r="T45" s="215"/>
      <c r="U45" s="205"/>
      <c r="V45" s="113"/>
    </row>
    <row r="46" spans="1:22" s="63" customFormat="1" ht="31.5" x14ac:dyDescent="0.25">
      <c r="B46" s="65" t="s">
        <v>0</v>
      </c>
      <c r="C46" s="65" t="s">
        <v>144</v>
      </c>
      <c r="D46" s="65" t="s">
        <v>136</v>
      </c>
      <c r="E46" s="65" t="s">
        <v>138</v>
      </c>
      <c r="F46" s="66" t="s">
        <v>133</v>
      </c>
      <c r="G46" s="66" t="s">
        <v>108</v>
      </c>
      <c r="H46" s="66" t="s">
        <v>2</v>
      </c>
      <c r="I46" s="66" t="s">
        <v>146</v>
      </c>
      <c r="J46" s="66" t="s">
        <v>108</v>
      </c>
      <c r="K46" s="66" t="s">
        <v>15</v>
      </c>
      <c r="L46" s="66" t="s">
        <v>243</v>
      </c>
      <c r="M46" s="66" t="s">
        <v>108</v>
      </c>
      <c r="N46" s="66" t="s">
        <v>242</v>
      </c>
      <c r="O46" s="66" t="s">
        <v>190</v>
      </c>
      <c r="P46" s="66" t="s">
        <v>108</v>
      </c>
      <c r="Q46" s="66" t="s">
        <v>191</v>
      </c>
      <c r="R46" s="66" t="s">
        <v>185</v>
      </c>
      <c r="S46" s="66" t="s">
        <v>154</v>
      </c>
      <c r="T46" s="215"/>
      <c r="U46" s="205"/>
      <c r="V46" s="113"/>
    </row>
    <row r="47" spans="1:22" s="63" customFormat="1" x14ac:dyDescent="0.25">
      <c r="B47" s="227" t="s">
        <v>213</v>
      </c>
      <c r="C47" s="30" t="s">
        <v>214</v>
      </c>
      <c r="D47" s="228" t="s">
        <v>215</v>
      </c>
      <c r="E47" s="30" t="s">
        <v>216</v>
      </c>
      <c r="F47" s="240">
        <v>623.90169050715213</v>
      </c>
      <c r="G47" s="113">
        <f>+Perfils!$G$41</f>
        <v>76.900000000000006</v>
      </c>
      <c r="H47" s="114">
        <f>ROUND(F47*G47,2)</f>
        <v>47978.04</v>
      </c>
      <c r="I47" s="240">
        <v>553.21092327698307</v>
      </c>
      <c r="J47" s="115">
        <f>+Perfils!$G$59</f>
        <v>76.900000000000006</v>
      </c>
      <c r="K47" s="114">
        <f>ROUND(I47*J47,2)</f>
        <v>42541.919999999998</v>
      </c>
      <c r="L47" s="240">
        <v>0</v>
      </c>
      <c r="M47" s="114">
        <f>+Perfils!$G$77</f>
        <v>76.900000000000006</v>
      </c>
      <c r="N47" s="114">
        <f>ROUND(L47*M47,2)</f>
        <v>0</v>
      </c>
      <c r="O47" s="236">
        <v>4762.9495448634589</v>
      </c>
      <c r="P47" s="115">
        <f>+Perfils!$G$96</f>
        <v>76.900000000000006</v>
      </c>
      <c r="Q47" s="114">
        <f>ROUND(O47*P47,2)</f>
        <v>366270.82</v>
      </c>
      <c r="R47" s="114">
        <v>2499</v>
      </c>
      <c r="S47" s="222">
        <f>+H47+K47+Q47+R47</f>
        <v>459289.78</v>
      </c>
      <c r="T47" s="215"/>
      <c r="U47" s="205"/>
      <c r="V47" s="113"/>
    </row>
    <row r="48" spans="1:22" s="63" customFormat="1" x14ac:dyDescent="0.25">
      <c r="B48" s="227" t="s">
        <v>213</v>
      </c>
      <c r="C48" s="30" t="s">
        <v>214</v>
      </c>
      <c r="D48" t="s">
        <v>244</v>
      </c>
      <c r="E48" s="30" t="s">
        <v>245</v>
      </c>
      <c r="F48" s="240">
        <v>0</v>
      </c>
      <c r="G48" s="113">
        <f>+Perfils!$G$41</f>
        <v>76.900000000000006</v>
      </c>
      <c r="H48" s="114">
        <f t="shared" ref="H48:H55" si="14">ROUND(F48*G48,2)</f>
        <v>0</v>
      </c>
      <c r="I48" s="240">
        <v>390.11703511053315</v>
      </c>
      <c r="J48" s="115">
        <f>+Perfils!$G$59</f>
        <v>76.900000000000006</v>
      </c>
      <c r="K48" s="114">
        <f t="shared" ref="K48:K55" si="15">ROUND(I48*J48,2)</f>
        <v>30000</v>
      </c>
      <c r="L48" s="240">
        <v>0</v>
      </c>
      <c r="M48" s="114">
        <f>+Perfils!$G$77</f>
        <v>76.900000000000006</v>
      </c>
      <c r="N48" s="114">
        <f t="shared" ref="N48:N55" si="16">ROUND(L48*M48,2)</f>
        <v>0</v>
      </c>
      <c r="O48" s="236">
        <v>0</v>
      </c>
      <c r="P48" s="115">
        <f>+Perfils!$G$96</f>
        <v>76.900000000000006</v>
      </c>
      <c r="Q48" s="114">
        <f t="shared" ref="Q48:Q55" si="17">ROUND(O48*P48,2)</f>
        <v>0</v>
      </c>
      <c r="R48" s="114">
        <v>0</v>
      </c>
      <c r="S48" s="222">
        <f>+H48+K48+Q48+R48</f>
        <v>30000</v>
      </c>
      <c r="T48" s="215"/>
      <c r="U48" s="205"/>
      <c r="V48" s="113"/>
    </row>
    <row r="49" spans="1:29" s="63" customFormat="1" ht="30" x14ac:dyDescent="0.25">
      <c r="B49" s="227" t="s">
        <v>213</v>
      </c>
      <c r="C49" s="30" t="s">
        <v>214</v>
      </c>
      <c r="D49" s="30" t="s">
        <v>215</v>
      </c>
      <c r="E49" s="180" t="s">
        <v>252</v>
      </c>
      <c r="F49" s="240">
        <v>0</v>
      </c>
      <c r="G49" s="113">
        <f>+Perfils!$G$41</f>
        <v>76.900000000000006</v>
      </c>
      <c r="H49" s="114">
        <f t="shared" si="14"/>
        <v>0</v>
      </c>
      <c r="I49" s="240">
        <v>195.05851755526658</v>
      </c>
      <c r="J49" s="115">
        <f>+Perfils!$G$59</f>
        <v>76.900000000000006</v>
      </c>
      <c r="K49" s="114">
        <f t="shared" si="15"/>
        <v>15000</v>
      </c>
      <c r="L49" s="240">
        <v>0</v>
      </c>
      <c r="M49" s="114">
        <f>+Perfils!$G$77</f>
        <v>76.900000000000006</v>
      </c>
      <c r="N49" s="114">
        <f t="shared" si="16"/>
        <v>0</v>
      </c>
      <c r="O49" s="236">
        <v>0</v>
      </c>
      <c r="P49" s="115">
        <f>+Perfils!$G$96</f>
        <v>76.900000000000006</v>
      </c>
      <c r="Q49" s="114">
        <f t="shared" si="17"/>
        <v>0</v>
      </c>
      <c r="R49" s="114">
        <v>0</v>
      </c>
      <c r="S49" s="222">
        <f>+H49+K49+Q49+R49</f>
        <v>15000</v>
      </c>
      <c r="T49" s="215"/>
      <c r="U49" s="205"/>
      <c r="V49" s="113"/>
    </row>
    <row r="50" spans="1:29" s="63" customFormat="1" x14ac:dyDescent="0.25">
      <c r="B50" s="227" t="s">
        <v>213</v>
      </c>
      <c r="C50" s="30" t="s">
        <v>214</v>
      </c>
      <c r="D50" s="228" t="s">
        <v>215</v>
      </c>
      <c r="E50" s="30" t="s">
        <v>246</v>
      </c>
      <c r="F50" s="240">
        <v>0</v>
      </c>
      <c r="G50" s="113">
        <f>+Perfils!$G$41</f>
        <v>76.900000000000006</v>
      </c>
      <c r="H50" s="114">
        <f t="shared" si="14"/>
        <v>0</v>
      </c>
      <c r="I50" s="240">
        <v>981.79453836150833</v>
      </c>
      <c r="J50" s="115">
        <f>+Perfils!$G$59</f>
        <v>76.900000000000006</v>
      </c>
      <c r="K50" s="114">
        <f t="shared" si="15"/>
        <v>75500</v>
      </c>
      <c r="L50" s="240">
        <v>1040.3120936280884</v>
      </c>
      <c r="M50" s="114">
        <f>+Perfils!$G$77</f>
        <v>76.900000000000006</v>
      </c>
      <c r="N50" s="114">
        <f t="shared" si="16"/>
        <v>80000</v>
      </c>
      <c r="O50" s="236">
        <v>0</v>
      </c>
      <c r="P50" s="115">
        <f>+Perfils!$G$96</f>
        <v>76.900000000000006</v>
      </c>
      <c r="Q50" s="114">
        <f t="shared" si="17"/>
        <v>0</v>
      </c>
      <c r="R50" s="114">
        <v>0</v>
      </c>
      <c r="S50" s="222">
        <f t="shared" ref="S50:S53" si="18">+H50+K50+Q50+R50</f>
        <v>75500</v>
      </c>
      <c r="T50" s="215"/>
      <c r="U50" s="205"/>
      <c r="V50" s="113"/>
    </row>
    <row r="51" spans="1:29" s="63" customFormat="1" x14ac:dyDescent="0.25">
      <c r="B51" s="227" t="s">
        <v>213</v>
      </c>
      <c r="C51" s="30" t="s">
        <v>214</v>
      </c>
      <c r="D51" s="228" t="s">
        <v>215</v>
      </c>
      <c r="E51" s="30" t="s">
        <v>249</v>
      </c>
      <c r="F51" s="240">
        <v>0</v>
      </c>
      <c r="G51" s="113">
        <f>+Perfils!$G$41</f>
        <v>76.900000000000006</v>
      </c>
      <c r="H51" s="114">
        <f t="shared" si="14"/>
        <v>0</v>
      </c>
      <c r="I51" s="240">
        <v>646.79141742522756</v>
      </c>
      <c r="J51" s="115">
        <f>+Perfils!$G$59</f>
        <v>76.900000000000006</v>
      </c>
      <c r="K51" s="114">
        <f t="shared" si="15"/>
        <v>49738.26</v>
      </c>
      <c r="L51" s="240">
        <v>0</v>
      </c>
      <c r="M51" s="114">
        <f>+Perfils!$G$77</f>
        <v>76.900000000000006</v>
      </c>
      <c r="N51" s="114">
        <f t="shared" si="16"/>
        <v>0</v>
      </c>
      <c r="O51" s="236">
        <v>0</v>
      </c>
      <c r="P51" s="115">
        <f>+Perfils!$G$96</f>
        <v>76.900000000000006</v>
      </c>
      <c r="Q51" s="114">
        <f t="shared" si="17"/>
        <v>0</v>
      </c>
      <c r="R51" s="114">
        <v>0</v>
      </c>
      <c r="S51" s="222">
        <f t="shared" si="18"/>
        <v>49738.26</v>
      </c>
      <c r="T51" s="215"/>
      <c r="U51" s="205"/>
      <c r="V51" s="113"/>
    </row>
    <row r="52" spans="1:29" s="63" customFormat="1" x14ac:dyDescent="0.25">
      <c r="B52" s="227" t="s">
        <v>213</v>
      </c>
      <c r="C52" s="30" t="s">
        <v>214</v>
      </c>
      <c r="D52" s="228" t="s">
        <v>215</v>
      </c>
      <c r="E52" s="30" t="s">
        <v>250</v>
      </c>
      <c r="F52" s="240">
        <v>0</v>
      </c>
      <c r="G52" s="113">
        <f>+Perfils!$G$41</f>
        <v>76.900000000000006</v>
      </c>
      <c r="H52" s="114">
        <f t="shared" si="14"/>
        <v>0</v>
      </c>
      <c r="I52" s="240">
        <v>208.96332899869961</v>
      </c>
      <c r="J52" s="115">
        <f>+Perfils!$G$59</f>
        <v>76.900000000000006</v>
      </c>
      <c r="K52" s="114">
        <f t="shared" si="15"/>
        <v>16069.28</v>
      </c>
      <c r="L52" s="240">
        <v>0</v>
      </c>
      <c r="M52" s="114">
        <f>+Perfils!$G$77</f>
        <v>76.900000000000006</v>
      </c>
      <c r="N52" s="114">
        <f t="shared" si="16"/>
        <v>0</v>
      </c>
      <c r="O52" s="236">
        <v>0</v>
      </c>
      <c r="P52" s="115">
        <f>+Perfils!$G$96</f>
        <v>76.900000000000006</v>
      </c>
      <c r="Q52" s="114">
        <f t="shared" si="17"/>
        <v>0</v>
      </c>
      <c r="R52" s="114">
        <v>0</v>
      </c>
      <c r="S52" s="222">
        <f t="shared" si="18"/>
        <v>16069.28</v>
      </c>
      <c r="T52" s="215"/>
      <c r="U52" s="205"/>
      <c r="V52" s="113"/>
    </row>
    <row r="53" spans="1:29" s="63" customFormat="1" x14ac:dyDescent="0.25">
      <c r="B53" s="272" t="s">
        <v>247</v>
      </c>
      <c r="C53" s="30" t="s">
        <v>248</v>
      </c>
      <c r="D53" s="228" t="s">
        <v>215</v>
      </c>
      <c r="E53" s="30" t="s">
        <v>248</v>
      </c>
      <c r="F53" s="240">
        <v>0</v>
      </c>
      <c r="G53" s="113">
        <f>+Perfils!$G$41</f>
        <v>76.900000000000006</v>
      </c>
      <c r="H53" s="114">
        <f t="shared" si="14"/>
        <v>0</v>
      </c>
      <c r="I53" s="240">
        <v>0</v>
      </c>
      <c r="J53" s="115">
        <f>+Perfils!$G$59</f>
        <v>76.900000000000006</v>
      </c>
      <c r="K53" s="114">
        <f t="shared" si="15"/>
        <v>0</v>
      </c>
      <c r="L53" s="240">
        <v>0</v>
      </c>
      <c r="M53" s="114">
        <f>+Perfils!$G$77</f>
        <v>76.900000000000006</v>
      </c>
      <c r="N53" s="114">
        <f t="shared" si="16"/>
        <v>0</v>
      </c>
      <c r="O53" s="236">
        <v>945.31053315994802</v>
      </c>
      <c r="P53" s="115">
        <f>+Perfils!$G$96</f>
        <v>76.900000000000006</v>
      </c>
      <c r="Q53" s="114">
        <f t="shared" si="17"/>
        <v>72694.38</v>
      </c>
      <c r="R53" s="114">
        <v>0</v>
      </c>
      <c r="S53" s="222">
        <f t="shared" si="18"/>
        <v>72694.38</v>
      </c>
      <c r="T53" s="215"/>
      <c r="U53" s="205"/>
      <c r="V53" s="113"/>
    </row>
    <row r="54" spans="1:29" s="63" customFormat="1" x14ac:dyDescent="0.25">
      <c r="B54" s="227" t="s">
        <v>217</v>
      </c>
      <c r="C54" s="30" t="s">
        <v>218</v>
      </c>
      <c r="D54" s="228" t="s">
        <v>215</v>
      </c>
      <c r="E54" s="30" t="s">
        <v>255</v>
      </c>
      <c r="F54" s="240">
        <v>0</v>
      </c>
      <c r="G54" s="113">
        <f>+Perfils!$G$41</f>
        <v>76.900000000000006</v>
      </c>
      <c r="H54" s="114">
        <f t="shared" si="14"/>
        <v>0</v>
      </c>
      <c r="I54" s="240">
        <v>0</v>
      </c>
      <c r="J54" s="115">
        <f>+Perfils!$G$59</f>
        <v>76.900000000000006</v>
      </c>
      <c r="K54" s="114">
        <f t="shared" si="15"/>
        <v>0</v>
      </c>
      <c r="L54" s="240">
        <v>0</v>
      </c>
      <c r="M54" s="114">
        <f>+Perfils!$G$77</f>
        <v>76.900000000000006</v>
      </c>
      <c r="N54" s="114">
        <f t="shared" si="16"/>
        <v>0</v>
      </c>
      <c r="O54" s="236">
        <v>696.5409622886865</v>
      </c>
      <c r="P54" s="115">
        <f>+Perfils!$G$96</f>
        <v>76.900000000000006</v>
      </c>
      <c r="Q54" s="114">
        <f t="shared" si="17"/>
        <v>53564</v>
      </c>
      <c r="R54" s="114">
        <v>0</v>
      </c>
      <c r="S54" s="222">
        <f>+H54+K54+Q54+R54</f>
        <v>53564</v>
      </c>
      <c r="T54" s="215"/>
      <c r="U54" s="205"/>
      <c r="V54" s="113"/>
    </row>
    <row r="55" spans="1:29" s="63" customFormat="1" x14ac:dyDescent="0.25">
      <c r="B55" s="208" t="s">
        <v>194</v>
      </c>
      <c r="C55" s="242" t="s">
        <v>195</v>
      </c>
      <c r="D55" s="180" t="s">
        <v>196</v>
      </c>
      <c r="E55" s="180" t="s">
        <v>195</v>
      </c>
      <c r="F55" s="240">
        <v>0</v>
      </c>
      <c r="G55" s="113">
        <f>+Perfils!$G$41</f>
        <v>76.900000000000006</v>
      </c>
      <c r="H55" s="114">
        <f t="shared" si="14"/>
        <v>0</v>
      </c>
      <c r="I55" s="240">
        <v>0</v>
      </c>
      <c r="J55" s="115">
        <f>+Perfils!$G$59</f>
        <v>76.900000000000006</v>
      </c>
      <c r="K55" s="114">
        <f t="shared" si="15"/>
        <v>0</v>
      </c>
      <c r="L55" s="240">
        <v>0</v>
      </c>
      <c r="M55" s="114">
        <f>+Perfils!$G$77</f>
        <v>76.900000000000006</v>
      </c>
      <c r="N55" s="114">
        <f t="shared" si="16"/>
        <v>0</v>
      </c>
      <c r="O55" s="241">
        <v>0</v>
      </c>
      <c r="P55" s="115">
        <f>+Perfils!$G$96</f>
        <v>76.900000000000006</v>
      </c>
      <c r="Q55" s="114">
        <f t="shared" si="17"/>
        <v>0</v>
      </c>
      <c r="R55" s="114">
        <v>0</v>
      </c>
      <c r="S55" s="222">
        <f>+H55+K55+Q55+R55</f>
        <v>0</v>
      </c>
      <c r="T55" s="215"/>
      <c r="U55" s="205"/>
      <c r="V55" s="113"/>
    </row>
    <row r="56" spans="1:29" s="63" customFormat="1" ht="15.75" x14ac:dyDescent="0.25">
      <c r="B56" s="65" t="s">
        <v>116</v>
      </c>
      <c r="C56" s="183"/>
      <c r="D56" s="184"/>
      <c r="E56" s="185"/>
      <c r="F56" s="181">
        <f>SUM(F47:F55)</f>
        <v>623.90169050715213</v>
      </c>
      <c r="G56" s="181"/>
      <c r="H56" s="182">
        <f>SUM(H47:H55)</f>
        <v>47978.04</v>
      </c>
      <c r="I56" s="237">
        <f>SUM(I47:I55)</f>
        <v>2975.9357607282182</v>
      </c>
      <c r="J56" s="181"/>
      <c r="K56" s="182">
        <f>SUM(K47:K55)</f>
        <v>228849.46</v>
      </c>
      <c r="L56" s="182">
        <f>SUM(L47:L55)</f>
        <v>1040.3120936280884</v>
      </c>
      <c r="M56" s="182"/>
      <c r="N56" s="182">
        <f>SUM(N47:N55)</f>
        <v>80000</v>
      </c>
      <c r="O56" s="181">
        <f>SUM(O47:O55)</f>
        <v>6404.8010403120934</v>
      </c>
      <c r="P56" s="181"/>
      <c r="Q56" s="182">
        <f>SUM(Q47:Q55)</f>
        <v>492529.2</v>
      </c>
      <c r="R56" s="182">
        <f>SUM(R47:R55)</f>
        <v>2499</v>
      </c>
      <c r="S56" s="182">
        <f>SUM(S47:S55)</f>
        <v>771855.70000000007</v>
      </c>
      <c r="T56" s="215"/>
      <c r="U56" s="205"/>
      <c r="V56" s="113"/>
    </row>
    <row r="57" spans="1:29" s="63" customFormat="1" x14ac:dyDescent="0.25">
      <c r="B57" s="2"/>
      <c r="C57" s="101"/>
      <c r="D57" s="175"/>
      <c r="E57" s="112"/>
      <c r="F57" s="113"/>
      <c r="G57" s="113"/>
      <c r="H57" s="114"/>
      <c r="I57" s="113"/>
      <c r="J57" s="115"/>
      <c r="K57" s="114"/>
      <c r="L57" s="114"/>
      <c r="M57" s="114"/>
      <c r="N57" s="114"/>
      <c r="O57" s="113"/>
      <c r="P57" s="115"/>
      <c r="Q57" s="114"/>
      <c r="R57" s="114"/>
      <c r="S57" s="124"/>
      <c r="T57" s="215"/>
      <c r="U57" s="205"/>
      <c r="V57" s="113"/>
    </row>
    <row r="58" spans="1:29" s="63" customFormat="1" x14ac:dyDescent="0.25">
      <c r="B58" s="2"/>
      <c r="C58" s="101"/>
      <c r="D58" s="175"/>
      <c r="E58" s="214" t="s">
        <v>198</v>
      </c>
      <c r="F58" s="215">
        <f>(F56/$E$45/8)/20</f>
        <v>0.32494879713914171</v>
      </c>
      <c r="G58" s="215"/>
      <c r="H58" s="215"/>
      <c r="I58" s="215">
        <f>(I56/$E$45/8)/20</f>
        <v>1.549966542045947</v>
      </c>
      <c r="J58" s="216"/>
      <c r="K58" s="217"/>
      <c r="L58" s="215">
        <f>(L56/$E$45/8)/20</f>
        <v>0.54182921543129603</v>
      </c>
      <c r="M58" s="217"/>
      <c r="N58" s="217"/>
      <c r="O58" s="215">
        <f>(O56/$E$45/8)/20</f>
        <v>3.3358338751625487</v>
      </c>
      <c r="P58" s="115"/>
      <c r="Q58" s="113"/>
      <c r="R58" s="113"/>
      <c r="S58" s="215">
        <f>SUM(F58:R58)</f>
        <v>5.7525784297789331</v>
      </c>
      <c r="T58" s="215"/>
      <c r="U58" s="205"/>
      <c r="V58" s="113"/>
    </row>
    <row r="59" spans="1:29" s="63" customFormat="1" x14ac:dyDescent="0.25">
      <c r="B59" s="2"/>
      <c r="C59" s="101"/>
      <c r="D59" s="175"/>
      <c r="E59" s="214"/>
      <c r="F59" s="215"/>
      <c r="G59" s="215"/>
      <c r="H59" s="215"/>
      <c r="I59" s="215"/>
      <c r="J59" s="216"/>
      <c r="K59" s="217"/>
      <c r="L59" s="217"/>
      <c r="M59" s="217"/>
      <c r="N59" s="217"/>
      <c r="O59" s="215"/>
      <c r="P59" s="115"/>
      <c r="Q59" s="113"/>
      <c r="R59" s="113"/>
      <c r="S59" s="215"/>
      <c r="T59" s="215"/>
      <c r="U59" s="205"/>
      <c r="V59" s="113"/>
    </row>
    <row r="60" spans="1:29" x14ac:dyDescent="0.25">
      <c r="A60" s="59"/>
      <c r="B60" s="207"/>
      <c r="C60" s="58"/>
      <c r="D60" s="57"/>
      <c r="E60" s="58"/>
      <c r="F60" s="213"/>
      <c r="H60" s="57"/>
      <c r="O60" s="246"/>
      <c r="U60" s="60"/>
      <c r="V60" s="60"/>
      <c r="W60" s="99"/>
      <c r="Z60" s="60"/>
      <c r="AA60" s="59"/>
      <c r="AB60" s="59"/>
      <c r="AC60" s="59"/>
    </row>
    <row r="61" spans="1:29" ht="15.75" x14ac:dyDescent="0.25">
      <c r="A61" s="209" t="s">
        <v>251</v>
      </c>
      <c r="B61" s="204"/>
      <c r="C61" s="224"/>
      <c r="D61" s="245" t="s">
        <v>203</v>
      </c>
      <c r="E61" s="223">
        <v>7</v>
      </c>
      <c r="S61" s="99"/>
      <c r="T61" s="63"/>
      <c r="U61" s="63"/>
      <c r="V61" s="60"/>
      <c r="X61" s="59"/>
      <c r="Y61" s="59"/>
      <c r="Z61" s="59"/>
      <c r="AA61" s="59"/>
      <c r="AB61" s="59"/>
      <c r="AC61" s="59"/>
    </row>
    <row r="62" spans="1:29" s="63" customFormat="1" ht="54" customHeight="1" x14ac:dyDescent="0.25">
      <c r="B62" s="65" t="s">
        <v>0</v>
      </c>
      <c r="C62" s="65" t="s">
        <v>144</v>
      </c>
      <c r="D62" s="65" t="s">
        <v>136</v>
      </c>
      <c r="E62" s="65" t="s">
        <v>138</v>
      </c>
      <c r="F62" s="66" t="s">
        <v>133</v>
      </c>
      <c r="G62" s="66" t="s">
        <v>108</v>
      </c>
      <c r="H62" s="66" t="s">
        <v>2</v>
      </c>
      <c r="I62" s="66" t="s">
        <v>146</v>
      </c>
      <c r="J62" s="66" t="s">
        <v>108</v>
      </c>
      <c r="K62" s="66" t="s">
        <v>15</v>
      </c>
      <c r="L62" s="66" t="s">
        <v>243</v>
      </c>
      <c r="M62" s="66" t="s">
        <v>108</v>
      </c>
      <c r="N62" s="66" t="s">
        <v>242</v>
      </c>
      <c r="O62" s="66" t="s">
        <v>190</v>
      </c>
      <c r="P62" s="66" t="s">
        <v>108</v>
      </c>
      <c r="Q62" s="66" t="s">
        <v>191</v>
      </c>
      <c r="R62" s="66" t="s">
        <v>185</v>
      </c>
      <c r="S62" s="66" t="s">
        <v>207</v>
      </c>
      <c r="T62" s="102"/>
    </row>
    <row r="63" spans="1:29" s="63" customFormat="1" x14ac:dyDescent="0.25">
      <c r="B63" s="227" t="s">
        <v>213</v>
      </c>
      <c r="C63" s="30" t="s">
        <v>214</v>
      </c>
      <c r="D63" s="228" t="s">
        <v>215</v>
      </c>
      <c r="E63" s="30" t="s">
        <v>216</v>
      </c>
      <c r="F63" s="241">
        <v>363.94265279583868</v>
      </c>
      <c r="G63" s="113">
        <f>+Perfils!$G$41</f>
        <v>76.900000000000006</v>
      </c>
      <c r="H63" s="114">
        <f>ROUND(F63*G63,2)</f>
        <v>27987.19</v>
      </c>
      <c r="I63" s="241">
        <v>322.70637191157346</v>
      </c>
      <c r="J63" s="115">
        <f>+Perfils!$G$59</f>
        <v>76.900000000000006</v>
      </c>
      <c r="K63" s="114">
        <f>ROUND(I63*J63,2)</f>
        <v>24816.12</v>
      </c>
      <c r="L63" s="241">
        <v>0</v>
      </c>
      <c r="M63" s="114">
        <f>+Perfils!$G$77</f>
        <v>76.900000000000006</v>
      </c>
      <c r="N63" s="114">
        <f>ROUND(L63*M63,2)</f>
        <v>0</v>
      </c>
      <c r="O63" s="241">
        <v>2778.387256176853</v>
      </c>
      <c r="P63" s="115">
        <f>+Perfils!$G$96</f>
        <v>76.900000000000006</v>
      </c>
      <c r="Q63" s="114">
        <f>ROUND(O63*P63,2)</f>
        <v>213657.98</v>
      </c>
      <c r="R63" s="114">
        <v>0</v>
      </c>
      <c r="S63" s="222">
        <f t="shared" ref="S63:S71" si="19">+H63+K63+Q63+R63</f>
        <v>266461.29000000004</v>
      </c>
      <c r="T63" s="102"/>
    </row>
    <row r="64" spans="1:29" s="63" customFormat="1" x14ac:dyDescent="0.25">
      <c r="B64" s="227" t="s">
        <v>213</v>
      </c>
      <c r="C64" s="30" t="s">
        <v>214</v>
      </c>
      <c r="D64" t="s">
        <v>244</v>
      </c>
      <c r="E64" s="30" t="s">
        <v>245</v>
      </c>
      <c r="F64" s="241">
        <v>0</v>
      </c>
      <c r="G64" s="113">
        <f>+Perfils!$G$41</f>
        <v>76.900000000000006</v>
      </c>
      <c r="H64" s="114">
        <f t="shared" ref="H64:H71" si="20">ROUND(F64*G64,2)</f>
        <v>0</v>
      </c>
      <c r="I64" s="241">
        <v>227.56827048114434</v>
      </c>
      <c r="J64" s="115">
        <f>+Perfils!$G$59</f>
        <v>76.900000000000006</v>
      </c>
      <c r="K64" s="114">
        <f t="shared" ref="K64:K71" si="21">ROUND(I64*J64,2)</f>
        <v>17500</v>
      </c>
      <c r="L64" s="241">
        <v>0</v>
      </c>
      <c r="M64" s="114">
        <f>+Perfils!$G$77</f>
        <v>76.900000000000006</v>
      </c>
      <c r="N64" s="114">
        <f t="shared" ref="N64:N71" si="22">ROUND(L64*M64,2)</f>
        <v>0</v>
      </c>
      <c r="O64" s="241">
        <v>0</v>
      </c>
      <c r="P64" s="115">
        <f>+Perfils!$G$96</f>
        <v>76.900000000000006</v>
      </c>
      <c r="Q64" s="114">
        <f t="shared" ref="Q64:Q71" si="23">ROUND(O64*P64,2)</f>
        <v>0</v>
      </c>
      <c r="R64" s="114">
        <v>0</v>
      </c>
      <c r="S64" s="222">
        <f t="shared" si="19"/>
        <v>17500</v>
      </c>
      <c r="T64" s="102"/>
    </row>
    <row r="65" spans="1:29" s="63" customFormat="1" ht="30" x14ac:dyDescent="0.25">
      <c r="B65" s="227" t="s">
        <v>213</v>
      </c>
      <c r="C65" s="30" t="s">
        <v>214</v>
      </c>
      <c r="D65" s="228" t="s">
        <v>215</v>
      </c>
      <c r="E65" s="180" t="s">
        <v>252</v>
      </c>
      <c r="F65" s="241">
        <v>0</v>
      </c>
      <c r="G65" s="113">
        <f>+Perfils!$G$41</f>
        <v>76.900000000000006</v>
      </c>
      <c r="H65" s="114">
        <f t="shared" si="20"/>
        <v>0</v>
      </c>
      <c r="I65" s="241">
        <v>113.78413524057217</v>
      </c>
      <c r="J65" s="115">
        <f>+Perfils!$G$59</f>
        <v>76.900000000000006</v>
      </c>
      <c r="K65" s="114">
        <f t="shared" si="21"/>
        <v>8750</v>
      </c>
      <c r="L65" s="241">
        <v>0</v>
      </c>
      <c r="M65" s="114">
        <f>+Perfils!$G$77</f>
        <v>76.900000000000006</v>
      </c>
      <c r="N65" s="114">
        <f t="shared" si="22"/>
        <v>0</v>
      </c>
      <c r="O65" s="241">
        <v>0</v>
      </c>
      <c r="P65" s="115">
        <f>+Perfils!$G$96</f>
        <v>76.900000000000006</v>
      </c>
      <c r="Q65" s="114">
        <f t="shared" si="23"/>
        <v>0</v>
      </c>
      <c r="R65" s="114">
        <v>0</v>
      </c>
      <c r="S65" s="222">
        <f t="shared" si="19"/>
        <v>8750</v>
      </c>
      <c r="T65" s="102"/>
    </row>
    <row r="66" spans="1:29" s="63" customFormat="1" x14ac:dyDescent="0.25">
      <c r="B66" s="227" t="s">
        <v>213</v>
      </c>
      <c r="C66" s="30" t="s">
        <v>214</v>
      </c>
      <c r="D66" s="228" t="s">
        <v>215</v>
      </c>
      <c r="E66" s="30" t="s">
        <v>246</v>
      </c>
      <c r="F66" s="241">
        <v>0</v>
      </c>
      <c r="G66" s="113">
        <f>+Perfils!$G$41</f>
        <v>76.900000000000006</v>
      </c>
      <c r="H66" s="114">
        <f t="shared" si="20"/>
        <v>0</v>
      </c>
      <c r="I66" s="241">
        <v>572.71352405721711</v>
      </c>
      <c r="J66" s="115">
        <f>+Perfils!$G$59</f>
        <v>76.900000000000006</v>
      </c>
      <c r="K66" s="114">
        <f t="shared" si="21"/>
        <v>44041.67</v>
      </c>
      <c r="L66" s="241">
        <v>611.18335500650187</v>
      </c>
      <c r="M66" s="114">
        <f>+Perfils!$G$77</f>
        <v>76.900000000000006</v>
      </c>
      <c r="N66" s="114">
        <f t="shared" si="22"/>
        <v>47000</v>
      </c>
      <c r="O66" s="241">
        <v>0</v>
      </c>
      <c r="P66" s="115">
        <f>+Perfils!$G$96</f>
        <v>76.900000000000006</v>
      </c>
      <c r="Q66" s="114">
        <f t="shared" si="23"/>
        <v>0</v>
      </c>
      <c r="R66" s="114">
        <v>0</v>
      </c>
      <c r="S66" s="222">
        <f t="shared" si="19"/>
        <v>44041.67</v>
      </c>
      <c r="T66" s="102"/>
    </row>
    <row r="67" spans="1:29" s="63" customFormat="1" x14ac:dyDescent="0.25">
      <c r="B67" s="227" t="s">
        <v>213</v>
      </c>
      <c r="C67" s="30" t="s">
        <v>214</v>
      </c>
      <c r="D67" s="228" t="s">
        <v>215</v>
      </c>
      <c r="E67" s="30" t="s">
        <v>249</v>
      </c>
      <c r="F67" s="241">
        <v>0</v>
      </c>
      <c r="G67" s="113">
        <f>+Perfils!$G$41</f>
        <v>76.900000000000006</v>
      </c>
      <c r="H67" s="114">
        <f t="shared" si="20"/>
        <v>0</v>
      </c>
      <c r="I67" s="241">
        <v>377.29505851755528</v>
      </c>
      <c r="J67" s="115">
        <f>+Perfils!$G$59</f>
        <v>76.900000000000006</v>
      </c>
      <c r="K67" s="114">
        <f t="shared" si="21"/>
        <v>29013.99</v>
      </c>
      <c r="L67" s="241">
        <v>0</v>
      </c>
      <c r="M67" s="114">
        <f>+Perfils!$G$77</f>
        <v>76.900000000000006</v>
      </c>
      <c r="N67" s="114">
        <f t="shared" si="22"/>
        <v>0</v>
      </c>
      <c r="O67" s="241">
        <v>0</v>
      </c>
      <c r="P67" s="115">
        <f>+Perfils!$G$96</f>
        <v>76.900000000000006</v>
      </c>
      <c r="Q67" s="114">
        <f t="shared" si="23"/>
        <v>0</v>
      </c>
      <c r="R67" s="114">
        <v>0</v>
      </c>
      <c r="S67" s="222">
        <f t="shared" si="19"/>
        <v>29013.99</v>
      </c>
      <c r="T67" s="102"/>
    </row>
    <row r="68" spans="1:29" s="63" customFormat="1" x14ac:dyDescent="0.25">
      <c r="B68" s="227" t="s">
        <v>213</v>
      </c>
      <c r="C68" s="30" t="s">
        <v>214</v>
      </c>
      <c r="D68" s="228" t="s">
        <v>215</v>
      </c>
      <c r="E68" s="30" t="s">
        <v>250</v>
      </c>
      <c r="F68" s="241">
        <v>0</v>
      </c>
      <c r="G68" s="113">
        <f>+Perfils!$G$41</f>
        <v>76.900000000000006</v>
      </c>
      <c r="H68" s="114">
        <f t="shared" si="20"/>
        <v>0</v>
      </c>
      <c r="I68" s="241">
        <v>121.89531859557866</v>
      </c>
      <c r="J68" s="115">
        <f>+Perfils!$G$59</f>
        <v>76.900000000000006</v>
      </c>
      <c r="K68" s="114">
        <f t="shared" si="21"/>
        <v>9373.75</v>
      </c>
      <c r="L68" s="241">
        <v>0</v>
      </c>
      <c r="M68" s="114">
        <f>+Perfils!$G$77</f>
        <v>76.900000000000006</v>
      </c>
      <c r="N68" s="114">
        <f t="shared" si="22"/>
        <v>0</v>
      </c>
      <c r="O68" s="241">
        <v>0</v>
      </c>
      <c r="P68" s="115">
        <f>+Perfils!$G$96</f>
        <v>76.900000000000006</v>
      </c>
      <c r="Q68" s="114">
        <f t="shared" si="23"/>
        <v>0</v>
      </c>
      <c r="R68" s="114">
        <v>0</v>
      </c>
      <c r="S68" s="222">
        <f t="shared" si="19"/>
        <v>9373.75</v>
      </c>
      <c r="T68" s="102"/>
    </row>
    <row r="69" spans="1:29" s="63" customFormat="1" x14ac:dyDescent="0.25">
      <c r="B69" s="272" t="s">
        <v>247</v>
      </c>
      <c r="C69" s="30" t="s">
        <v>248</v>
      </c>
      <c r="D69" s="228" t="s">
        <v>215</v>
      </c>
      <c r="E69" s="30" t="s">
        <v>248</v>
      </c>
      <c r="F69" s="241">
        <v>0</v>
      </c>
      <c r="G69" s="113">
        <f>+Perfils!$G$41</f>
        <v>76.900000000000006</v>
      </c>
      <c r="H69" s="114">
        <f t="shared" si="20"/>
        <v>0</v>
      </c>
      <c r="I69" s="241">
        <v>0</v>
      </c>
      <c r="J69" s="115">
        <f>+Perfils!$G$59</f>
        <v>76.900000000000006</v>
      </c>
      <c r="K69" s="114">
        <f t="shared" si="21"/>
        <v>0</v>
      </c>
      <c r="L69" s="241">
        <v>0</v>
      </c>
      <c r="M69" s="114">
        <f>+Perfils!$G$77</f>
        <v>76.900000000000006</v>
      </c>
      <c r="N69" s="114">
        <f t="shared" si="22"/>
        <v>0</v>
      </c>
      <c r="O69" s="241">
        <v>551.43120936280877</v>
      </c>
      <c r="P69" s="115">
        <f>+Perfils!$G$96</f>
        <v>76.900000000000006</v>
      </c>
      <c r="Q69" s="114">
        <f t="shared" si="23"/>
        <v>42405.06</v>
      </c>
      <c r="R69" s="114">
        <v>0</v>
      </c>
      <c r="S69" s="222">
        <f t="shared" si="19"/>
        <v>42405.06</v>
      </c>
      <c r="T69" s="102"/>
    </row>
    <row r="70" spans="1:29" s="63" customFormat="1" x14ac:dyDescent="0.25">
      <c r="B70" s="227" t="s">
        <v>217</v>
      </c>
      <c r="C70" s="30" t="s">
        <v>218</v>
      </c>
      <c r="D70" s="228" t="s">
        <v>215</v>
      </c>
      <c r="E70" s="30" t="s">
        <v>255</v>
      </c>
      <c r="F70" s="241">
        <v>0</v>
      </c>
      <c r="G70" s="113">
        <f>+Perfils!$G$41</f>
        <v>76.900000000000006</v>
      </c>
      <c r="H70" s="114">
        <f t="shared" si="20"/>
        <v>0</v>
      </c>
      <c r="I70" s="241">
        <v>0</v>
      </c>
      <c r="J70" s="115">
        <f>+Perfils!$G$59</f>
        <v>76.900000000000006</v>
      </c>
      <c r="K70" s="114">
        <f t="shared" si="21"/>
        <v>0</v>
      </c>
      <c r="L70" s="241">
        <v>0</v>
      </c>
      <c r="M70" s="114">
        <f>+Perfils!$G$77</f>
        <v>76.900000000000006</v>
      </c>
      <c r="N70" s="114">
        <f t="shared" si="22"/>
        <v>0</v>
      </c>
      <c r="O70" s="241">
        <v>406.31560468140435</v>
      </c>
      <c r="P70" s="115">
        <f>+Perfils!$G$96</f>
        <v>76.900000000000006</v>
      </c>
      <c r="Q70" s="114">
        <f t="shared" si="23"/>
        <v>31245.67</v>
      </c>
      <c r="R70" s="114">
        <v>0</v>
      </c>
      <c r="S70" s="222">
        <f t="shared" si="19"/>
        <v>31245.67</v>
      </c>
      <c r="T70" s="102"/>
    </row>
    <row r="71" spans="1:29" s="63" customFormat="1" x14ac:dyDescent="0.25">
      <c r="B71" s="208" t="s">
        <v>194</v>
      </c>
      <c r="C71" s="177" t="s">
        <v>195</v>
      </c>
      <c r="D71" s="180" t="s">
        <v>196</v>
      </c>
      <c r="E71" s="180" t="s">
        <v>195</v>
      </c>
      <c r="F71" s="241">
        <v>0</v>
      </c>
      <c r="G71" s="113">
        <f>+Perfils!$G$41</f>
        <v>76.900000000000006</v>
      </c>
      <c r="H71" s="114">
        <f t="shared" si="20"/>
        <v>0</v>
      </c>
      <c r="I71" s="241">
        <v>0</v>
      </c>
      <c r="J71" s="115">
        <f>+Perfils!$G$59</f>
        <v>76.900000000000006</v>
      </c>
      <c r="K71" s="114">
        <f t="shared" si="21"/>
        <v>0</v>
      </c>
      <c r="L71" s="241">
        <v>0</v>
      </c>
      <c r="M71" s="114">
        <f>+Perfils!$G$77</f>
        <v>76.900000000000006</v>
      </c>
      <c r="N71" s="114">
        <f t="shared" si="22"/>
        <v>0</v>
      </c>
      <c r="O71" s="241">
        <v>0</v>
      </c>
      <c r="P71" s="115">
        <f>+Perfils!$G$96</f>
        <v>76.900000000000006</v>
      </c>
      <c r="Q71" s="114">
        <f t="shared" si="23"/>
        <v>0</v>
      </c>
      <c r="R71" s="114">
        <v>0</v>
      </c>
      <c r="S71" s="222">
        <f t="shared" si="19"/>
        <v>0</v>
      </c>
      <c r="T71" s="102"/>
    </row>
    <row r="72" spans="1:29" s="63" customFormat="1" ht="15.75" x14ac:dyDescent="0.25">
      <c r="B72" s="65" t="s">
        <v>116</v>
      </c>
      <c r="C72" s="183"/>
      <c r="D72" s="184"/>
      <c r="E72" s="185"/>
      <c r="F72" s="181">
        <f>SUM(F63:F71)</f>
        <v>363.94265279583868</v>
      </c>
      <c r="G72" s="181"/>
      <c r="H72" s="182">
        <f>SUM(H63:H71)</f>
        <v>27987.19</v>
      </c>
      <c r="I72" s="181">
        <f>SUM(I63:I71)</f>
        <v>1735.962678803641</v>
      </c>
      <c r="J72" s="181"/>
      <c r="K72" s="182">
        <f>SUM(K63:K71)</f>
        <v>133495.53</v>
      </c>
      <c r="L72" s="182">
        <f>SUM(L63:L71)</f>
        <v>611.18335500650187</v>
      </c>
      <c r="M72" s="182"/>
      <c r="N72" s="182">
        <f>SUM(N63:N71)</f>
        <v>47000</v>
      </c>
      <c r="O72" s="181">
        <f>SUM(O63:O71)</f>
        <v>3736.1340702210659</v>
      </c>
      <c r="P72" s="181"/>
      <c r="Q72" s="182">
        <f>SUM(Q63:Q71)</f>
        <v>287308.71000000002</v>
      </c>
      <c r="R72" s="182">
        <f>SUM(R63:R71)</f>
        <v>0</v>
      </c>
      <c r="S72" s="182">
        <f>SUM(S63:S71)</f>
        <v>448791.43</v>
      </c>
    </row>
    <row r="73" spans="1:29" s="63" customFormat="1" x14ac:dyDescent="0.25">
      <c r="B73" s="2"/>
      <c r="C73" s="101"/>
      <c r="D73" s="175"/>
      <c r="E73" s="112"/>
      <c r="F73" s="113"/>
      <c r="G73" s="113"/>
      <c r="H73" s="114"/>
      <c r="I73" s="113"/>
      <c r="J73" s="115"/>
      <c r="K73" s="114"/>
      <c r="L73" s="114"/>
      <c r="M73" s="114"/>
      <c r="N73" s="114"/>
      <c r="O73" s="113"/>
      <c r="P73" s="115"/>
      <c r="Q73" s="114"/>
      <c r="R73" s="114"/>
    </row>
    <row r="74" spans="1:29" s="63" customFormat="1" x14ac:dyDescent="0.25">
      <c r="B74" s="2"/>
      <c r="C74" s="101"/>
      <c r="D74" s="175"/>
      <c r="E74" s="214" t="s">
        <v>198</v>
      </c>
      <c r="F74" s="215">
        <f>(F72/$E$61/8)/20</f>
        <v>0.32494879713914171</v>
      </c>
      <c r="G74" s="215"/>
      <c r="H74" s="215"/>
      <c r="I74" s="215">
        <f>(I72/$E$61/8)/20</f>
        <v>1.5499666775032508</v>
      </c>
      <c r="J74" s="216"/>
      <c r="K74" s="217"/>
      <c r="L74" s="215">
        <f>(L72/$E$61/8)/20</f>
        <v>0.54569942411294803</v>
      </c>
      <c r="M74" s="217"/>
      <c r="N74" s="217"/>
      <c r="O74" s="215">
        <f>(O72/$E$61/8)/20</f>
        <v>3.3358339912688089</v>
      </c>
      <c r="P74" s="115"/>
      <c r="Q74" s="215">
        <f>Q73/P71</f>
        <v>0</v>
      </c>
      <c r="R74" s="113"/>
      <c r="S74" s="215">
        <f>SUM(F74:R74)</f>
        <v>5.7564488900241493</v>
      </c>
    </row>
    <row r="75" spans="1:29" x14ac:dyDescent="0.25">
      <c r="A75" s="59"/>
      <c r="B75" s="207"/>
      <c r="C75" s="58"/>
      <c r="D75" s="57"/>
      <c r="E75" s="58"/>
      <c r="F75" s="213"/>
      <c r="H75" s="57"/>
      <c r="U75" s="60"/>
      <c r="V75" s="60"/>
      <c r="W75" s="99"/>
      <c r="Z75" s="60"/>
      <c r="AA75" s="59"/>
      <c r="AB75" s="59"/>
      <c r="AC75" s="59"/>
    </row>
    <row r="76" spans="1:29" x14ac:dyDescent="0.25">
      <c r="T76" s="60"/>
      <c r="U76" s="60"/>
      <c r="V76" s="99"/>
      <c r="W76" s="60"/>
      <c r="Z76" s="59"/>
      <c r="AA76" s="59"/>
      <c r="AB76" s="59"/>
      <c r="AC76" s="59"/>
    </row>
    <row r="77" spans="1:29" x14ac:dyDescent="0.25">
      <c r="O77" s="239" t="s">
        <v>206</v>
      </c>
      <c r="T77" s="60"/>
      <c r="U77" s="60"/>
      <c r="V77" s="99"/>
      <c r="W77" s="60"/>
      <c r="Z77" s="59"/>
      <c r="AA77" s="59"/>
      <c r="AB77" s="59"/>
      <c r="AC77" s="59"/>
    </row>
    <row r="78" spans="1:29" x14ac:dyDescent="0.25">
      <c r="T78" s="60"/>
      <c r="U78" s="60"/>
      <c r="V78" s="99"/>
      <c r="W78" s="60"/>
      <c r="Z78" s="59"/>
      <c r="AA78" s="59"/>
      <c r="AB78" s="59"/>
      <c r="AC78" s="59"/>
    </row>
    <row r="79" spans="1:29" x14ac:dyDescent="0.25">
      <c r="T79" s="60"/>
      <c r="U79" s="60"/>
      <c r="V79" s="99"/>
      <c r="W79" s="60"/>
      <c r="Z79" s="59"/>
      <c r="AA79" s="59"/>
      <c r="AB79" s="59"/>
      <c r="AC79" s="59"/>
    </row>
    <row r="80" spans="1:29" x14ac:dyDescent="0.25">
      <c r="T80" s="60"/>
      <c r="U80" s="60"/>
      <c r="V80" s="99"/>
      <c r="W80" s="60"/>
      <c r="Z80" s="59"/>
      <c r="AA80" s="59"/>
      <c r="AB80" s="59"/>
      <c r="AC80" s="59"/>
    </row>
  </sheetData>
  <sheetProtection algorithmName="SHA-512" hashValue="mQPXxHA4eClpI6iaDUViTMMaR8UuZNiSMgIz90YTcFbw8ATK8tkLNWGupyh50g724Z59RTqq4T2aI8IOY7xzdA==" saltValue="dIElXIYGUJEBrqUPIvKjQg==" spinCount="100000" sheet="1" objects="1" scenarios="1" insertColumns="0" insertRows="0" sort="0" pivotTables="0"/>
  <autoFilter ref="B14:AD24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1</xdr:col>
                <xdr:colOff>200025</xdr:colOff>
                <xdr:row>29</xdr:row>
                <xdr:rowOff>323850</xdr:rowOff>
              </from>
              <to>
                <xdr:col>2</xdr:col>
                <xdr:colOff>152400</xdr:colOff>
                <xdr:row>29</xdr:row>
                <xdr:rowOff>504825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1</xdr:col>
                <xdr:colOff>200025</xdr:colOff>
                <xdr:row>29</xdr:row>
                <xdr:rowOff>323850</xdr:rowOff>
              </from>
              <to>
                <xdr:col>2</xdr:col>
                <xdr:colOff>152400</xdr:colOff>
                <xdr:row>29</xdr:row>
                <xdr:rowOff>504825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200025</xdr:colOff>
                <xdr:row>29</xdr:row>
                <xdr:rowOff>323850</xdr:rowOff>
              </from>
              <to>
                <xdr:col>2</xdr:col>
                <xdr:colOff>152400</xdr:colOff>
                <xdr:row>29</xdr:row>
                <xdr:rowOff>504825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1</xdr:col>
                <xdr:colOff>200025</xdr:colOff>
                <xdr:row>29</xdr:row>
                <xdr:rowOff>323850</xdr:rowOff>
              </from>
              <to>
                <xdr:col>2</xdr:col>
                <xdr:colOff>152400</xdr:colOff>
                <xdr:row>29</xdr:row>
                <xdr:rowOff>504825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1</xdr:col>
                <xdr:colOff>200025</xdr:colOff>
                <xdr:row>29</xdr:row>
                <xdr:rowOff>323850</xdr:rowOff>
              </from>
              <to>
                <xdr:col>2</xdr:col>
                <xdr:colOff>152400</xdr:colOff>
                <xdr:row>29</xdr:row>
                <xdr:rowOff>504825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6"/>
  <sheetViews>
    <sheetView showGridLines="0" zoomScale="80" zoomScaleNormal="80" workbookViewId="0">
      <selection activeCell="D5" sqref="D5"/>
    </sheetView>
  </sheetViews>
  <sheetFormatPr baseColWidth="10" defaultColWidth="11.42578125" defaultRowHeight="15" x14ac:dyDescent="0.25"/>
  <cols>
    <col min="1" max="1" width="16.5703125" customWidth="1"/>
    <col min="2" max="2" width="28.28515625" customWidth="1"/>
    <col min="3" max="3" width="57.85546875" customWidth="1"/>
    <col min="4" max="4" width="13.85546875" customWidth="1"/>
    <col min="5" max="5" width="13.28515625" customWidth="1"/>
    <col min="6" max="6" width="16.28515625" customWidth="1"/>
    <col min="7" max="7" width="17.28515625" customWidth="1"/>
    <col min="8" max="8" width="15.28515625" bestFit="1" customWidth="1"/>
  </cols>
  <sheetData>
    <row r="1" spans="3:8" ht="15.75" thickBot="1" x14ac:dyDescent="0.3"/>
    <row r="2" spans="3:8" ht="45" x14ac:dyDescent="0.25">
      <c r="C2" s="168"/>
      <c r="D2" s="169" t="s">
        <v>173</v>
      </c>
      <c r="E2" s="169" t="s">
        <v>172</v>
      </c>
      <c r="F2" s="169" t="s">
        <v>278</v>
      </c>
    </row>
    <row r="3" spans="3:8" x14ac:dyDescent="0.25">
      <c r="C3" s="278" t="s">
        <v>264</v>
      </c>
      <c r="D3" s="225">
        <f t="shared" ref="D3:D15" si="0">+ROUND(E3*1.21,2)</f>
        <v>89.77</v>
      </c>
      <c r="E3" s="284">
        <v>74.19</v>
      </c>
      <c r="F3" s="279">
        <v>74.19</v>
      </c>
      <c r="G3" s="226"/>
    </row>
    <row r="4" spans="3:8" x14ac:dyDescent="0.25">
      <c r="C4" s="278" t="s">
        <v>234</v>
      </c>
      <c r="D4" s="225">
        <f t="shared" si="0"/>
        <v>86.99</v>
      </c>
      <c r="E4" s="284">
        <v>71.89</v>
      </c>
      <c r="F4" s="279">
        <v>71.89</v>
      </c>
      <c r="G4" s="226"/>
    </row>
    <row r="5" spans="3:8" x14ac:dyDescent="0.25">
      <c r="C5" s="278" t="s">
        <v>235</v>
      </c>
      <c r="D5" s="225">
        <f t="shared" si="0"/>
        <v>89.77</v>
      </c>
      <c r="E5" s="284">
        <v>74.19</v>
      </c>
      <c r="F5" s="279">
        <v>74.19</v>
      </c>
      <c r="G5" s="226"/>
      <c r="H5" s="276"/>
    </row>
    <row r="6" spans="3:8" x14ac:dyDescent="0.25">
      <c r="C6" s="278" t="s">
        <v>274</v>
      </c>
      <c r="D6" s="225">
        <f t="shared" si="0"/>
        <v>89.77</v>
      </c>
      <c r="E6" s="284">
        <v>74.19</v>
      </c>
      <c r="F6" s="279">
        <v>74.19</v>
      </c>
      <c r="G6" s="226"/>
    </row>
    <row r="7" spans="3:8" x14ac:dyDescent="0.25">
      <c r="C7" s="278" t="s">
        <v>236</v>
      </c>
      <c r="D7" s="225">
        <f t="shared" si="0"/>
        <v>65.44</v>
      </c>
      <c r="E7" s="284">
        <v>54.08</v>
      </c>
      <c r="F7" s="279">
        <v>54.08</v>
      </c>
      <c r="G7" s="226"/>
    </row>
    <row r="8" spans="3:8" x14ac:dyDescent="0.25">
      <c r="C8" s="278" t="s">
        <v>265</v>
      </c>
      <c r="D8" s="225">
        <f t="shared" si="0"/>
        <v>94.88</v>
      </c>
      <c r="E8" s="284">
        <v>78.41</v>
      </c>
      <c r="F8" s="279">
        <v>78.41</v>
      </c>
      <c r="G8" s="226"/>
    </row>
    <row r="9" spans="3:8" x14ac:dyDescent="0.25">
      <c r="C9" s="278" t="s">
        <v>275</v>
      </c>
      <c r="D9" s="225">
        <f t="shared" si="0"/>
        <v>102.78</v>
      </c>
      <c r="E9" s="284">
        <v>84.94</v>
      </c>
      <c r="F9" s="279">
        <v>84.94</v>
      </c>
      <c r="G9" s="226"/>
    </row>
    <row r="10" spans="3:8" ht="30" x14ac:dyDescent="0.25">
      <c r="C10" s="280" t="s">
        <v>266</v>
      </c>
      <c r="D10" s="225">
        <f t="shared" si="0"/>
        <v>67.48</v>
      </c>
      <c r="E10" s="284">
        <v>55.77</v>
      </c>
      <c r="F10" s="279">
        <v>55.77</v>
      </c>
      <c r="G10" s="226"/>
    </row>
    <row r="11" spans="3:8" x14ac:dyDescent="0.25">
      <c r="C11" s="280" t="s">
        <v>272</v>
      </c>
      <c r="D11" s="225">
        <f t="shared" si="0"/>
        <v>58.39</v>
      </c>
      <c r="E11" s="284">
        <v>48.26</v>
      </c>
      <c r="F11" s="279">
        <v>48.26</v>
      </c>
      <c r="G11" s="226"/>
    </row>
    <row r="12" spans="3:8" x14ac:dyDescent="0.25">
      <c r="C12" s="280" t="s">
        <v>267</v>
      </c>
      <c r="D12" s="225">
        <f t="shared" si="0"/>
        <v>67.48</v>
      </c>
      <c r="E12" s="284">
        <v>55.77</v>
      </c>
      <c r="F12" s="279">
        <v>55.77</v>
      </c>
      <c r="G12" s="226"/>
    </row>
    <row r="13" spans="3:8" x14ac:dyDescent="0.25">
      <c r="C13" s="280" t="s">
        <v>241</v>
      </c>
      <c r="D13" s="225">
        <f t="shared" si="0"/>
        <v>94.88</v>
      </c>
      <c r="E13" s="284">
        <v>78.41</v>
      </c>
      <c r="F13" s="279">
        <v>78.41</v>
      </c>
      <c r="G13" s="226"/>
    </row>
    <row r="14" spans="3:8" x14ac:dyDescent="0.25">
      <c r="C14" s="278" t="s">
        <v>268</v>
      </c>
      <c r="D14" s="225">
        <f t="shared" si="0"/>
        <v>58.39</v>
      </c>
      <c r="E14" s="284">
        <v>48.26</v>
      </c>
      <c r="F14" s="279">
        <v>48.26</v>
      </c>
      <c r="G14" s="226"/>
    </row>
    <row r="15" spans="3:8" x14ac:dyDescent="0.25">
      <c r="C15" s="278" t="s">
        <v>269</v>
      </c>
      <c r="D15" s="225">
        <f t="shared" si="0"/>
        <v>67.48</v>
      </c>
      <c r="E15" s="284">
        <v>55.77</v>
      </c>
      <c r="F15" s="279">
        <v>55.77</v>
      </c>
      <c r="G15" s="226"/>
    </row>
    <row r="16" spans="3:8" x14ac:dyDescent="0.25">
      <c r="C16" s="278" t="s">
        <v>270</v>
      </c>
      <c r="D16" s="225">
        <f t="shared" ref="D16:D18" si="1">+ROUND(E16*1.21,2)</f>
        <v>67.48</v>
      </c>
      <c r="E16" s="284">
        <v>55.77</v>
      </c>
      <c r="F16" s="279">
        <v>55.77</v>
      </c>
      <c r="G16" s="226"/>
    </row>
    <row r="17" spans="2:10" x14ac:dyDescent="0.25">
      <c r="C17" s="278" t="s">
        <v>277</v>
      </c>
      <c r="D17" s="225">
        <f t="shared" si="1"/>
        <v>67.48</v>
      </c>
      <c r="E17" s="284">
        <v>55.77</v>
      </c>
      <c r="F17" s="279">
        <v>55.77</v>
      </c>
      <c r="G17" s="226"/>
    </row>
    <row r="18" spans="2:10" x14ac:dyDescent="0.25">
      <c r="C18" s="278" t="s">
        <v>271</v>
      </c>
      <c r="D18" s="225">
        <f t="shared" si="1"/>
        <v>67.48</v>
      </c>
      <c r="E18" s="284">
        <v>55.77</v>
      </c>
      <c r="F18" s="279">
        <v>55.77</v>
      </c>
      <c r="G18" s="226"/>
    </row>
    <row r="19" spans="2:10" x14ac:dyDescent="0.25">
      <c r="C19" s="278" t="s">
        <v>276</v>
      </c>
      <c r="D19" s="225">
        <f>+ROUND(E19*1.21,2)</f>
        <v>102.78</v>
      </c>
      <c r="E19" s="284">
        <v>84.94</v>
      </c>
      <c r="F19" s="279">
        <v>84.94</v>
      </c>
      <c r="G19" s="226"/>
    </row>
    <row r="20" spans="2:10" ht="15.75" thickBot="1" x14ac:dyDescent="0.3">
      <c r="C20" s="281" t="s">
        <v>273</v>
      </c>
      <c r="D20" s="282">
        <f>+ROUND(E20*1.21,2)</f>
        <v>56.18</v>
      </c>
      <c r="E20" s="285">
        <v>46.43</v>
      </c>
      <c r="F20" s="283">
        <v>46.43</v>
      </c>
      <c r="G20" s="226"/>
    </row>
    <row r="23" spans="2:10" ht="30" x14ac:dyDescent="0.25">
      <c r="B23" s="67" t="s">
        <v>4</v>
      </c>
      <c r="C23" s="67" t="s">
        <v>5</v>
      </c>
      <c r="D23" s="67" t="s">
        <v>6</v>
      </c>
      <c r="E23" s="199" t="s">
        <v>186</v>
      </c>
      <c r="F23" s="199" t="s">
        <v>187</v>
      </c>
      <c r="G23" s="67" t="s">
        <v>204</v>
      </c>
      <c r="J23" s="275"/>
    </row>
    <row r="24" spans="2:10" x14ac:dyDescent="0.25">
      <c r="B24" s="287" t="s">
        <v>7</v>
      </c>
      <c r="C24" s="229" t="str">
        <f>$C$3</f>
        <v>Coordinador/a del contracte / Responsable de contracte</v>
      </c>
      <c r="D24" s="70">
        <v>0.06</v>
      </c>
      <c r="E24" s="68">
        <f>$D$3</f>
        <v>89.77</v>
      </c>
      <c r="F24" s="68">
        <f>$E$3</f>
        <v>74.19</v>
      </c>
      <c r="G24" s="68">
        <f t="shared" ref="G24" si="2">E24*D24</f>
        <v>5.3861999999999997</v>
      </c>
    </row>
    <row r="25" spans="2:10" x14ac:dyDescent="0.25">
      <c r="B25" s="287"/>
      <c r="C25" s="229" t="s">
        <v>234</v>
      </c>
      <c r="D25" s="70">
        <v>0.06</v>
      </c>
      <c r="E25" s="68">
        <f>$D$4</f>
        <v>86.99</v>
      </c>
      <c r="F25" s="68">
        <f>$E$4</f>
        <v>71.89</v>
      </c>
      <c r="G25" s="68">
        <f>E25*D25</f>
        <v>5.2193999999999994</v>
      </c>
    </row>
    <row r="26" spans="2:10" x14ac:dyDescent="0.25">
      <c r="B26" s="287"/>
      <c r="C26" s="230" t="str">
        <f>$C$5</f>
        <v>Cap de projecte sènior</v>
      </c>
      <c r="D26" s="70">
        <v>0.25</v>
      </c>
      <c r="E26" s="231">
        <f>$D$5</f>
        <v>89.77</v>
      </c>
      <c r="F26" s="231">
        <f>$E$5</f>
        <v>74.19</v>
      </c>
      <c r="G26" s="68">
        <f t="shared" ref="G26:G28" si="3">E26*D26</f>
        <v>22.442499999999999</v>
      </c>
    </row>
    <row r="27" spans="2:10" x14ac:dyDescent="0.25">
      <c r="B27" s="287"/>
      <c r="C27" s="230" t="str">
        <f>$C$7</f>
        <v>Cap de projecte júnior</v>
      </c>
      <c r="D27" s="70">
        <v>7.1999999999999995E-2</v>
      </c>
      <c r="E27" s="231">
        <f>$D$7</f>
        <v>65.44</v>
      </c>
      <c r="F27" s="231">
        <f>$E$7</f>
        <v>54.08</v>
      </c>
      <c r="G27" s="68">
        <f t="shared" si="3"/>
        <v>4.7116799999999994</v>
      </c>
    </row>
    <row r="28" spans="2:10" x14ac:dyDescent="0.25">
      <c r="B28" s="287"/>
      <c r="C28" s="230" t="str">
        <f>$C$8</f>
        <v>Arquitecte/a / Responsable seguretat</v>
      </c>
      <c r="D28" s="70">
        <v>0</v>
      </c>
      <c r="E28" s="231">
        <f>$D$8</f>
        <v>94.88</v>
      </c>
      <c r="F28" s="231">
        <f>$E$8</f>
        <v>78.41</v>
      </c>
      <c r="G28" s="68">
        <f t="shared" si="3"/>
        <v>0</v>
      </c>
    </row>
    <row r="29" spans="2:10" x14ac:dyDescent="0.25">
      <c r="B29" s="287"/>
      <c r="C29" s="230" t="s">
        <v>237</v>
      </c>
      <c r="D29" s="70">
        <v>0.04</v>
      </c>
      <c r="E29" s="231">
        <f>$D$9</f>
        <v>102.78</v>
      </c>
      <c r="F29" s="231">
        <f>$E$9</f>
        <v>84.94</v>
      </c>
      <c r="G29" s="68">
        <f>E29*D29</f>
        <v>4.1112000000000002</v>
      </c>
    </row>
    <row r="30" spans="2:10" ht="30" x14ac:dyDescent="0.25">
      <c r="B30" s="287"/>
      <c r="C30" s="269" t="s">
        <v>238</v>
      </c>
      <c r="D30" s="267">
        <v>0.22500000000000001</v>
      </c>
      <c r="E30" s="68">
        <f>$D$10</f>
        <v>67.48</v>
      </c>
      <c r="F30" s="68">
        <f>$E$10</f>
        <v>55.77</v>
      </c>
      <c r="G30" s="68">
        <f t="shared" ref="G30" si="4">E30*D30</f>
        <v>15.183000000000002</v>
      </c>
    </row>
    <row r="31" spans="2:10" x14ac:dyDescent="0.25">
      <c r="B31" s="287"/>
      <c r="C31" s="230" t="s">
        <v>239</v>
      </c>
      <c r="D31" s="70">
        <v>7.4999999999999997E-2</v>
      </c>
      <c r="E31" s="68">
        <f>$D$11</f>
        <v>58.39</v>
      </c>
      <c r="F31" s="68">
        <f>$E$11</f>
        <v>48.26</v>
      </c>
      <c r="G31" s="68">
        <f>E31*D31</f>
        <v>4.3792499999999999</v>
      </c>
    </row>
    <row r="32" spans="2:10" x14ac:dyDescent="0.25">
      <c r="B32" s="287"/>
      <c r="C32" s="230" t="s">
        <v>240</v>
      </c>
      <c r="D32" s="70">
        <v>0</v>
      </c>
      <c r="E32" s="68">
        <f>$D$12</f>
        <v>67.48</v>
      </c>
      <c r="F32" s="68">
        <f>$E$12</f>
        <v>55.77</v>
      </c>
      <c r="G32" s="68">
        <f>E32*D32</f>
        <v>0</v>
      </c>
    </row>
    <row r="33" spans="2:8" x14ac:dyDescent="0.25">
      <c r="B33" s="287"/>
      <c r="C33" s="266" t="s">
        <v>241</v>
      </c>
      <c r="D33" s="70">
        <v>0.06</v>
      </c>
      <c r="E33" s="68">
        <f>$D$13</f>
        <v>94.88</v>
      </c>
      <c r="F33" s="68">
        <f>$E$13</f>
        <v>78.41</v>
      </c>
      <c r="G33" s="68">
        <f>E33*D33</f>
        <v>5.6927999999999992</v>
      </c>
    </row>
    <row r="34" spans="2:8" x14ac:dyDescent="0.25">
      <c r="B34" s="287"/>
      <c r="C34" s="230" t="str">
        <f>+$C$17</f>
        <v>Dissenyador/a gràfic/a</v>
      </c>
      <c r="D34" s="70">
        <v>0</v>
      </c>
      <c r="E34" s="68">
        <f>$D$17</f>
        <v>67.48</v>
      </c>
      <c r="F34" s="68">
        <f>$E$17</f>
        <v>55.77</v>
      </c>
      <c r="G34" s="68">
        <f t="shared" ref="G34:G40" si="5">E34*D34</f>
        <v>0</v>
      </c>
    </row>
    <row r="35" spans="2:8" x14ac:dyDescent="0.25">
      <c r="B35" s="287"/>
      <c r="C35" s="230" t="str">
        <f>+$C$18</f>
        <v>Tècnic/a markets</v>
      </c>
      <c r="D35" s="70">
        <v>0</v>
      </c>
      <c r="E35" s="68">
        <f>$D$18</f>
        <v>67.48</v>
      </c>
      <c r="F35" s="68">
        <f>$E$18</f>
        <v>55.77</v>
      </c>
      <c r="G35" s="68">
        <f t="shared" si="5"/>
        <v>0</v>
      </c>
    </row>
    <row r="36" spans="2:8" x14ac:dyDescent="0.25">
      <c r="B36" s="287"/>
      <c r="C36" s="230" t="str">
        <f>$C$14</f>
        <v>Tècnic/a Testing</v>
      </c>
      <c r="D36" s="70">
        <v>0.09</v>
      </c>
      <c r="E36" s="68">
        <f>$D$14</f>
        <v>58.39</v>
      </c>
      <c r="F36" s="68">
        <f>$E$14</f>
        <v>48.26</v>
      </c>
      <c r="G36" s="68">
        <f t="shared" si="5"/>
        <v>5.2550999999999997</v>
      </c>
    </row>
    <row r="37" spans="2:8" x14ac:dyDescent="0.25">
      <c r="B37" s="287"/>
      <c r="C37" s="230" t="str">
        <f>$C$15</f>
        <v>Tècnic/a Usabilitat</v>
      </c>
      <c r="D37" s="70">
        <v>0</v>
      </c>
      <c r="E37" s="68">
        <f>$D$15</f>
        <v>67.48</v>
      </c>
      <c r="F37" s="68">
        <f>$E$15</f>
        <v>55.77</v>
      </c>
      <c r="G37" s="68">
        <f t="shared" si="5"/>
        <v>0</v>
      </c>
    </row>
    <row r="38" spans="2:8" x14ac:dyDescent="0.25">
      <c r="B38" s="287"/>
      <c r="C38" s="230" t="str">
        <f>$C$16</f>
        <v>Tècnic/a Accessibilitat</v>
      </c>
      <c r="D38" s="70">
        <v>0</v>
      </c>
      <c r="E38" s="68">
        <f>$D$16</f>
        <v>67.48</v>
      </c>
      <c r="F38" s="68">
        <f>$E$16</f>
        <v>55.77</v>
      </c>
      <c r="G38" s="68">
        <f t="shared" si="5"/>
        <v>0</v>
      </c>
    </row>
    <row r="39" spans="2:8" x14ac:dyDescent="0.25">
      <c r="B39" s="287"/>
      <c r="C39" s="230" t="str">
        <f>$C$19</f>
        <v>Expert/a analista ASO i analítica per aplicacions mòbils</v>
      </c>
      <c r="D39" s="70">
        <v>1.4999999999999999E-2</v>
      </c>
      <c r="E39" s="68">
        <f>$D$19</f>
        <v>102.78</v>
      </c>
      <c r="F39" s="68">
        <f>$E$19</f>
        <v>84.94</v>
      </c>
      <c r="G39" s="68">
        <f t="shared" si="5"/>
        <v>1.5417000000000001</v>
      </c>
    </row>
    <row r="40" spans="2:8" x14ac:dyDescent="0.25">
      <c r="B40" s="287"/>
      <c r="C40" s="230" t="str">
        <f>$C$20</f>
        <v>Consultor/a Júnior / Suport HelpDesk de primer nivell</v>
      </c>
      <c r="D40" s="70">
        <v>5.2999999999999999E-2</v>
      </c>
      <c r="E40" s="68">
        <f>$D$20</f>
        <v>56.18</v>
      </c>
      <c r="F40" s="68">
        <f>$E$20</f>
        <v>46.43</v>
      </c>
      <c r="G40" s="68">
        <f t="shared" si="5"/>
        <v>2.9775399999999999</v>
      </c>
    </row>
    <row r="41" spans="2:8" x14ac:dyDescent="0.25">
      <c r="B41" s="288"/>
      <c r="C41" s="286" t="s">
        <v>117</v>
      </c>
      <c r="D41" s="286"/>
      <c r="E41" s="286"/>
      <c r="F41" s="69"/>
      <c r="G41" s="69">
        <f>ROUND(SUM(G24:G40),2)</f>
        <v>76.900000000000006</v>
      </c>
      <c r="H41" s="116">
        <f>SUM(D24:D40)</f>
        <v>0.99999999999999989</v>
      </c>
    </row>
    <row r="42" spans="2:8" x14ac:dyDescent="0.25">
      <c r="B42" s="287" t="s">
        <v>13</v>
      </c>
      <c r="C42" s="229" t="str">
        <f>$C$3</f>
        <v>Coordinador/a del contracte / Responsable de contracte</v>
      </c>
      <c r="D42" s="70">
        <v>0.06</v>
      </c>
      <c r="E42" s="68">
        <f>$D$3</f>
        <v>89.77</v>
      </c>
      <c r="F42" s="68">
        <f>$E$3</f>
        <v>74.19</v>
      </c>
      <c r="G42" s="68">
        <f t="shared" ref="G42" si="6">E42*D42</f>
        <v>5.3861999999999997</v>
      </c>
    </row>
    <row r="43" spans="2:8" x14ac:dyDescent="0.25">
      <c r="B43" s="287"/>
      <c r="C43" s="229" t="s">
        <v>234</v>
      </c>
      <c r="D43" s="70">
        <v>0.06</v>
      </c>
      <c r="E43" s="68">
        <f>$D$4</f>
        <v>86.99</v>
      </c>
      <c r="F43" s="68">
        <f>$E$4</f>
        <v>71.89</v>
      </c>
      <c r="G43" s="68">
        <f>E43*D43</f>
        <v>5.2193999999999994</v>
      </c>
    </row>
    <row r="44" spans="2:8" x14ac:dyDescent="0.25">
      <c r="B44" s="287"/>
      <c r="C44" s="230" t="str">
        <f>$C$5</f>
        <v>Cap de projecte sènior</v>
      </c>
      <c r="D44" s="70">
        <v>0.25</v>
      </c>
      <c r="E44" s="231">
        <f>$D$5</f>
        <v>89.77</v>
      </c>
      <c r="F44" s="231">
        <f>$E$5</f>
        <v>74.19</v>
      </c>
      <c r="G44" s="68">
        <f t="shared" ref="G44:G46" si="7">E44*D44</f>
        <v>22.442499999999999</v>
      </c>
    </row>
    <row r="45" spans="2:8" x14ac:dyDescent="0.25">
      <c r="B45" s="287"/>
      <c r="C45" s="230" t="str">
        <f>$C$7</f>
        <v>Cap de projecte júnior</v>
      </c>
      <c r="D45" s="70">
        <v>7.1999999999999995E-2</v>
      </c>
      <c r="E45" s="231">
        <f>$D$7</f>
        <v>65.44</v>
      </c>
      <c r="F45" s="231">
        <f>$E$7</f>
        <v>54.08</v>
      </c>
      <c r="G45" s="68">
        <f t="shared" si="7"/>
        <v>4.7116799999999994</v>
      </c>
    </row>
    <row r="46" spans="2:8" x14ac:dyDescent="0.25">
      <c r="B46" s="287"/>
      <c r="C46" s="230" t="str">
        <f>$C$8</f>
        <v>Arquitecte/a / Responsable seguretat</v>
      </c>
      <c r="D46" s="70">
        <v>0</v>
      </c>
      <c r="E46" s="231">
        <f>$D$8</f>
        <v>94.88</v>
      </c>
      <c r="F46" s="231">
        <f>$E$8</f>
        <v>78.41</v>
      </c>
      <c r="G46" s="68">
        <f t="shared" si="7"/>
        <v>0</v>
      </c>
    </row>
    <row r="47" spans="2:8" x14ac:dyDescent="0.25">
      <c r="B47" s="287"/>
      <c r="C47" s="230" t="s">
        <v>237</v>
      </c>
      <c r="D47" s="70">
        <v>0.04</v>
      </c>
      <c r="E47" s="231">
        <f>$D$9</f>
        <v>102.78</v>
      </c>
      <c r="F47" s="231">
        <f>$E$9</f>
        <v>84.94</v>
      </c>
      <c r="G47" s="68">
        <f>E47*D47</f>
        <v>4.1112000000000002</v>
      </c>
    </row>
    <row r="48" spans="2:8" ht="30" x14ac:dyDescent="0.25">
      <c r="B48" s="287"/>
      <c r="C48" s="269" t="s">
        <v>238</v>
      </c>
      <c r="D48" s="267">
        <v>0.22500000000000001</v>
      </c>
      <c r="E48" s="68">
        <f>$D$10</f>
        <v>67.48</v>
      </c>
      <c r="F48" s="68">
        <f>$E$10</f>
        <v>55.77</v>
      </c>
      <c r="G48" s="68">
        <f t="shared" ref="G48" si="8">E48*D48</f>
        <v>15.183000000000002</v>
      </c>
    </row>
    <row r="49" spans="2:8" x14ac:dyDescent="0.25">
      <c r="B49" s="287"/>
      <c r="C49" s="230" t="s">
        <v>239</v>
      </c>
      <c r="D49" s="70">
        <v>7.4999999999999997E-2</v>
      </c>
      <c r="E49" s="68">
        <f>$D$11</f>
        <v>58.39</v>
      </c>
      <c r="F49" s="68">
        <f>$E$11</f>
        <v>48.26</v>
      </c>
      <c r="G49" s="68">
        <f>E49*D49</f>
        <v>4.3792499999999999</v>
      </c>
    </row>
    <row r="50" spans="2:8" x14ac:dyDescent="0.25">
      <c r="B50" s="287"/>
      <c r="C50" s="230" t="s">
        <v>240</v>
      </c>
      <c r="D50" s="70">
        <v>0</v>
      </c>
      <c r="E50" s="68">
        <f>$D$12</f>
        <v>67.48</v>
      </c>
      <c r="F50" s="68">
        <f>$E$12</f>
        <v>55.77</v>
      </c>
      <c r="G50" s="68">
        <f>E50*D50</f>
        <v>0</v>
      </c>
    </row>
    <row r="51" spans="2:8" x14ac:dyDescent="0.25">
      <c r="B51" s="287"/>
      <c r="C51" s="266" t="s">
        <v>241</v>
      </c>
      <c r="D51" s="70">
        <v>0.06</v>
      </c>
      <c r="E51" s="68">
        <f>$D$13</f>
        <v>94.88</v>
      </c>
      <c r="F51" s="68">
        <f>$E$13</f>
        <v>78.41</v>
      </c>
      <c r="G51" s="68">
        <f>E51*D51</f>
        <v>5.6927999999999992</v>
      </c>
    </row>
    <row r="52" spans="2:8" x14ac:dyDescent="0.25">
      <c r="B52" s="287"/>
      <c r="C52" s="230" t="str">
        <f>+$C$17</f>
        <v>Dissenyador/a gràfic/a</v>
      </c>
      <c r="D52" s="70">
        <v>0</v>
      </c>
      <c r="E52" s="68">
        <f>$D$17</f>
        <v>67.48</v>
      </c>
      <c r="F52" s="68">
        <f>$E$17</f>
        <v>55.77</v>
      </c>
      <c r="G52" s="68">
        <f t="shared" ref="G52:G58" si="9">E52*D52</f>
        <v>0</v>
      </c>
    </row>
    <row r="53" spans="2:8" x14ac:dyDescent="0.25">
      <c r="B53" s="287"/>
      <c r="C53" s="230" t="str">
        <f>+$C$18</f>
        <v>Tècnic/a markets</v>
      </c>
      <c r="D53" s="70">
        <v>0</v>
      </c>
      <c r="E53" s="68">
        <f>$D$18</f>
        <v>67.48</v>
      </c>
      <c r="F53" s="68">
        <f>$E$18</f>
        <v>55.77</v>
      </c>
      <c r="G53" s="68">
        <f t="shared" si="9"/>
        <v>0</v>
      </c>
    </row>
    <row r="54" spans="2:8" x14ac:dyDescent="0.25">
      <c r="B54" s="287"/>
      <c r="C54" s="230" t="str">
        <f>$C$14</f>
        <v>Tècnic/a Testing</v>
      </c>
      <c r="D54" s="70">
        <v>0.09</v>
      </c>
      <c r="E54" s="68">
        <f>$D$14</f>
        <v>58.39</v>
      </c>
      <c r="F54" s="68">
        <f>$E$14</f>
        <v>48.26</v>
      </c>
      <c r="G54" s="68">
        <f t="shared" si="9"/>
        <v>5.2550999999999997</v>
      </c>
    </row>
    <row r="55" spans="2:8" x14ac:dyDescent="0.25">
      <c r="B55" s="287"/>
      <c r="C55" s="230" t="str">
        <f>$C$15</f>
        <v>Tècnic/a Usabilitat</v>
      </c>
      <c r="D55" s="70">
        <v>0</v>
      </c>
      <c r="E55" s="68">
        <f>$D$15</f>
        <v>67.48</v>
      </c>
      <c r="F55" s="68">
        <f>$E$15</f>
        <v>55.77</v>
      </c>
      <c r="G55" s="68">
        <f t="shared" si="9"/>
        <v>0</v>
      </c>
    </row>
    <row r="56" spans="2:8" x14ac:dyDescent="0.25">
      <c r="B56" s="287"/>
      <c r="C56" s="230" t="str">
        <f>$C$16</f>
        <v>Tècnic/a Accessibilitat</v>
      </c>
      <c r="D56" s="70">
        <v>0</v>
      </c>
      <c r="E56" s="68">
        <f>$D$16</f>
        <v>67.48</v>
      </c>
      <c r="F56" s="68">
        <f>$E$16</f>
        <v>55.77</v>
      </c>
      <c r="G56" s="68">
        <f t="shared" si="9"/>
        <v>0</v>
      </c>
    </row>
    <row r="57" spans="2:8" x14ac:dyDescent="0.25">
      <c r="B57" s="287"/>
      <c r="C57" s="230" t="str">
        <f>$C$19</f>
        <v>Expert/a analista ASO i analítica per aplicacions mòbils</v>
      </c>
      <c r="D57" s="70">
        <v>1.4999999999999999E-2</v>
      </c>
      <c r="E57" s="68">
        <f>$D$19</f>
        <v>102.78</v>
      </c>
      <c r="F57" s="68">
        <f>$E$19</f>
        <v>84.94</v>
      </c>
      <c r="G57" s="68">
        <f t="shared" si="9"/>
        <v>1.5417000000000001</v>
      </c>
    </row>
    <row r="58" spans="2:8" x14ac:dyDescent="0.25">
      <c r="B58" s="287"/>
      <c r="C58" s="230" t="str">
        <f>$C$20</f>
        <v>Consultor/a Júnior / Suport HelpDesk de primer nivell</v>
      </c>
      <c r="D58" s="70">
        <v>5.2999999999999999E-2</v>
      </c>
      <c r="E58" s="68">
        <f>$D$20</f>
        <v>56.18</v>
      </c>
      <c r="F58" s="68">
        <f>$E$20</f>
        <v>46.43</v>
      </c>
      <c r="G58" s="68">
        <f t="shared" si="9"/>
        <v>2.9775399999999999</v>
      </c>
    </row>
    <row r="59" spans="2:8" x14ac:dyDescent="0.25">
      <c r="B59" s="288"/>
      <c r="C59" s="286" t="s">
        <v>117</v>
      </c>
      <c r="D59" s="286"/>
      <c r="E59" s="286"/>
      <c r="F59" s="69"/>
      <c r="G59" s="69">
        <f>ROUND(SUM(G42:G58),2)</f>
        <v>76.900000000000006</v>
      </c>
      <c r="H59" s="116">
        <f>SUM(D42:D58)</f>
        <v>0.99999999999999989</v>
      </c>
    </row>
    <row r="60" spans="2:8" x14ac:dyDescent="0.25">
      <c r="B60" s="289" t="s">
        <v>225</v>
      </c>
      <c r="C60" s="229" t="str">
        <f>$C$3</f>
        <v>Coordinador/a del contracte / Responsable de contracte</v>
      </c>
      <c r="D60" s="70">
        <v>0.06</v>
      </c>
      <c r="E60" s="68">
        <f>$D$3</f>
        <v>89.77</v>
      </c>
      <c r="F60" s="68">
        <f>$E$3</f>
        <v>74.19</v>
      </c>
      <c r="G60" s="68">
        <f t="shared" ref="G60" si="10">E60*D60</f>
        <v>5.3861999999999997</v>
      </c>
      <c r="H60" s="116"/>
    </row>
    <row r="61" spans="2:8" x14ac:dyDescent="0.25">
      <c r="B61" s="287"/>
      <c r="C61" s="229" t="s">
        <v>234</v>
      </c>
      <c r="D61" s="70">
        <v>0.06</v>
      </c>
      <c r="E61" s="68">
        <f>$D$4</f>
        <v>86.99</v>
      </c>
      <c r="F61" s="68">
        <f>$E$4</f>
        <v>71.89</v>
      </c>
      <c r="G61" s="68">
        <f>E61*D61</f>
        <v>5.2193999999999994</v>
      </c>
      <c r="H61" s="116"/>
    </row>
    <row r="62" spans="2:8" x14ac:dyDescent="0.25">
      <c r="B62" s="287"/>
      <c r="C62" s="230" t="str">
        <f>$C$5</f>
        <v>Cap de projecte sènior</v>
      </c>
      <c r="D62" s="70">
        <v>0.25</v>
      </c>
      <c r="E62" s="231">
        <f>$D$5</f>
        <v>89.77</v>
      </c>
      <c r="F62" s="231">
        <f>$E$5</f>
        <v>74.19</v>
      </c>
      <c r="G62" s="68">
        <f t="shared" ref="G62:G64" si="11">E62*D62</f>
        <v>22.442499999999999</v>
      </c>
      <c r="H62" s="116"/>
    </row>
    <row r="63" spans="2:8" x14ac:dyDescent="0.25">
      <c r="B63" s="287"/>
      <c r="C63" s="230" t="str">
        <f>$C$7</f>
        <v>Cap de projecte júnior</v>
      </c>
      <c r="D63" s="70">
        <v>7.1999999999999995E-2</v>
      </c>
      <c r="E63" s="231">
        <f>$D$7</f>
        <v>65.44</v>
      </c>
      <c r="F63" s="231">
        <f>$E$7</f>
        <v>54.08</v>
      </c>
      <c r="G63" s="68">
        <f t="shared" si="11"/>
        <v>4.7116799999999994</v>
      </c>
      <c r="H63" s="116"/>
    </row>
    <row r="64" spans="2:8" x14ac:dyDescent="0.25">
      <c r="B64" s="287"/>
      <c r="C64" s="230" t="str">
        <f>$C$8</f>
        <v>Arquitecte/a / Responsable seguretat</v>
      </c>
      <c r="D64" s="70">
        <v>0</v>
      </c>
      <c r="E64" s="231">
        <f>$D$8</f>
        <v>94.88</v>
      </c>
      <c r="F64" s="231">
        <f>$E$8</f>
        <v>78.41</v>
      </c>
      <c r="G64" s="68">
        <f t="shared" si="11"/>
        <v>0</v>
      </c>
      <c r="H64" s="116"/>
    </row>
    <row r="65" spans="2:8" x14ac:dyDescent="0.25">
      <c r="B65" s="287"/>
      <c r="C65" s="230" t="s">
        <v>237</v>
      </c>
      <c r="D65" s="70">
        <v>0.04</v>
      </c>
      <c r="E65" s="231">
        <f>$D$9</f>
        <v>102.78</v>
      </c>
      <c r="F65" s="231">
        <f>$E$9</f>
        <v>84.94</v>
      </c>
      <c r="G65" s="68">
        <f>E65*D65</f>
        <v>4.1112000000000002</v>
      </c>
      <c r="H65" s="116"/>
    </row>
    <row r="66" spans="2:8" ht="30" x14ac:dyDescent="0.25">
      <c r="B66" s="287"/>
      <c r="C66" s="270" t="s">
        <v>238</v>
      </c>
      <c r="D66" s="267">
        <v>0.22500000000000001</v>
      </c>
      <c r="E66" s="68">
        <f>$D$10</f>
        <v>67.48</v>
      </c>
      <c r="F66" s="68">
        <f>$E$10</f>
        <v>55.77</v>
      </c>
      <c r="G66" s="68">
        <f t="shared" ref="G66" si="12">E66*D66</f>
        <v>15.183000000000002</v>
      </c>
      <c r="H66" s="116"/>
    </row>
    <row r="67" spans="2:8" x14ac:dyDescent="0.25">
      <c r="B67" s="287"/>
      <c r="C67" s="230" t="s">
        <v>239</v>
      </c>
      <c r="D67" s="70">
        <v>7.4999999999999997E-2</v>
      </c>
      <c r="E67" s="68">
        <f>$D$11</f>
        <v>58.39</v>
      </c>
      <c r="F67" s="68">
        <f>$E$11</f>
        <v>48.26</v>
      </c>
      <c r="G67" s="68">
        <f>E67*D67</f>
        <v>4.3792499999999999</v>
      </c>
      <c r="H67" s="116"/>
    </row>
    <row r="68" spans="2:8" x14ac:dyDescent="0.25">
      <c r="B68" s="287"/>
      <c r="C68" s="230" t="s">
        <v>240</v>
      </c>
      <c r="D68" s="70">
        <v>0</v>
      </c>
      <c r="E68" s="68">
        <f>$D$12</f>
        <v>67.48</v>
      </c>
      <c r="F68" s="68">
        <f>$E$12</f>
        <v>55.77</v>
      </c>
      <c r="G68" s="68">
        <f>E68*D68</f>
        <v>0</v>
      </c>
      <c r="H68" s="116"/>
    </row>
    <row r="69" spans="2:8" x14ac:dyDescent="0.25">
      <c r="B69" s="287"/>
      <c r="C69" s="266" t="s">
        <v>241</v>
      </c>
      <c r="D69" s="70">
        <v>0.06</v>
      </c>
      <c r="E69" s="68">
        <f>$D$13</f>
        <v>94.88</v>
      </c>
      <c r="F69" s="68">
        <f>$E$13</f>
        <v>78.41</v>
      </c>
      <c r="G69" s="68">
        <f>E69*D69</f>
        <v>5.6927999999999992</v>
      </c>
      <c r="H69" s="116"/>
    </row>
    <row r="70" spans="2:8" x14ac:dyDescent="0.25">
      <c r="B70" s="287"/>
      <c r="C70" s="230" t="str">
        <f>+$C$17</f>
        <v>Dissenyador/a gràfic/a</v>
      </c>
      <c r="D70" s="70">
        <v>0</v>
      </c>
      <c r="E70" s="68">
        <f>$D$17</f>
        <v>67.48</v>
      </c>
      <c r="F70" s="68">
        <f>$E$17</f>
        <v>55.77</v>
      </c>
      <c r="G70" s="68">
        <f t="shared" ref="G70:G76" si="13">E70*D70</f>
        <v>0</v>
      </c>
      <c r="H70" s="116"/>
    </row>
    <row r="71" spans="2:8" x14ac:dyDescent="0.25">
      <c r="B71" s="287"/>
      <c r="C71" s="230" t="str">
        <f>+$C$18</f>
        <v>Tècnic/a markets</v>
      </c>
      <c r="D71" s="70">
        <v>0</v>
      </c>
      <c r="E71" s="68">
        <f>$D$18</f>
        <v>67.48</v>
      </c>
      <c r="F71" s="68">
        <f>$E$18</f>
        <v>55.77</v>
      </c>
      <c r="G71" s="68">
        <f t="shared" si="13"/>
        <v>0</v>
      </c>
      <c r="H71" s="116"/>
    </row>
    <row r="72" spans="2:8" x14ac:dyDescent="0.25">
      <c r="B72" s="287"/>
      <c r="C72" s="230" t="str">
        <f>$C$14</f>
        <v>Tècnic/a Testing</v>
      </c>
      <c r="D72" s="70">
        <v>0.09</v>
      </c>
      <c r="E72" s="68">
        <f>$D$14</f>
        <v>58.39</v>
      </c>
      <c r="F72" s="68">
        <f>$E$14</f>
        <v>48.26</v>
      </c>
      <c r="G72" s="68">
        <f t="shared" si="13"/>
        <v>5.2550999999999997</v>
      </c>
      <c r="H72" s="116"/>
    </row>
    <row r="73" spans="2:8" x14ac:dyDescent="0.25">
      <c r="B73" s="287"/>
      <c r="C73" s="230" t="str">
        <f>$C$15</f>
        <v>Tècnic/a Usabilitat</v>
      </c>
      <c r="D73" s="70">
        <v>0</v>
      </c>
      <c r="E73" s="68">
        <f>$D$15</f>
        <v>67.48</v>
      </c>
      <c r="F73" s="68">
        <f>$E$15</f>
        <v>55.77</v>
      </c>
      <c r="G73" s="68">
        <f t="shared" si="13"/>
        <v>0</v>
      </c>
      <c r="H73" s="116"/>
    </row>
    <row r="74" spans="2:8" x14ac:dyDescent="0.25">
      <c r="B74" s="287"/>
      <c r="C74" s="230" t="str">
        <f>$C$16</f>
        <v>Tècnic/a Accessibilitat</v>
      </c>
      <c r="D74" s="70">
        <v>0</v>
      </c>
      <c r="E74" s="68">
        <f>$D$16</f>
        <v>67.48</v>
      </c>
      <c r="F74" s="68">
        <f>$E$16</f>
        <v>55.77</v>
      </c>
      <c r="G74" s="68">
        <f t="shared" si="13"/>
        <v>0</v>
      </c>
      <c r="H74" s="116"/>
    </row>
    <row r="75" spans="2:8" x14ac:dyDescent="0.25">
      <c r="B75" s="287"/>
      <c r="C75" s="230" t="str">
        <f>$C$19</f>
        <v>Expert/a analista ASO i analítica per aplicacions mòbils</v>
      </c>
      <c r="D75" s="70">
        <v>1.4999999999999999E-2</v>
      </c>
      <c r="E75" s="68">
        <f>$D$19</f>
        <v>102.78</v>
      </c>
      <c r="F75" s="68">
        <f>$E$19</f>
        <v>84.94</v>
      </c>
      <c r="G75" s="68">
        <f t="shared" si="13"/>
        <v>1.5417000000000001</v>
      </c>
      <c r="H75" s="116"/>
    </row>
    <row r="76" spans="2:8" x14ac:dyDescent="0.25">
      <c r="B76" s="287"/>
      <c r="C76" s="230" t="str">
        <f>$C$20</f>
        <v>Consultor/a Júnior / Suport HelpDesk de primer nivell</v>
      </c>
      <c r="D76" s="70">
        <v>5.2999999999999999E-2</v>
      </c>
      <c r="E76" s="68">
        <f>$D$20</f>
        <v>56.18</v>
      </c>
      <c r="F76" s="68">
        <f>$E$20</f>
        <v>46.43</v>
      </c>
      <c r="G76" s="68">
        <f t="shared" si="13"/>
        <v>2.9775399999999999</v>
      </c>
      <c r="H76" s="116"/>
    </row>
    <row r="77" spans="2:8" x14ac:dyDescent="0.25">
      <c r="B77" s="288"/>
      <c r="C77" s="286" t="s">
        <v>117</v>
      </c>
      <c r="D77" s="286"/>
      <c r="E77" s="286"/>
      <c r="F77" s="69"/>
      <c r="G77" s="69">
        <f>ROUND(SUM(G60:G76),2)</f>
        <v>76.900000000000006</v>
      </c>
      <c r="H77" s="116">
        <f>SUM(D60:D76)</f>
        <v>0.99999999999999989</v>
      </c>
    </row>
    <row r="78" spans="2:8" ht="15" customHeight="1" x14ac:dyDescent="0.25">
      <c r="B78" s="289" t="s">
        <v>192</v>
      </c>
      <c r="C78" s="229" t="str">
        <f>$C$3</f>
        <v>Coordinador/a del contracte / Responsable de contracte</v>
      </c>
      <c r="D78" s="70">
        <v>0.06</v>
      </c>
      <c r="E78" s="68">
        <f>$D$3</f>
        <v>89.77</v>
      </c>
      <c r="F78" s="68">
        <f>$E$3</f>
        <v>74.19</v>
      </c>
      <c r="G78" s="273">
        <f t="shared" ref="G78:G95" si="14">E78*D78</f>
        <v>5.3861999999999997</v>
      </c>
    </row>
    <row r="79" spans="2:8" ht="15" customHeight="1" x14ac:dyDescent="0.25">
      <c r="B79" s="287"/>
      <c r="C79" s="229" t="s">
        <v>234</v>
      </c>
      <c r="D79" s="70">
        <v>0.06</v>
      </c>
      <c r="E79" s="68">
        <f>$D$4</f>
        <v>86.99</v>
      </c>
      <c r="F79" s="68">
        <f>$E$4</f>
        <v>71.89</v>
      </c>
      <c r="G79" s="273">
        <f>E79*D79</f>
        <v>5.2193999999999994</v>
      </c>
    </row>
    <row r="80" spans="2:8" x14ac:dyDescent="0.25">
      <c r="B80" s="287"/>
      <c r="C80" s="230" t="str">
        <f>$C$5</f>
        <v>Cap de projecte sènior</v>
      </c>
      <c r="D80" s="70">
        <v>0.24</v>
      </c>
      <c r="E80" s="231">
        <f>$D$5</f>
        <v>89.77</v>
      </c>
      <c r="F80" s="231">
        <f>$E$5</f>
        <v>74.19</v>
      </c>
      <c r="G80" s="273">
        <f t="shared" ref="G80:G82" si="15">E80*D80</f>
        <v>21.544799999999999</v>
      </c>
    </row>
    <row r="81" spans="2:8" x14ac:dyDescent="0.25">
      <c r="B81" s="287"/>
      <c r="C81" s="230" t="str">
        <f>+$C$6</f>
        <v>Consultor/a legal</v>
      </c>
      <c r="D81" s="70">
        <v>0.01</v>
      </c>
      <c r="E81" s="231">
        <f>$D$6</f>
        <v>89.77</v>
      </c>
      <c r="F81" s="231">
        <f>$E$6</f>
        <v>74.19</v>
      </c>
      <c r="G81" s="273">
        <f t="shared" ref="G81" si="16">E81*D81</f>
        <v>0.89769999999999994</v>
      </c>
    </row>
    <row r="82" spans="2:8" x14ac:dyDescent="0.25">
      <c r="B82" s="287"/>
      <c r="C82" s="230" t="str">
        <f>$C$7</f>
        <v>Cap de projecte júnior</v>
      </c>
      <c r="D82" s="70">
        <v>7.1999999999999995E-2</v>
      </c>
      <c r="E82" s="231">
        <f>$D$7</f>
        <v>65.44</v>
      </c>
      <c r="F82" s="231">
        <f>$E$7</f>
        <v>54.08</v>
      </c>
      <c r="G82" s="273">
        <f t="shared" si="15"/>
        <v>4.7116799999999994</v>
      </c>
    </row>
    <row r="83" spans="2:8" x14ac:dyDescent="0.25">
      <c r="B83" s="287"/>
      <c r="C83" s="230" t="str">
        <f>$C$8</f>
        <v>Arquitecte/a / Responsable seguretat</v>
      </c>
      <c r="D83" s="70">
        <v>0</v>
      </c>
      <c r="E83" s="231">
        <f>$D$8</f>
        <v>94.88</v>
      </c>
      <c r="F83" s="231">
        <f>$E$8</f>
        <v>78.41</v>
      </c>
      <c r="G83" s="273">
        <f t="shared" si="14"/>
        <v>0</v>
      </c>
    </row>
    <row r="84" spans="2:8" x14ac:dyDescent="0.25">
      <c r="B84" s="287"/>
      <c r="C84" s="268" t="s">
        <v>237</v>
      </c>
      <c r="D84" s="70">
        <v>0.04</v>
      </c>
      <c r="E84" s="231">
        <f>$D$9</f>
        <v>102.78</v>
      </c>
      <c r="F84" s="231">
        <f>$E$9</f>
        <v>84.94</v>
      </c>
      <c r="G84" s="273">
        <f>E84*D84</f>
        <v>4.1112000000000002</v>
      </c>
    </row>
    <row r="85" spans="2:8" ht="30" x14ac:dyDescent="0.25">
      <c r="B85" s="290"/>
      <c r="C85" s="269" t="s">
        <v>238</v>
      </c>
      <c r="D85" s="267">
        <v>0.22500000000000001</v>
      </c>
      <c r="E85" s="68">
        <f>$D$10</f>
        <v>67.48</v>
      </c>
      <c r="F85" s="68">
        <f>$E$10</f>
        <v>55.77</v>
      </c>
      <c r="G85" s="273">
        <f t="shared" si="14"/>
        <v>15.183000000000002</v>
      </c>
    </row>
    <row r="86" spans="2:8" x14ac:dyDescent="0.25">
      <c r="B86" s="287"/>
      <c r="C86" s="230" t="s">
        <v>239</v>
      </c>
      <c r="D86" s="70">
        <v>7.4999999999999997E-2</v>
      </c>
      <c r="E86" s="68">
        <f>$D$11</f>
        <v>58.39</v>
      </c>
      <c r="F86" s="68">
        <f>$E$11</f>
        <v>48.26</v>
      </c>
      <c r="G86" s="273">
        <f>E86*D86</f>
        <v>4.3792499999999999</v>
      </c>
    </row>
    <row r="87" spans="2:8" x14ac:dyDescent="0.25">
      <c r="B87" s="287"/>
      <c r="C87" s="230" t="s">
        <v>240</v>
      </c>
      <c r="D87" s="70">
        <v>0</v>
      </c>
      <c r="E87" s="68">
        <f>$D$12</f>
        <v>67.48</v>
      </c>
      <c r="F87" s="68">
        <f>$E$12</f>
        <v>55.77</v>
      </c>
      <c r="G87" s="273">
        <f>E87*D87</f>
        <v>0</v>
      </c>
    </row>
    <row r="88" spans="2:8" x14ac:dyDescent="0.25">
      <c r="B88" s="287"/>
      <c r="C88" s="230" t="s">
        <v>241</v>
      </c>
      <c r="D88" s="70">
        <v>0.06</v>
      </c>
      <c r="E88" s="68">
        <f>$D$13</f>
        <v>94.88</v>
      </c>
      <c r="F88" s="68">
        <f>$E$13</f>
        <v>78.41</v>
      </c>
      <c r="G88" s="273">
        <f>E88*D88</f>
        <v>5.6927999999999992</v>
      </c>
    </row>
    <row r="89" spans="2:8" x14ac:dyDescent="0.25">
      <c r="B89" s="287"/>
      <c r="C89" s="230" t="str">
        <f>+$C$17</f>
        <v>Dissenyador/a gràfic/a</v>
      </c>
      <c r="D89" s="70">
        <v>0</v>
      </c>
      <c r="E89" s="68">
        <f>$D$17</f>
        <v>67.48</v>
      </c>
      <c r="F89" s="68">
        <f>$E$17</f>
        <v>55.77</v>
      </c>
      <c r="G89" s="273">
        <f t="shared" si="14"/>
        <v>0</v>
      </c>
    </row>
    <row r="90" spans="2:8" x14ac:dyDescent="0.25">
      <c r="B90" s="287"/>
      <c r="C90" s="230" t="str">
        <f>+$C$18</f>
        <v>Tècnic/a markets</v>
      </c>
      <c r="D90" s="70">
        <v>0</v>
      </c>
      <c r="E90" s="68">
        <f>$D$18</f>
        <v>67.48</v>
      </c>
      <c r="F90" s="68">
        <f>$E$18</f>
        <v>55.77</v>
      </c>
      <c r="G90" s="273">
        <f t="shared" si="14"/>
        <v>0</v>
      </c>
    </row>
    <row r="91" spans="2:8" x14ac:dyDescent="0.25">
      <c r="B91" s="287"/>
      <c r="C91" s="230" t="str">
        <f>$C$14</f>
        <v>Tècnic/a Testing</v>
      </c>
      <c r="D91" s="70">
        <v>0.09</v>
      </c>
      <c r="E91" s="68">
        <f>$D$14</f>
        <v>58.39</v>
      </c>
      <c r="F91" s="68">
        <f>$E$14</f>
        <v>48.26</v>
      </c>
      <c r="G91" s="273">
        <f t="shared" si="14"/>
        <v>5.2550999999999997</v>
      </c>
    </row>
    <row r="92" spans="2:8" x14ac:dyDescent="0.25">
      <c r="B92" s="287"/>
      <c r="C92" s="230" t="str">
        <f>$C$15</f>
        <v>Tècnic/a Usabilitat</v>
      </c>
      <c r="D92" s="70">
        <v>0</v>
      </c>
      <c r="E92" s="68">
        <f>$D$15</f>
        <v>67.48</v>
      </c>
      <c r="F92" s="68">
        <f>$E$15</f>
        <v>55.77</v>
      </c>
      <c r="G92" s="273">
        <f t="shared" ref="G92:G94" si="17">E92*D92</f>
        <v>0</v>
      </c>
    </row>
    <row r="93" spans="2:8" x14ac:dyDescent="0.25">
      <c r="B93" s="287"/>
      <c r="C93" s="230" t="str">
        <f>$C$16</f>
        <v>Tècnic/a Accessibilitat</v>
      </c>
      <c r="D93" s="70">
        <v>0</v>
      </c>
      <c r="E93" s="68">
        <f>$D$16</f>
        <v>67.48</v>
      </c>
      <c r="F93" s="68">
        <f>$E$16</f>
        <v>55.77</v>
      </c>
      <c r="G93" s="273">
        <v>0</v>
      </c>
    </row>
    <row r="94" spans="2:8" x14ac:dyDescent="0.25">
      <c r="B94" s="287"/>
      <c r="C94" s="230" t="str">
        <f>$C$19</f>
        <v>Expert/a analista ASO i analítica per aplicacions mòbils</v>
      </c>
      <c r="D94" s="70">
        <v>1.4999999999999999E-2</v>
      </c>
      <c r="E94" s="68">
        <f>$D$19</f>
        <v>102.78</v>
      </c>
      <c r="F94" s="68">
        <f>$E$19</f>
        <v>84.94</v>
      </c>
      <c r="G94" s="273">
        <f t="shared" si="17"/>
        <v>1.5417000000000001</v>
      </c>
    </row>
    <row r="95" spans="2:8" x14ac:dyDescent="0.25">
      <c r="B95" s="287"/>
      <c r="C95" s="230" t="str">
        <f>$C$20</f>
        <v>Consultor/a Júnior / Suport HelpDesk de primer nivell</v>
      </c>
      <c r="D95" s="70">
        <v>5.2999999999999999E-2</v>
      </c>
      <c r="E95" s="68">
        <f>$D$20</f>
        <v>56.18</v>
      </c>
      <c r="F95" s="68">
        <f>$E$20</f>
        <v>46.43</v>
      </c>
      <c r="G95" s="273">
        <f t="shared" si="14"/>
        <v>2.9775399999999999</v>
      </c>
    </row>
    <row r="96" spans="2:8" x14ac:dyDescent="0.25">
      <c r="B96" s="288"/>
      <c r="C96" s="286" t="s">
        <v>117</v>
      </c>
      <c r="D96" s="286"/>
      <c r="E96" s="286"/>
      <c r="F96" s="69"/>
      <c r="G96" s="69">
        <f>ROUND(SUM(G78:G95),2)</f>
        <v>76.900000000000006</v>
      </c>
      <c r="H96" s="116">
        <f>SUM(D78:D95)</f>
        <v>0.99999999999999989</v>
      </c>
    </row>
  </sheetData>
  <sheetProtection algorithmName="SHA-512" hashValue="jPzb7SMVCWcf0YIGGUTlCVWkIQ1maVXl0x7srg62FZcVD5xB5zDlBHDaYayd1O75QfetJPviYA/6wTIVQ3hMXA==" saltValue="rZa2wAC8Rc+SSYZONUlCxQ==" spinCount="100000" sheet="1" objects="1" scenarios="1"/>
  <mergeCells count="8">
    <mergeCell ref="C41:E41"/>
    <mergeCell ref="C59:E59"/>
    <mergeCell ref="C96:E96"/>
    <mergeCell ref="B24:B41"/>
    <mergeCell ref="B42:B59"/>
    <mergeCell ref="B78:B96"/>
    <mergeCell ref="B60:B77"/>
    <mergeCell ref="C77:E77"/>
  </mergeCells>
  <conditionalFormatting sqref="E3:E20">
    <cfRule type="expression" dxfId="1" priority="2">
      <formula>E3&lt;=F3</formula>
    </cfRule>
    <cfRule type="expression" dxfId="0" priority="1">
      <formula>E3&gt;F3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0"/>
  <sheetViews>
    <sheetView showGridLines="0" zoomScale="90" zoomScaleNormal="90" workbookViewId="0">
      <selection activeCell="F51" sqref="F51"/>
    </sheetView>
  </sheetViews>
  <sheetFormatPr baseColWidth="10" defaultColWidth="10.85546875" defaultRowHeight="12.75" x14ac:dyDescent="0.2"/>
  <cols>
    <col min="1" max="1" width="29.140625" style="75" customWidth="1"/>
    <col min="2" max="2" width="16.42578125" style="75" customWidth="1"/>
    <col min="3" max="3" width="14" style="75" customWidth="1"/>
    <col min="4" max="4" width="13.28515625" style="75" customWidth="1"/>
    <col min="5" max="5" width="13.85546875" style="75" customWidth="1"/>
    <col min="6" max="6" width="13.42578125" style="75" customWidth="1"/>
    <col min="7" max="7" width="14.28515625" style="75" customWidth="1"/>
    <col min="8" max="8" width="12.5703125" style="75" customWidth="1"/>
    <col min="9" max="9" width="13.7109375" style="75" bestFit="1" customWidth="1"/>
    <col min="10" max="10" width="12.42578125" style="75" customWidth="1"/>
    <col min="11" max="11" width="14" style="75" bestFit="1" customWidth="1"/>
    <col min="12" max="12" width="13.140625" style="75" customWidth="1"/>
    <col min="13" max="13" width="13.42578125" style="75" customWidth="1"/>
    <col min="14" max="14" width="13.42578125" style="75" bestFit="1" customWidth="1"/>
    <col min="15" max="15" width="12.42578125" style="75" customWidth="1"/>
    <col min="16" max="16" width="18.140625" style="75" customWidth="1"/>
    <col min="17" max="16384" width="10.85546875" style="75"/>
  </cols>
  <sheetData>
    <row r="2" spans="1:16" x14ac:dyDescent="0.2">
      <c r="A2" s="74" t="s">
        <v>129</v>
      </c>
    </row>
    <row r="4" spans="1:16" x14ac:dyDescent="0.2">
      <c r="A4" s="76"/>
      <c r="B4" s="295">
        <v>2023</v>
      </c>
      <c r="C4" s="296"/>
      <c r="D4" s="297"/>
      <c r="E4" s="295">
        <v>2024</v>
      </c>
      <c r="F4" s="296"/>
      <c r="G4" s="297"/>
      <c r="H4" s="295">
        <v>2025</v>
      </c>
      <c r="I4" s="296"/>
      <c r="J4" s="297"/>
      <c r="K4" s="295">
        <v>2026</v>
      </c>
      <c r="L4" s="296"/>
      <c r="M4" s="297"/>
    </row>
    <row r="5" spans="1:16" x14ac:dyDescent="0.2">
      <c r="A5" s="77" t="s">
        <v>131</v>
      </c>
      <c r="B5" s="78" t="s">
        <v>123</v>
      </c>
      <c r="C5" s="79" t="s">
        <v>124</v>
      </c>
      <c r="D5" s="79" t="s">
        <v>122</v>
      </c>
      <c r="E5" s="79" t="s">
        <v>123</v>
      </c>
      <c r="F5" s="79" t="s">
        <v>124</v>
      </c>
      <c r="G5" s="79" t="s">
        <v>122</v>
      </c>
      <c r="H5" s="79" t="s">
        <v>123</v>
      </c>
      <c r="I5" s="79" t="s">
        <v>124</v>
      </c>
      <c r="J5" s="79" t="s">
        <v>122</v>
      </c>
      <c r="K5" s="79" t="s">
        <v>123</v>
      </c>
      <c r="L5" s="79" t="s">
        <v>124</v>
      </c>
      <c r="M5" s="79" t="s">
        <v>122</v>
      </c>
      <c r="N5" s="79" t="s">
        <v>139</v>
      </c>
      <c r="O5" s="79" t="s">
        <v>140</v>
      </c>
      <c r="P5" s="79" t="s">
        <v>141</v>
      </c>
    </row>
    <row r="6" spans="1:16" x14ac:dyDescent="0.2">
      <c r="A6" s="80" t="s">
        <v>7</v>
      </c>
      <c r="B6" s="121">
        <f>ROUND('Càlcul pressupost '!F6/1.21,2)</f>
        <v>9912.82</v>
      </c>
      <c r="C6" s="121">
        <f>ROUND(B6*0.21,2)</f>
        <v>2081.69</v>
      </c>
      <c r="D6" s="121">
        <f>+B6+C6</f>
        <v>11994.51</v>
      </c>
      <c r="E6" s="121">
        <f>ROUND('Càlcul pressupost '!G6/1.21,2)</f>
        <v>39651.269999999997</v>
      </c>
      <c r="F6" s="121">
        <f t="shared" ref="F6:F8" si="0">ROUND(E6*0.21,2)</f>
        <v>8326.77</v>
      </c>
      <c r="G6" s="121">
        <f t="shared" ref="G6:G8" si="1">+E6+F6</f>
        <v>47978.039999999994</v>
      </c>
      <c r="H6" s="121">
        <f>ROUND('Càlcul pressupost '!H6/1.21,2)</f>
        <v>39651.269999999997</v>
      </c>
      <c r="I6" s="121">
        <f t="shared" ref="I6:I8" si="2">ROUND(H6*0.21,2)</f>
        <v>8326.77</v>
      </c>
      <c r="J6" s="121">
        <f t="shared" ref="J6:J8" si="3">+H6+I6</f>
        <v>47978.039999999994</v>
      </c>
      <c r="K6" s="121">
        <f>ROUND('Càlcul pressupost '!I6/1.21,2)</f>
        <v>23129.91</v>
      </c>
      <c r="L6" s="121">
        <f t="shared" ref="L6" si="4">ROUND(K6*0.21,2)</f>
        <v>4857.28</v>
      </c>
      <c r="M6" s="121">
        <f t="shared" ref="M6:M8" si="5">+K6+L6</f>
        <v>27987.19</v>
      </c>
      <c r="N6" s="121">
        <f>+B6+E6+H6+K6</f>
        <v>112345.26999999999</v>
      </c>
      <c r="O6" s="121">
        <f>+C6+F6+I6+L6</f>
        <v>23592.510000000002</v>
      </c>
      <c r="P6" s="121">
        <f>+D6+G6+J6+M6</f>
        <v>135937.78</v>
      </c>
    </row>
    <row r="7" spans="1:16" x14ac:dyDescent="0.2">
      <c r="A7" s="80" t="s">
        <v>13</v>
      </c>
      <c r="B7" s="121">
        <f>ROUND('Càlcul pressupost '!F7/1.21,2)</f>
        <v>56563.64</v>
      </c>
      <c r="C7" s="121">
        <f t="shared" ref="C7:C9" si="6">ROUND(B7*0.21,2)</f>
        <v>11878.36</v>
      </c>
      <c r="D7" s="121">
        <f t="shared" ref="D7:D8" si="7">+B7+C7</f>
        <v>68442</v>
      </c>
      <c r="E7" s="121">
        <f>ROUND('Càlcul pressupost '!G7/1.21,2)</f>
        <v>176735.09</v>
      </c>
      <c r="F7" s="121">
        <f t="shared" si="0"/>
        <v>37114.370000000003</v>
      </c>
      <c r="G7" s="121">
        <f t="shared" si="1"/>
        <v>213849.46</v>
      </c>
      <c r="H7" s="121">
        <f>ROUND('Càlcul pressupost '!H7/1.21,2)</f>
        <v>189131.79</v>
      </c>
      <c r="I7" s="121">
        <f t="shared" si="2"/>
        <v>39717.68</v>
      </c>
      <c r="J7" s="121">
        <f t="shared" si="3"/>
        <v>228849.47</v>
      </c>
      <c r="K7" s="121">
        <f>ROUND('Càlcul pressupost '!I7/1.21,2)</f>
        <v>110326.88</v>
      </c>
      <c r="L7" s="121">
        <f>ROUND(K7*0.21,2)</f>
        <v>23168.639999999999</v>
      </c>
      <c r="M7" s="121">
        <f t="shared" si="5"/>
        <v>133495.52000000002</v>
      </c>
      <c r="N7" s="121">
        <f t="shared" ref="N7:N9" si="8">+B7+E7+H7+K7</f>
        <v>532757.4</v>
      </c>
      <c r="O7" s="121">
        <f t="shared" ref="O7:O9" si="9">+C7+F7+I7+L7</f>
        <v>111879.05</v>
      </c>
      <c r="P7" s="121">
        <f t="shared" ref="P7:P9" si="10">+D7+G7+J7+M7</f>
        <v>644636.44999999995</v>
      </c>
    </row>
    <row r="8" spans="1:16" x14ac:dyDescent="0.2">
      <c r="A8" s="80" t="s">
        <v>225</v>
      </c>
      <c r="B8" s="121">
        <f>ROUND('Càlcul pressupost '!F8/1.21,2)</f>
        <v>66115.7</v>
      </c>
      <c r="C8" s="121">
        <f t="shared" si="6"/>
        <v>13884.3</v>
      </c>
      <c r="D8" s="121">
        <f t="shared" si="7"/>
        <v>80000</v>
      </c>
      <c r="E8" s="121">
        <f>ROUND('Càlcul pressupost '!G8/1.21,2)</f>
        <v>123966.94</v>
      </c>
      <c r="F8" s="121">
        <f t="shared" si="0"/>
        <v>26033.06</v>
      </c>
      <c r="G8" s="121">
        <f t="shared" si="1"/>
        <v>150000</v>
      </c>
      <c r="H8" s="121">
        <f>ROUND('Càlcul pressupost '!H8/1.21,2)</f>
        <v>66115.7</v>
      </c>
      <c r="I8" s="121">
        <f t="shared" si="2"/>
        <v>13884.3</v>
      </c>
      <c r="J8" s="121">
        <f t="shared" si="3"/>
        <v>80000</v>
      </c>
      <c r="K8" s="121">
        <f>ROUND('Càlcul pressupost '!I8/1.21,2)</f>
        <v>38842.980000000003</v>
      </c>
      <c r="L8" s="121">
        <f>ROUND(K8*0.21,2)</f>
        <v>8157.03</v>
      </c>
      <c r="M8" s="121">
        <f t="shared" si="5"/>
        <v>47000.01</v>
      </c>
      <c r="N8" s="121">
        <f t="shared" si="8"/>
        <v>295041.32</v>
      </c>
      <c r="O8" s="121">
        <f t="shared" si="9"/>
        <v>61958.69</v>
      </c>
      <c r="P8" s="121">
        <f t="shared" si="10"/>
        <v>357000.01</v>
      </c>
    </row>
    <row r="9" spans="1:16" x14ac:dyDescent="0.2">
      <c r="A9" s="81" t="s">
        <v>192</v>
      </c>
      <c r="B9" s="121">
        <f>ROUND('Càlcul pressupost '!F9/1.21,2)</f>
        <v>101762.24000000001</v>
      </c>
      <c r="C9" s="121">
        <f t="shared" si="6"/>
        <v>21370.07</v>
      </c>
      <c r="D9" s="121">
        <f>+B9+C9</f>
        <v>123132.31</v>
      </c>
      <c r="E9" s="121">
        <f>ROUND('Càlcul pressupost '!G9/1.21,2)</f>
        <v>409114.21</v>
      </c>
      <c r="F9" s="121">
        <f>ROUND(E9*0.21,2)</f>
        <v>85913.98</v>
      </c>
      <c r="G9" s="121">
        <f>+E9+F9</f>
        <v>495028.19</v>
      </c>
      <c r="H9" s="121">
        <f>ROUND('Càlcul pressupost '!H9/1.21,2)</f>
        <v>409114.21</v>
      </c>
      <c r="I9" s="121">
        <f>ROUND(H9*0.21,2)</f>
        <v>85913.98</v>
      </c>
      <c r="J9" s="121">
        <f>+H9+I9</f>
        <v>495028.19</v>
      </c>
      <c r="K9" s="121">
        <f>ROUND('Càlcul pressupost '!I9/1.21,2)</f>
        <v>237445.21</v>
      </c>
      <c r="L9" s="121">
        <f>ROUND(K9*0.21,2)</f>
        <v>49863.49</v>
      </c>
      <c r="M9" s="121">
        <f>+K9+L9</f>
        <v>287308.7</v>
      </c>
      <c r="N9" s="121">
        <f t="shared" si="8"/>
        <v>1157435.8700000001</v>
      </c>
      <c r="O9" s="121">
        <f t="shared" si="9"/>
        <v>243061.51999999996</v>
      </c>
      <c r="P9" s="121">
        <f t="shared" si="10"/>
        <v>1400497.39</v>
      </c>
    </row>
    <row r="10" spans="1:16" x14ac:dyDescent="0.2">
      <c r="B10" s="117">
        <f t="shared" ref="B10:P10" si="11">SUM(B6:B9)</f>
        <v>234354.39999999997</v>
      </c>
      <c r="C10" s="117">
        <f t="shared" si="11"/>
        <v>49214.42</v>
      </c>
      <c r="D10" s="117">
        <f t="shared" si="11"/>
        <v>283568.82</v>
      </c>
      <c r="E10" s="117">
        <f t="shared" si="11"/>
        <v>749467.51</v>
      </c>
      <c r="F10" s="117">
        <f t="shared" si="11"/>
        <v>157388.18</v>
      </c>
      <c r="G10" s="117">
        <f t="shared" si="11"/>
        <v>906855.69</v>
      </c>
      <c r="H10" s="117">
        <f t="shared" si="11"/>
        <v>704012.97</v>
      </c>
      <c r="I10" s="117">
        <f t="shared" si="11"/>
        <v>147842.72999999998</v>
      </c>
      <c r="J10" s="117">
        <f t="shared" si="11"/>
        <v>851855.7</v>
      </c>
      <c r="K10" s="117">
        <f t="shared" si="11"/>
        <v>409744.98</v>
      </c>
      <c r="L10" s="117">
        <f t="shared" si="11"/>
        <v>86046.44</v>
      </c>
      <c r="M10" s="117">
        <f t="shared" si="11"/>
        <v>495791.42000000004</v>
      </c>
      <c r="N10" s="117">
        <f t="shared" si="11"/>
        <v>2097579.8600000003</v>
      </c>
      <c r="O10" s="117">
        <f t="shared" si="11"/>
        <v>440491.76999999996</v>
      </c>
      <c r="P10" s="243">
        <f t="shared" si="11"/>
        <v>2538071.63</v>
      </c>
    </row>
    <row r="11" spans="1:16" x14ac:dyDescent="0.2">
      <c r="P11" s="98"/>
    </row>
    <row r="12" spans="1:16" x14ac:dyDescent="0.2">
      <c r="A12" s="82" t="s">
        <v>128</v>
      </c>
    </row>
    <row r="13" spans="1:16" x14ac:dyDescent="0.2">
      <c r="A13" s="82"/>
      <c r="N13" s="75" t="s">
        <v>206</v>
      </c>
      <c r="P13" s="75" t="s">
        <v>206</v>
      </c>
    </row>
    <row r="14" spans="1:16" ht="18" customHeight="1" x14ac:dyDescent="0.2">
      <c r="A14" s="83" t="s">
        <v>154</v>
      </c>
      <c r="O14" s="75" t="s">
        <v>226</v>
      </c>
    </row>
    <row r="15" spans="1:16" ht="21" customHeight="1" x14ac:dyDescent="0.2">
      <c r="A15" s="83" t="s">
        <v>125</v>
      </c>
      <c r="B15" s="83" t="s">
        <v>126</v>
      </c>
      <c r="C15" s="83" t="s">
        <v>127</v>
      </c>
      <c r="D15" s="83" t="s">
        <v>122</v>
      </c>
    </row>
    <row r="16" spans="1:16" x14ac:dyDescent="0.2">
      <c r="A16" s="84">
        <v>2023</v>
      </c>
      <c r="B16" s="118">
        <f>+B10</f>
        <v>234354.39999999997</v>
      </c>
      <c r="C16" s="118">
        <f>+C10</f>
        <v>49214.42</v>
      </c>
      <c r="D16" s="118">
        <f t="shared" ref="D16" si="12">+B16+C16</f>
        <v>283568.81999999995</v>
      </c>
      <c r="E16" s="298" t="s">
        <v>211</v>
      </c>
      <c r="F16" s="299"/>
      <c r="G16" s="299"/>
      <c r="H16" s="299"/>
      <c r="I16" s="299"/>
      <c r="J16" s="299"/>
      <c r="K16" s="299"/>
      <c r="L16" s="299"/>
      <c r="M16" s="299"/>
      <c r="N16" s="299"/>
    </row>
    <row r="17" spans="1:14" x14ac:dyDescent="0.2">
      <c r="A17" s="84">
        <v>2024</v>
      </c>
      <c r="B17" s="118">
        <f>+E10</f>
        <v>749467.51</v>
      </c>
      <c r="C17" s="118">
        <f>+F10</f>
        <v>157388.18</v>
      </c>
      <c r="D17" s="118">
        <f>+G10</f>
        <v>906855.69</v>
      </c>
      <c r="E17" s="298"/>
      <c r="F17" s="299"/>
      <c r="G17" s="299"/>
      <c r="H17" s="299"/>
      <c r="I17" s="299"/>
      <c r="J17" s="299"/>
      <c r="K17" s="299"/>
      <c r="L17" s="299"/>
      <c r="M17" s="299"/>
      <c r="N17" s="299"/>
    </row>
    <row r="18" spans="1:14" x14ac:dyDescent="0.2">
      <c r="A18" s="84">
        <v>2025</v>
      </c>
      <c r="B18" s="118">
        <f>+H10</f>
        <v>704012.97</v>
      </c>
      <c r="C18" s="118">
        <f>+I10</f>
        <v>147842.72999999998</v>
      </c>
      <c r="D18" s="118">
        <f>+J10</f>
        <v>851855.7</v>
      </c>
      <c r="E18" s="298"/>
      <c r="F18" s="299"/>
      <c r="G18" s="299"/>
      <c r="H18" s="299"/>
      <c r="I18" s="299"/>
      <c r="J18" s="299"/>
      <c r="K18" s="299"/>
      <c r="L18" s="299"/>
      <c r="M18" s="299"/>
      <c r="N18" s="299"/>
    </row>
    <row r="19" spans="1:14" x14ac:dyDescent="0.2">
      <c r="A19" s="84">
        <v>2026</v>
      </c>
      <c r="B19" s="118">
        <f>+K10</f>
        <v>409744.98</v>
      </c>
      <c r="C19" s="118">
        <f>+L10</f>
        <v>86046.44</v>
      </c>
      <c r="D19" s="118">
        <f>+M10</f>
        <v>495791.42000000004</v>
      </c>
      <c r="E19" s="298"/>
      <c r="F19" s="299"/>
      <c r="G19" s="299"/>
      <c r="H19" s="299"/>
      <c r="I19" s="299"/>
      <c r="J19" s="299"/>
      <c r="K19" s="299"/>
      <c r="L19" s="299"/>
      <c r="M19" s="299"/>
      <c r="N19" s="299"/>
    </row>
    <row r="20" spans="1:14" x14ac:dyDescent="0.2">
      <c r="A20" s="259" t="s">
        <v>116</v>
      </c>
      <c r="B20" s="257">
        <f>SUM(B16:B19)</f>
        <v>2097579.86</v>
      </c>
      <c r="C20" s="257">
        <f>SUM(C16:C19)</f>
        <v>440491.76999999996</v>
      </c>
      <c r="D20" s="257">
        <f>SUM(D16:D19)</f>
        <v>2538071.63</v>
      </c>
      <c r="E20" s="298"/>
      <c r="F20" s="299"/>
      <c r="G20" s="299"/>
      <c r="H20" s="299"/>
      <c r="I20" s="299"/>
      <c r="J20" s="299"/>
      <c r="K20" s="299"/>
      <c r="L20" s="299"/>
      <c r="M20" s="299"/>
      <c r="N20" s="299"/>
    </row>
    <row r="21" spans="1:14" ht="21.75" customHeight="1" x14ac:dyDescent="0.2">
      <c r="D21" s="179">
        <f>+B20*1.21</f>
        <v>2538071.6305999998</v>
      </c>
      <c r="E21" s="298"/>
      <c r="F21" s="299"/>
      <c r="G21" s="299"/>
      <c r="H21" s="299"/>
      <c r="I21" s="299"/>
      <c r="J21" s="299"/>
      <c r="K21" s="299"/>
      <c r="L21" s="299"/>
      <c r="M21" s="299"/>
      <c r="N21" s="299"/>
    </row>
    <row r="22" spans="1:14" ht="21.75" customHeight="1" x14ac:dyDescent="0.2">
      <c r="D22" s="134"/>
      <c r="E22" s="120"/>
    </row>
    <row r="23" spans="1:14" ht="21.75" customHeight="1" x14ac:dyDescent="0.2">
      <c r="A23" s="82" t="s">
        <v>128</v>
      </c>
      <c r="D23" s="134"/>
      <c r="E23" s="120"/>
    </row>
    <row r="24" spans="1:14" ht="7.15" customHeight="1" x14ac:dyDescent="0.2">
      <c r="D24" s="134"/>
      <c r="E24" s="120"/>
    </row>
    <row r="25" spans="1:14" ht="21.75" customHeight="1" x14ac:dyDescent="0.2">
      <c r="A25" s="253" t="s">
        <v>125</v>
      </c>
      <c r="B25" s="253" t="s">
        <v>219</v>
      </c>
      <c r="C25" s="253" t="s">
        <v>220</v>
      </c>
      <c r="D25" s="253" t="s">
        <v>122</v>
      </c>
      <c r="E25" s="253" t="s">
        <v>126</v>
      </c>
      <c r="F25" s="253" t="s">
        <v>127</v>
      </c>
      <c r="H25" s="253" t="s">
        <v>125</v>
      </c>
      <c r="I25" s="253" t="s">
        <v>256</v>
      </c>
      <c r="J25" s="253" t="s">
        <v>257</v>
      </c>
    </row>
    <row r="26" spans="1:14" x14ac:dyDescent="0.2">
      <c r="A26" s="254">
        <v>2023</v>
      </c>
      <c r="B26" s="255" t="s">
        <v>227</v>
      </c>
      <c r="C26" s="255" t="s">
        <v>221</v>
      </c>
      <c r="D26" s="119">
        <f>D6+D7+D9</f>
        <v>203568.82</v>
      </c>
      <c r="E26" s="118">
        <f>B6+B7+B9</f>
        <v>168238.7</v>
      </c>
      <c r="F26" s="258">
        <f>C6+C7+C9</f>
        <v>35330.120000000003</v>
      </c>
      <c r="H26" s="254">
        <v>2023</v>
      </c>
      <c r="I26" s="118">
        <f>+D26</f>
        <v>203568.82</v>
      </c>
      <c r="J26" s="118"/>
    </row>
    <row r="27" spans="1:14" x14ac:dyDescent="0.2">
      <c r="A27" s="254">
        <v>2023</v>
      </c>
      <c r="B27" s="255" t="s">
        <v>228</v>
      </c>
      <c r="C27" s="255" t="s">
        <v>222</v>
      </c>
      <c r="D27" s="119">
        <f>D8</f>
        <v>80000</v>
      </c>
      <c r="E27" s="118">
        <f>B8</f>
        <v>66115.7</v>
      </c>
      <c r="F27" s="258">
        <f>C8</f>
        <v>13884.3</v>
      </c>
      <c r="H27" s="254">
        <v>2023</v>
      </c>
      <c r="I27" s="118"/>
      <c r="J27" s="118">
        <f>+D27</f>
        <v>80000</v>
      </c>
    </row>
    <row r="28" spans="1:14" x14ac:dyDescent="0.2">
      <c r="A28" s="254">
        <v>2024</v>
      </c>
      <c r="B28" s="255" t="s">
        <v>223</v>
      </c>
      <c r="C28" s="255" t="s">
        <v>221</v>
      </c>
      <c r="D28" s="119">
        <f>G6+G7+G9</f>
        <v>756855.69</v>
      </c>
      <c r="E28" s="118">
        <f>E6+E7+E9</f>
        <v>625500.57000000007</v>
      </c>
      <c r="F28" s="258">
        <f>F6+F7+F9</f>
        <v>131355.12</v>
      </c>
      <c r="H28" s="254">
        <v>2024</v>
      </c>
      <c r="I28" s="118">
        <f>+D28</f>
        <v>756855.69</v>
      </c>
      <c r="J28" s="118"/>
    </row>
    <row r="29" spans="1:14" x14ac:dyDescent="0.2">
      <c r="A29" s="254">
        <v>2024</v>
      </c>
      <c r="B29" s="255" t="s">
        <v>223</v>
      </c>
      <c r="C29" s="255" t="s">
        <v>222</v>
      </c>
      <c r="D29" s="119">
        <f>G8</f>
        <v>150000</v>
      </c>
      <c r="E29" s="118">
        <f>E8</f>
        <v>123966.94</v>
      </c>
      <c r="F29" s="258">
        <f>F8</f>
        <v>26033.06</v>
      </c>
      <c r="H29" s="254">
        <v>2024</v>
      </c>
      <c r="I29" s="118"/>
      <c r="J29" s="118">
        <f>+D29</f>
        <v>150000</v>
      </c>
    </row>
    <row r="30" spans="1:14" x14ac:dyDescent="0.2">
      <c r="A30" s="254">
        <v>2025</v>
      </c>
      <c r="B30" s="255" t="s">
        <v>223</v>
      </c>
      <c r="C30" s="255" t="s">
        <v>221</v>
      </c>
      <c r="D30" s="119">
        <f>J6+J7+J9</f>
        <v>771855.7</v>
      </c>
      <c r="E30" s="118">
        <f>H6+H7+H9</f>
        <v>637897.27</v>
      </c>
      <c r="F30" s="258">
        <f>I6+I7+I9</f>
        <v>133958.43</v>
      </c>
      <c r="H30" s="254">
        <v>2025</v>
      </c>
      <c r="I30" s="118">
        <f>+D30</f>
        <v>771855.7</v>
      </c>
      <c r="J30" s="118"/>
    </row>
    <row r="31" spans="1:14" x14ac:dyDescent="0.2">
      <c r="A31" s="254">
        <v>2025</v>
      </c>
      <c r="B31" s="255" t="s">
        <v>223</v>
      </c>
      <c r="C31" s="255" t="s">
        <v>222</v>
      </c>
      <c r="D31" s="119">
        <f>J8</f>
        <v>80000</v>
      </c>
      <c r="E31" s="118">
        <f>H8</f>
        <v>66115.7</v>
      </c>
      <c r="F31" s="258">
        <f>I8</f>
        <v>13884.3</v>
      </c>
      <c r="H31" s="254">
        <v>2025</v>
      </c>
      <c r="I31" s="118"/>
      <c r="J31" s="118">
        <f>+D31</f>
        <v>80000</v>
      </c>
    </row>
    <row r="32" spans="1:14" x14ac:dyDescent="0.2">
      <c r="A32" s="254">
        <v>2026</v>
      </c>
      <c r="B32" s="255" t="s">
        <v>229</v>
      </c>
      <c r="C32" s="255" t="s">
        <v>221</v>
      </c>
      <c r="D32" s="119">
        <f>M6+M7+M9</f>
        <v>448791.41000000003</v>
      </c>
      <c r="E32" s="118">
        <f>K6+K7+K9</f>
        <v>370902</v>
      </c>
      <c r="F32" s="258">
        <f>L6+L7+L9</f>
        <v>77889.41</v>
      </c>
      <c r="H32" s="254">
        <v>2026</v>
      </c>
      <c r="I32" s="118">
        <f>+D32</f>
        <v>448791.41000000003</v>
      </c>
      <c r="J32" s="118"/>
    </row>
    <row r="33" spans="1:11" x14ac:dyDescent="0.2">
      <c r="A33" s="254">
        <v>2026</v>
      </c>
      <c r="B33" s="255" t="s">
        <v>229</v>
      </c>
      <c r="C33" s="255" t="s">
        <v>222</v>
      </c>
      <c r="D33" s="119">
        <f>M8</f>
        <v>47000.01</v>
      </c>
      <c r="E33" s="118">
        <f>K8</f>
        <v>38842.980000000003</v>
      </c>
      <c r="F33" s="258">
        <f>L8</f>
        <v>8157.03</v>
      </c>
      <c r="H33" s="254">
        <v>2026</v>
      </c>
      <c r="I33" s="118"/>
      <c r="J33" s="118">
        <f>+D33</f>
        <v>47000.01</v>
      </c>
    </row>
    <row r="34" spans="1:11" x14ac:dyDescent="0.2">
      <c r="A34" s="256" t="s">
        <v>116</v>
      </c>
      <c r="B34" s="256" t="s">
        <v>224</v>
      </c>
      <c r="C34" s="256"/>
      <c r="D34" s="257">
        <f>SUM(D26:D33)</f>
        <v>2538071.63</v>
      </c>
      <c r="E34" s="257">
        <f>SUM(E26:E33)</f>
        <v>2097579.8600000003</v>
      </c>
      <c r="F34" s="260">
        <f>SUM(F26:F33)</f>
        <v>440491.77</v>
      </c>
      <c r="H34" s="256" t="s">
        <v>116</v>
      </c>
      <c r="I34" s="257">
        <f t="shared" ref="I34:J34" si="13">SUM(I26:I33)</f>
        <v>2181071.62</v>
      </c>
      <c r="J34" s="257">
        <f t="shared" si="13"/>
        <v>357000.01</v>
      </c>
      <c r="K34" s="98">
        <f>+I34+J34</f>
        <v>2538071.63</v>
      </c>
    </row>
    <row r="35" spans="1:11" ht="21.75" customHeight="1" x14ac:dyDescent="0.2">
      <c r="D35" s="134"/>
      <c r="E35" s="120"/>
    </row>
    <row r="36" spans="1:11" x14ac:dyDescent="0.2">
      <c r="A36" s="82" t="s">
        <v>130</v>
      </c>
      <c r="E36" s="120"/>
    </row>
    <row r="37" spans="1:11" ht="38.25" x14ac:dyDescent="0.2">
      <c r="A37" s="85" t="s">
        <v>148</v>
      </c>
      <c r="B37" s="85" t="s">
        <v>149</v>
      </c>
      <c r="C37" s="85" t="s">
        <v>142</v>
      </c>
      <c r="D37" s="85" t="s">
        <v>120</v>
      </c>
      <c r="E37" s="85" t="s">
        <v>143</v>
      </c>
      <c r="F37" s="85" t="s">
        <v>121</v>
      </c>
    </row>
    <row r="38" spans="1:11" ht="38.25" x14ac:dyDescent="0.2">
      <c r="A38" s="135" t="s">
        <v>176</v>
      </c>
      <c r="B38" s="86">
        <f>$D$20</f>
        <v>2538071.63</v>
      </c>
      <c r="C38" s="250">
        <v>0.2</v>
      </c>
      <c r="D38" s="87">
        <f>+ROUND(B38*C38,2)</f>
        <v>507614.33</v>
      </c>
      <c r="E38" s="250">
        <v>0.2</v>
      </c>
      <c r="F38" s="87">
        <f>+ROUND(B38*E38,2)</f>
        <v>507614.33</v>
      </c>
    </row>
    <row r="39" spans="1:11" x14ac:dyDescent="0.2">
      <c r="A39" s="88" t="s">
        <v>119</v>
      </c>
      <c r="B39" s="89">
        <f>SUM(B38:B38)</f>
        <v>2538071.63</v>
      </c>
      <c r="C39" s="90">
        <f>SUM(C38:C38)</f>
        <v>0.2</v>
      </c>
      <c r="D39" s="91">
        <f>SUM(D38:D38)</f>
        <v>507614.33</v>
      </c>
      <c r="E39" s="90">
        <f>SUM(E38:E38)</f>
        <v>0.2</v>
      </c>
      <c r="F39" s="91">
        <f>SUM(F38:F38)</f>
        <v>507614.33</v>
      </c>
    </row>
    <row r="40" spans="1:11" x14ac:dyDescent="0.2">
      <c r="D40" s="126">
        <f>+ROUND(D39/1.21,2)</f>
        <v>419515.98</v>
      </c>
      <c r="F40" s="126">
        <f>+ROUND(F39/1.21,2)</f>
        <v>419515.98</v>
      </c>
    </row>
    <row r="41" spans="1:11" x14ac:dyDescent="0.2">
      <c r="D41" s="127" t="s">
        <v>145</v>
      </c>
      <c r="F41" s="127" t="s">
        <v>145</v>
      </c>
    </row>
    <row r="42" spans="1:11" x14ac:dyDescent="0.2">
      <c r="A42" s="82" t="s">
        <v>132</v>
      </c>
    </row>
    <row r="44" spans="1:11" ht="63.75" x14ac:dyDescent="0.2">
      <c r="A44" s="92"/>
      <c r="B44" s="128" t="s">
        <v>150</v>
      </c>
      <c r="C44" s="128" t="s">
        <v>118</v>
      </c>
      <c r="D44" s="128" t="s">
        <v>151</v>
      </c>
      <c r="E44" s="128" t="s">
        <v>152</v>
      </c>
      <c r="F44" s="128" t="s">
        <v>153</v>
      </c>
    </row>
    <row r="45" spans="1:11" x14ac:dyDescent="0.2">
      <c r="A45" s="92">
        <v>2023</v>
      </c>
      <c r="B45" s="122">
        <f>+B16</f>
        <v>234354.39999999997</v>
      </c>
      <c r="C45" s="87"/>
      <c r="D45" s="93">
        <f t="shared" ref="D45:D49" si="14">ROUND(G45/$G$51*$D$40,2)</f>
        <v>27348.87</v>
      </c>
      <c r="E45" s="93">
        <f t="shared" ref="E45:E49" si="15">ROUND(-G45/$G$51*$F$40,2)</f>
        <v>-27348.87</v>
      </c>
      <c r="F45" s="93">
        <f t="shared" ref="F45:F48" si="16">SUM(B45:D45)</f>
        <v>261703.26999999996</v>
      </c>
      <c r="G45" s="132">
        <f>+B45+C45</f>
        <v>234354.39999999997</v>
      </c>
    </row>
    <row r="46" spans="1:11" x14ac:dyDescent="0.2">
      <c r="A46" s="92">
        <v>2024</v>
      </c>
      <c r="B46" s="122">
        <f>+B17</f>
        <v>749467.51</v>
      </c>
      <c r="C46" s="87"/>
      <c r="D46" s="87">
        <f t="shared" si="14"/>
        <v>87461.94</v>
      </c>
      <c r="E46" s="93">
        <f t="shared" si="15"/>
        <v>-87461.94</v>
      </c>
      <c r="F46" s="93">
        <f t="shared" si="16"/>
        <v>836929.45</v>
      </c>
      <c r="G46" s="132">
        <f>+B46+C46</f>
        <v>749467.51</v>
      </c>
    </row>
    <row r="47" spans="1:11" x14ac:dyDescent="0.2">
      <c r="A47" s="92">
        <v>2025</v>
      </c>
      <c r="B47" s="122">
        <f>+B18</f>
        <v>704012.97</v>
      </c>
      <c r="C47" s="87"/>
      <c r="D47" s="87">
        <f t="shared" si="14"/>
        <v>82157.45</v>
      </c>
      <c r="E47" s="93">
        <f t="shared" si="15"/>
        <v>-82157.45</v>
      </c>
      <c r="F47" s="93">
        <f t="shared" si="16"/>
        <v>786170.41999999993</v>
      </c>
      <c r="G47" s="132">
        <f>+B47+C47</f>
        <v>704012.97</v>
      </c>
    </row>
    <row r="48" spans="1:11" x14ac:dyDescent="0.2">
      <c r="A48" s="92">
        <v>2026</v>
      </c>
      <c r="B48" s="122">
        <f>+B19</f>
        <v>409744.98</v>
      </c>
      <c r="C48" s="122">
        <v>294267.99</v>
      </c>
      <c r="D48" s="87">
        <f t="shared" si="14"/>
        <v>82157.45</v>
      </c>
      <c r="E48" s="93">
        <f t="shared" si="15"/>
        <v>-82157.45</v>
      </c>
      <c r="F48" s="93">
        <f t="shared" si="16"/>
        <v>786170.41999999993</v>
      </c>
      <c r="G48" s="132">
        <f>+B48+C48</f>
        <v>704012.97</v>
      </c>
    </row>
    <row r="49" spans="1:8" x14ac:dyDescent="0.2">
      <c r="A49" s="92">
        <v>2027</v>
      </c>
      <c r="B49" s="122"/>
      <c r="C49" s="122">
        <v>761864.21</v>
      </c>
      <c r="D49" s="87">
        <f t="shared" si="14"/>
        <v>88908.62</v>
      </c>
      <c r="E49" s="93">
        <f t="shared" si="15"/>
        <v>-88908.62</v>
      </c>
      <c r="F49" s="93">
        <f t="shared" ref="F49" si="17">SUM(B49:D49)</f>
        <v>850772.83</v>
      </c>
      <c r="G49" s="132">
        <f t="shared" ref="G49" si="18">+B49+C49</f>
        <v>761864.21</v>
      </c>
    </row>
    <row r="50" spans="1:8" x14ac:dyDescent="0.2">
      <c r="A50" s="92">
        <v>2028</v>
      </c>
      <c r="B50" s="122"/>
      <c r="C50" s="122">
        <v>441149.94</v>
      </c>
      <c r="D50" s="87">
        <f>ROUND(G50/$G$51*$D$40,2)-0.01</f>
        <v>51481.65</v>
      </c>
      <c r="E50" s="93">
        <f>ROUND(-G50/$G$51*$F$40,2)+0.01</f>
        <v>-51481.65</v>
      </c>
      <c r="F50" s="261">
        <f>SUM(B50:D50)</f>
        <v>492631.59</v>
      </c>
      <c r="G50" s="132">
        <f t="shared" ref="G50" si="19">+B50+C50</f>
        <v>441149.94</v>
      </c>
    </row>
    <row r="51" spans="1:8" x14ac:dyDescent="0.2">
      <c r="A51" s="94" t="s">
        <v>116</v>
      </c>
      <c r="B51" s="186">
        <f t="shared" ref="B51:G51" si="20">SUM(B45:B50)</f>
        <v>2097579.86</v>
      </c>
      <c r="C51" s="186">
        <f t="shared" si="20"/>
        <v>1497282.14</v>
      </c>
      <c r="D51" s="186">
        <f t="shared" si="20"/>
        <v>419515.98000000004</v>
      </c>
      <c r="E51" s="252">
        <f t="shared" si="20"/>
        <v>-419515.98000000004</v>
      </c>
      <c r="F51" s="186">
        <f t="shared" si="20"/>
        <v>4014377.9799999995</v>
      </c>
      <c r="G51" s="186">
        <f t="shared" si="20"/>
        <v>3594861.9999999995</v>
      </c>
      <c r="H51" s="129"/>
    </row>
    <row r="52" spans="1:8" x14ac:dyDescent="0.2">
      <c r="A52" s="130"/>
      <c r="B52" s="131"/>
      <c r="C52" s="131"/>
      <c r="D52" s="131"/>
      <c r="E52" s="131"/>
      <c r="F52" s="131"/>
      <c r="G52" s="129"/>
    </row>
    <row r="55" spans="1:8" ht="15" x14ac:dyDescent="0.25">
      <c r="A55" s="95"/>
      <c r="B55" s="95"/>
      <c r="C55" s="95"/>
    </row>
    <row r="56" spans="1:8" ht="15.75" x14ac:dyDescent="0.25">
      <c r="A56" s="187" t="s">
        <v>132</v>
      </c>
      <c r="B56" s="291" t="s">
        <v>177</v>
      </c>
      <c r="C56" s="292"/>
      <c r="D56" s="292"/>
      <c r="E56" s="292"/>
    </row>
    <row r="57" spans="1:8" ht="15" x14ac:dyDescent="0.2">
      <c r="A57" s="202">
        <f>+F51</f>
        <v>4014377.9799999995</v>
      </c>
      <c r="B57" s="293" t="s">
        <v>168</v>
      </c>
      <c r="C57" s="294"/>
      <c r="D57" s="293" t="s">
        <v>169</v>
      </c>
      <c r="E57" s="294"/>
    </row>
    <row r="58" spans="1:8" ht="15" x14ac:dyDescent="0.25">
      <c r="A58" s="187" t="s">
        <v>178</v>
      </c>
      <c r="B58" s="187" t="s">
        <v>179</v>
      </c>
      <c r="C58" s="187" t="s">
        <v>180</v>
      </c>
      <c r="D58" s="187" t="s">
        <v>181</v>
      </c>
      <c r="E58" s="187" t="s">
        <v>180</v>
      </c>
    </row>
    <row r="59" spans="1:8" x14ac:dyDescent="0.2">
      <c r="A59" s="203">
        <v>5</v>
      </c>
      <c r="B59" s="87">
        <f>+C59/A59</f>
        <v>1204313.3939999999</v>
      </c>
      <c r="C59" s="87">
        <f>1.5*A57</f>
        <v>6021566.9699999988</v>
      </c>
      <c r="D59" s="87">
        <f>ROUND(A57*2/3/A59,2)</f>
        <v>535250.4</v>
      </c>
      <c r="E59" s="87">
        <f>+C59</f>
        <v>6021566.9699999988</v>
      </c>
      <c r="F59" s="96"/>
    </row>
    <row r="60" spans="1:8" x14ac:dyDescent="0.2">
      <c r="B60" s="188" t="s">
        <v>182</v>
      </c>
      <c r="C60" s="188" t="s">
        <v>183</v>
      </c>
      <c r="D60" s="189" t="s">
        <v>184</v>
      </c>
      <c r="E60" s="188" t="s">
        <v>183</v>
      </c>
    </row>
    <row r="61" spans="1:8" ht="15" x14ac:dyDescent="0.25">
      <c r="D61" s="95"/>
    </row>
    <row r="62" spans="1:8" ht="15" x14ac:dyDescent="0.25">
      <c r="D62" s="95" t="s">
        <v>134</v>
      </c>
    </row>
    <row r="63" spans="1:8" ht="15" x14ac:dyDescent="0.25">
      <c r="D63" s="97"/>
    </row>
    <row r="64" spans="1:8" ht="15" x14ac:dyDescent="0.25">
      <c r="D64" s="97"/>
    </row>
    <row r="65" spans="2:4" ht="15" x14ac:dyDescent="0.25">
      <c r="D65" s="95"/>
    </row>
    <row r="66" spans="2:4" ht="15" x14ac:dyDescent="0.25">
      <c r="D66" s="95"/>
    </row>
    <row r="67" spans="2:4" ht="15" x14ac:dyDescent="0.25">
      <c r="D67" s="95"/>
    </row>
    <row r="68" spans="2:4" ht="15" x14ac:dyDescent="0.25">
      <c r="B68" s="98"/>
      <c r="D68" s="95"/>
    </row>
    <row r="69" spans="2:4" ht="15" x14ac:dyDescent="0.25">
      <c r="D69" s="95"/>
    </row>
    <row r="70" spans="2:4" ht="15" x14ac:dyDescent="0.25">
      <c r="D70" s="95"/>
    </row>
  </sheetData>
  <sheetProtection algorithmName="SHA-512" hashValue="fNy82smXnTQ6yPGRmnKeBXAyuD8aOWrhdzYyHp45Y4JY6+LMgsfvE+j8glyuHO/PIbgfee1U3NQkW9Q8f+r+MQ==" saltValue="1vBueCr9RKHmuMiR7t75Uw==" spinCount="100000" sheet="1" objects="1" scenarios="1"/>
  <mergeCells count="8">
    <mergeCell ref="B56:E56"/>
    <mergeCell ref="B57:C57"/>
    <mergeCell ref="D57:E57"/>
    <mergeCell ref="B4:D4"/>
    <mergeCell ref="H4:J4"/>
    <mergeCell ref="E4:G4"/>
    <mergeCell ref="E16:N21"/>
    <mergeCell ref="K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D17" sqref="D17"/>
    </sheetView>
  </sheetViews>
  <sheetFormatPr baseColWidth="10" defaultColWidth="14.42578125" defaultRowHeight="15" x14ac:dyDescent="0.25"/>
  <cols>
    <col min="1" max="2" width="11.42578125" style="136" customWidth="1"/>
    <col min="3" max="3" width="46.28515625" style="136" bestFit="1" customWidth="1"/>
    <col min="4" max="4" width="28.85546875" style="136" customWidth="1"/>
    <col min="5" max="5" width="20.7109375" style="136" customWidth="1"/>
    <col min="6" max="7" width="15.85546875" style="136" customWidth="1"/>
    <col min="8" max="8" width="14.28515625" style="136" bestFit="1" customWidth="1"/>
    <col min="9" max="9" width="17" style="136" customWidth="1"/>
    <col min="10" max="10" width="28.140625" style="136" customWidth="1"/>
    <col min="11" max="11" width="19.7109375" style="136" bestFit="1" customWidth="1"/>
    <col min="12" max="12" width="17.7109375" style="136" customWidth="1"/>
    <col min="13" max="26" width="11.42578125" style="136" customWidth="1"/>
    <col min="27" max="16384" width="14.42578125" style="136"/>
  </cols>
  <sheetData>
    <row r="1" spans="1:11" x14ac:dyDescent="0.25">
      <c r="G1" s="137"/>
    </row>
    <row r="2" spans="1:11" x14ac:dyDescent="0.25">
      <c r="A2" s="138" t="s">
        <v>155</v>
      </c>
      <c r="B2" s="139"/>
      <c r="C2" s="139"/>
      <c r="D2" s="139"/>
      <c r="E2" s="139"/>
      <c r="F2" s="139"/>
      <c r="G2" s="140"/>
      <c r="H2" s="139"/>
      <c r="I2" s="139"/>
    </row>
    <row r="3" spans="1:11" ht="15.75" customHeight="1" x14ac:dyDescent="0.25">
      <c r="G3" s="137"/>
    </row>
    <row r="4" spans="1:11" s="133" customFormat="1" ht="44.25" customHeight="1" x14ac:dyDescent="0.25">
      <c r="A4" s="171"/>
      <c r="B4" s="172"/>
      <c r="C4" s="170" t="s">
        <v>156</v>
      </c>
      <c r="D4" s="173" t="s">
        <v>157</v>
      </c>
      <c r="E4" s="172" t="s">
        <v>158</v>
      </c>
      <c r="F4" s="173" t="s">
        <v>258</v>
      </c>
      <c r="G4" s="174" t="s">
        <v>159</v>
      </c>
      <c r="H4" s="172" t="s">
        <v>160</v>
      </c>
      <c r="I4" s="173" t="s">
        <v>161</v>
      </c>
      <c r="J4" s="173" t="s">
        <v>162</v>
      </c>
      <c r="K4" s="174" t="s">
        <v>174</v>
      </c>
    </row>
    <row r="5" spans="1:11" ht="15.75" customHeight="1" x14ac:dyDescent="0.25">
      <c r="A5" s="142"/>
      <c r="B5" s="141"/>
      <c r="C5" s="167">
        <f>'Taules IJ'!B20</f>
        <v>2097579.86</v>
      </c>
      <c r="D5" s="143">
        <f>ROUND(C5*0.2, 2)</f>
        <v>419515.97</v>
      </c>
      <c r="E5" s="144">
        <f>ROUND(C5-D5, 2)</f>
        <v>1678063.89</v>
      </c>
      <c r="F5" s="143">
        <f>ROUND(C5*0.064, 2)</f>
        <v>134245.10999999999</v>
      </c>
      <c r="G5" s="145">
        <f>ROUND(D5+F5, 2)</f>
        <v>553761.07999999996</v>
      </c>
      <c r="H5" s="144">
        <f>ROUND(E5-F5, 2)</f>
        <v>1543818.78</v>
      </c>
      <c r="I5" s="143">
        <f>ROUND(H5*(0.34/1.34), 2)</f>
        <v>391715.21</v>
      </c>
      <c r="J5" s="143">
        <f>ROUND(H5-I5, 2)</f>
        <v>1152103.57</v>
      </c>
      <c r="K5" s="145">
        <f>+H5</f>
        <v>1543818.78</v>
      </c>
    </row>
    <row r="6" spans="1:11" ht="15.75" customHeight="1" x14ac:dyDescent="0.25">
      <c r="A6" s="146"/>
      <c r="G6" s="137"/>
    </row>
    <row r="7" spans="1:11" ht="15.75" customHeight="1" x14ac:dyDescent="0.25">
      <c r="C7" s="190" t="s">
        <v>163</v>
      </c>
      <c r="D7" s="190"/>
      <c r="G7" s="137"/>
    </row>
    <row r="8" spans="1:11" ht="15.75" customHeight="1" x14ac:dyDescent="0.25">
      <c r="C8" s="192" t="s">
        <v>164</v>
      </c>
      <c r="D8" s="194">
        <f>J5</f>
        <v>1152103.57</v>
      </c>
      <c r="G8" s="137"/>
    </row>
    <row r="9" spans="1:11" ht="15.75" customHeight="1" x14ac:dyDescent="0.25">
      <c r="C9" s="192" t="s">
        <v>259</v>
      </c>
      <c r="D9" s="194">
        <f>I5</f>
        <v>391715.21</v>
      </c>
      <c r="G9" s="137"/>
    </row>
    <row r="10" spans="1:11" ht="15.75" customHeight="1" x14ac:dyDescent="0.25">
      <c r="C10" s="192" t="s">
        <v>165</v>
      </c>
      <c r="D10" s="195">
        <f>+K5</f>
        <v>1543818.78</v>
      </c>
      <c r="G10" s="137"/>
    </row>
    <row r="11" spans="1:11" ht="15.75" customHeight="1" x14ac:dyDescent="0.25">
      <c r="C11" s="147"/>
      <c r="D11" s="196"/>
      <c r="G11" s="137"/>
    </row>
    <row r="12" spans="1:11" ht="15.75" customHeight="1" x14ac:dyDescent="0.25">
      <c r="C12" s="190" t="s">
        <v>166</v>
      </c>
      <c r="D12" s="197"/>
      <c r="G12" s="137"/>
    </row>
    <row r="13" spans="1:11" ht="15.75" customHeight="1" x14ac:dyDescent="0.25">
      <c r="C13" s="193" t="s">
        <v>260</v>
      </c>
      <c r="D13" s="194">
        <f>F5</f>
        <v>134245.10999999999</v>
      </c>
      <c r="G13" s="137"/>
    </row>
    <row r="14" spans="1:11" ht="15.75" customHeight="1" x14ac:dyDescent="0.25">
      <c r="C14" s="193" t="s">
        <v>261</v>
      </c>
      <c r="D14" s="194">
        <f>D5</f>
        <v>419515.97</v>
      </c>
      <c r="G14" s="137"/>
    </row>
    <row r="15" spans="1:11" ht="15.75" customHeight="1" x14ac:dyDescent="0.25">
      <c r="C15" s="193" t="s">
        <v>167</v>
      </c>
      <c r="D15" s="198">
        <f>G5</f>
        <v>553761.07999999996</v>
      </c>
      <c r="G15" s="137"/>
    </row>
    <row r="16" spans="1:11" ht="15.75" customHeight="1" x14ac:dyDescent="0.25">
      <c r="C16" s="148"/>
      <c r="D16" s="148"/>
      <c r="G16" s="137"/>
    </row>
    <row r="17" spans="3:12" ht="15.75" customHeight="1" x14ac:dyDescent="0.25">
      <c r="C17" s="190" t="s">
        <v>170</v>
      </c>
      <c r="D17" s="191">
        <f>D10+D15</f>
        <v>2097579.86</v>
      </c>
      <c r="G17" s="137"/>
      <c r="K17" s="149"/>
      <c r="L17" s="149"/>
    </row>
    <row r="18" spans="3:12" x14ac:dyDescent="0.25">
      <c r="C18" s="274" t="s">
        <v>262</v>
      </c>
      <c r="G18" s="137"/>
    </row>
    <row r="19" spans="3:12" x14ac:dyDescent="0.25">
      <c r="C19" s="274" t="s">
        <v>263</v>
      </c>
      <c r="G19" s="137"/>
    </row>
    <row r="20" spans="3:12" x14ac:dyDescent="0.25">
      <c r="G20" s="137"/>
    </row>
    <row r="21" spans="3:12" x14ac:dyDescent="0.25">
      <c r="G21" s="137"/>
    </row>
    <row r="22" spans="3:12" x14ac:dyDescent="0.25">
      <c r="G22" s="137"/>
    </row>
    <row r="23" spans="3:12" x14ac:dyDescent="0.25">
      <c r="G23" s="137"/>
    </row>
    <row r="24" spans="3:12" x14ac:dyDescent="0.25">
      <c r="G24" s="137"/>
    </row>
    <row r="25" spans="3:12" x14ac:dyDescent="0.25">
      <c r="G25" s="137"/>
    </row>
    <row r="26" spans="3:12" x14ac:dyDescent="0.25">
      <c r="G26" s="137"/>
    </row>
    <row r="27" spans="3:12" x14ac:dyDescent="0.25">
      <c r="G27" s="137"/>
    </row>
    <row r="28" spans="3:12" x14ac:dyDescent="0.25">
      <c r="G28" s="137"/>
    </row>
    <row r="29" spans="3:12" x14ac:dyDescent="0.25">
      <c r="G29" s="137"/>
    </row>
    <row r="30" spans="3:12" x14ac:dyDescent="0.25">
      <c r="G30" s="137"/>
    </row>
    <row r="31" spans="3:12" x14ac:dyDescent="0.25">
      <c r="G31" s="137"/>
    </row>
    <row r="32" spans="3:12" x14ac:dyDescent="0.25">
      <c r="G32" s="137"/>
    </row>
    <row r="33" spans="7:7" x14ac:dyDescent="0.25">
      <c r="G33" s="137"/>
    </row>
    <row r="34" spans="7:7" x14ac:dyDescent="0.25">
      <c r="G34" s="137"/>
    </row>
    <row r="35" spans="7:7" x14ac:dyDescent="0.25">
      <c r="G35" s="137"/>
    </row>
    <row r="36" spans="7:7" x14ac:dyDescent="0.25">
      <c r="G36" s="137"/>
    </row>
    <row r="37" spans="7:7" x14ac:dyDescent="0.25">
      <c r="G37" s="137"/>
    </row>
    <row r="38" spans="7:7" x14ac:dyDescent="0.25">
      <c r="G38" s="137"/>
    </row>
    <row r="39" spans="7:7" x14ac:dyDescent="0.25">
      <c r="G39" s="137"/>
    </row>
    <row r="40" spans="7:7" x14ac:dyDescent="0.25">
      <c r="G40" s="137"/>
    </row>
    <row r="41" spans="7:7" x14ac:dyDescent="0.25">
      <c r="G41" s="137"/>
    </row>
    <row r="42" spans="7:7" x14ac:dyDescent="0.25">
      <c r="G42" s="137"/>
    </row>
    <row r="43" spans="7:7" x14ac:dyDescent="0.25">
      <c r="G43" s="137"/>
    </row>
    <row r="44" spans="7:7" x14ac:dyDescent="0.25">
      <c r="G44" s="137"/>
    </row>
    <row r="45" spans="7:7" x14ac:dyDescent="0.25">
      <c r="G45" s="137"/>
    </row>
    <row r="46" spans="7:7" x14ac:dyDescent="0.25">
      <c r="G46" s="137"/>
    </row>
    <row r="47" spans="7:7" x14ac:dyDescent="0.25">
      <c r="G47" s="137"/>
    </row>
    <row r="48" spans="7:7" x14ac:dyDescent="0.25">
      <c r="G48" s="137"/>
    </row>
    <row r="49" spans="7:7" x14ac:dyDescent="0.25">
      <c r="G49" s="137"/>
    </row>
    <row r="50" spans="7:7" x14ac:dyDescent="0.25">
      <c r="G50" s="137"/>
    </row>
    <row r="51" spans="7:7" x14ac:dyDescent="0.25">
      <c r="G51" s="137"/>
    </row>
    <row r="52" spans="7:7" x14ac:dyDescent="0.25">
      <c r="G52" s="137"/>
    </row>
    <row r="53" spans="7:7" x14ac:dyDescent="0.25">
      <c r="G53" s="137"/>
    </row>
    <row r="54" spans="7:7" x14ac:dyDescent="0.25">
      <c r="G54" s="137"/>
    </row>
    <row r="55" spans="7:7" x14ac:dyDescent="0.25">
      <c r="G55" s="137"/>
    </row>
    <row r="56" spans="7:7" x14ac:dyDescent="0.25">
      <c r="G56" s="137"/>
    </row>
    <row r="57" spans="7:7" x14ac:dyDescent="0.25">
      <c r="G57" s="137"/>
    </row>
    <row r="58" spans="7:7" x14ac:dyDescent="0.25">
      <c r="G58" s="137"/>
    </row>
    <row r="59" spans="7:7" x14ac:dyDescent="0.25">
      <c r="G59" s="137"/>
    </row>
    <row r="60" spans="7:7" x14ac:dyDescent="0.25">
      <c r="G60" s="137"/>
    </row>
    <row r="61" spans="7:7" x14ac:dyDescent="0.25">
      <c r="G61" s="137"/>
    </row>
    <row r="62" spans="7:7" x14ac:dyDescent="0.25">
      <c r="G62" s="137"/>
    </row>
    <row r="63" spans="7:7" x14ac:dyDescent="0.25">
      <c r="G63" s="137"/>
    </row>
    <row r="64" spans="7:7" x14ac:dyDescent="0.25">
      <c r="G64" s="137"/>
    </row>
    <row r="65" spans="7:7" x14ac:dyDescent="0.25">
      <c r="G65" s="137"/>
    </row>
    <row r="66" spans="7:7" x14ac:dyDescent="0.25">
      <c r="G66" s="137"/>
    </row>
    <row r="67" spans="7:7" x14ac:dyDescent="0.25">
      <c r="G67" s="137"/>
    </row>
    <row r="68" spans="7:7" x14ac:dyDescent="0.25">
      <c r="G68" s="137"/>
    </row>
    <row r="69" spans="7:7" x14ac:dyDescent="0.25">
      <c r="G69" s="137"/>
    </row>
    <row r="70" spans="7:7" x14ac:dyDescent="0.25">
      <c r="G70" s="137"/>
    </row>
    <row r="71" spans="7:7" x14ac:dyDescent="0.25">
      <c r="G71" s="137"/>
    </row>
    <row r="72" spans="7:7" x14ac:dyDescent="0.25">
      <c r="G72" s="137"/>
    </row>
    <row r="73" spans="7:7" x14ac:dyDescent="0.25">
      <c r="G73" s="137"/>
    </row>
    <row r="74" spans="7:7" x14ac:dyDescent="0.25">
      <c r="G74" s="137"/>
    </row>
    <row r="75" spans="7:7" x14ac:dyDescent="0.25">
      <c r="G75" s="137"/>
    </row>
    <row r="76" spans="7:7" x14ac:dyDescent="0.25">
      <c r="G76" s="137"/>
    </row>
    <row r="77" spans="7:7" x14ac:dyDescent="0.25">
      <c r="G77" s="137"/>
    </row>
    <row r="78" spans="7:7" x14ac:dyDescent="0.25">
      <c r="G78" s="137"/>
    </row>
    <row r="79" spans="7:7" x14ac:dyDescent="0.25">
      <c r="G79" s="137"/>
    </row>
    <row r="80" spans="7:7" x14ac:dyDescent="0.25">
      <c r="G80" s="137"/>
    </row>
    <row r="81" spans="7:7" x14ac:dyDescent="0.25">
      <c r="G81" s="137"/>
    </row>
    <row r="82" spans="7:7" x14ac:dyDescent="0.25">
      <c r="G82" s="137"/>
    </row>
    <row r="83" spans="7:7" x14ac:dyDescent="0.25">
      <c r="G83" s="137"/>
    </row>
    <row r="84" spans="7:7" x14ac:dyDescent="0.25">
      <c r="G84" s="137"/>
    </row>
    <row r="85" spans="7:7" x14ac:dyDescent="0.25">
      <c r="G85" s="137"/>
    </row>
    <row r="86" spans="7:7" x14ac:dyDescent="0.25">
      <c r="G86" s="137"/>
    </row>
    <row r="87" spans="7:7" x14ac:dyDescent="0.25">
      <c r="G87" s="137"/>
    </row>
    <row r="88" spans="7:7" x14ac:dyDescent="0.25">
      <c r="G88" s="137"/>
    </row>
    <row r="89" spans="7:7" x14ac:dyDescent="0.25">
      <c r="G89" s="137"/>
    </row>
    <row r="90" spans="7:7" x14ac:dyDescent="0.25">
      <c r="G90" s="137"/>
    </row>
    <row r="91" spans="7:7" x14ac:dyDescent="0.25">
      <c r="G91" s="137"/>
    </row>
    <row r="92" spans="7:7" x14ac:dyDescent="0.25">
      <c r="G92" s="137"/>
    </row>
    <row r="93" spans="7:7" x14ac:dyDescent="0.25">
      <c r="G93" s="137"/>
    </row>
    <row r="94" spans="7:7" x14ac:dyDescent="0.25">
      <c r="G94" s="137"/>
    </row>
    <row r="95" spans="7:7" x14ac:dyDescent="0.25">
      <c r="G95" s="137"/>
    </row>
    <row r="96" spans="7:7" x14ac:dyDescent="0.25">
      <c r="G96" s="137"/>
    </row>
    <row r="97" spans="7:7" x14ac:dyDescent="0.25">
      <c r="G97" s="137"/>
    </row>
    <row r="98" spans="7:7" x14ac:dyDescent="0.25">
      <c r="G98" s="137"/>
    </row>
    <row r="99" spans="7:7" x14ac:dyDescent="0.25">
      <c r="G99" s="137"/>
    </row>
    <row r="100" spans="7:7" x14ac:dyDescent="0.25">
      <c r="G100" s="137"/>
    </row>
    <row r="101" spans="7:7" x14ac:dyDescent="0.25">
      <c r="G101" s="137"/>
    </row>
    <row r="102" spans="7:7" x14ac:dyDescent="0.25">
      <c r="G102" s="137"/>
    </row>
    <row r="103" spans="7:7" x14ac:dyDescent="0.25">
      <c r="G103" s="137"/>
    </row>
    <row r="104" spans="7:7" x14ac:dyDescent="0.25">
      <c r="G104" s="137"/>
    </row>
    <row r="105" spans="7:7" x14ac:dyDescent="0.25">
      <c r="G105" s="137"/>
    </row>
    <row r="106" spans="7:7" x14ac:dyDescent="0.25">
      <c r="G106" s="137"/>
    </row>
    <row r="107" spans="7:7" x14ac:dyDescent="0.25">
      <c r="G107" s="137"/>
    </row>
    <row r="108" spans="7:7" x14ac:dyDescent="0.25">
      <c r="G108" s="137"/>
    </row>
    <row r="109" spans="7:7" x14ac:dyDescent="0.25">
      <c r="G109" s="137"/>
    </row>
    <row r="110" spans="7:7" x14ac:dyDescent="0.25">
      <c r="G110" s="137"/>
    </row>
    <row r="111" spans="7:7" x14ac:dyDescent="0.25">
      <c r="G111" s="137"/>
    </row>
    <row r="112" spans="7:7" x14ac:dyDescent="0.25">
      <c r="G112" s="137"/>
    </row>
    <row r="113" spans="7:7" x14ac:dyDescent="0.25">
      <c r="G113" s="137"/>
    </row>
    <row r="114" spans="7:7" x14ac:dyDescent="0.25">
      <c r="G114" s="137"/>
    </row>
    <row r="115" spans="7:7" x14ac:dyDescent="0.25">
      <c r="G115" s="137"/>
    </row>
    <row r="116" spans="7:7" x14ac:dyDescent="0.25">
      <c r="G116" s="137"/>
    </row>
    <row r="117" spans="7:7" x14ac:dyDescent="0.25">
      <c r="G117" s="137"/>
    </row>
    <row r="118" spans="7:7" x14ac:dyDescent="0.25">
      <c r="G118" s="137"/>
    </row>
    <row r="119" spans="7:7" x14ac:dyDescent="0.25">
      <c r="G119" s="137"/>
    </row>
    <row r="120" spans="7:7" x14ac:dyDescent="0.25">
      <c r="G120" s="137"/>
    </row>
    <row r="121" spans="7:7" x14ac:dyDescent="0.25">
      <c r="G121" s="137"/>
    </row>
    <row r="122" spans="7:7" x14ac:dyDescent="0.25">
      <c r="G122" s="137"/>
    </row>
    <row r="123" spans="7:7" x14ac:dyDescent="0.25">
      <c r="G123" s="137"/>
    </row>
    <row r="124" spans="7:7" x14ac:dyDescent="0.25">
      <c r="G124" s="137"/>
    </row>
    <row r="125" spans="7:7" x14ac:dyDescent="0.25">
      <c r="G125" s="137"/>
    </row>
    <row r="126" spans="7:7" x14ac:dyDescent="0.25">
      <c r="G126" s="137"/>
    </row>
    <row r="127" spans="7:7" x14ac:dyDescent="0.25">
      <c r="G127" s="137"/>
    </row>
    <row r="128" spans="7:7" x14ac:dyDescent="0.25">
      <c r="G128" s="137"/>
    </row>
    <row r="129" spans="7:7" x14ac:dyDescent="0.25">
      <c r="G129" s="137"/>
    </row>
    <row r="130" spans="7:7" x14ac:dyDescent="0.25">
      <c r="G130" s="137"/>
    </row>
    <row r="131" spans="7:7" x14ac:dyDescent="0.25">
      <c r="G131" s="137"/>
    </row>
    <row r="132" spans="7:7" x14ac:dyDescent="0.25">
      <c r="G132" s="137"/>
    </row>
    <row r="133" spans="7:7" x14ac:dyDescent="0.25">
      <c r="G133" s="137"/>
    </row>
    <row r="134" spans="7:7" x14ac:dyDescent="0.25">
      <c r="G134" s="137"/>
    </row>
    <row r="135" spans="7:7" x14ac:dyDescent="0.25">
      <c r="G135" s="137"/>
    </row>
    <row r="136" spans="7:7" x14ac:dyDescent="0.25">
      <c r="G136" s="137"/>
    </row>
    <row r="137" spans="7:7" x14ac:dyDescent="0.25">
      <c r="G137" s="137"/>
    </row>
    <row r="138" spans="7:7" x14ac:dyDescent="0.25">
      <c r="G138" s="137"/>
    </row>
    <row r="139" spans="7:7" x14ac:dyDescent="0.25">
      <c r="G139" s="137"/>
    </row>
    <row r="140" spans="7:7" x14ac:dyDescent="0.25">
      <c r="G140" s="137"/>
    </row>
    <row r="141" spans="7:7" x14ac:dyDescent="0.25">
      <c r="G141" s="137"/>
    </row>
    <row r="142" spans="7:7" x14ac:dyDescent="0.25">
      <c r="G142" s="137"/>
    </row>
    <row r="143" spans="7:7" x14ac:dyDescent="0.25">
      <c r="G143" s="137"/>
    </row>
    <row r="144" spans="7:7" x14ac:dyDescent="0.25">
      <c r="G144" s="137"/>
    </row>
    <row r="145" spans="7:7" x14ac:dyDescent="0.25">
      <c r="G145" s="137"/>
    </row>
    <row r="146" spans="7:7" x14ac:dyDescent="0.25">
      <c r="G146" s="137"/>
    </row>
    <row r="147" spans="7:7" x14ac:dyDescent="0.25">
      <c r="G147" s="137"/>
    </row>
    <row r="148" spans="7:7" x14ac:dyDescent="0.25">
      <c r="G148" s="137"/>
    </row>
    <row r="149" spans="7:7" x14ac:dyDescent="0.25">
      <c r="G149" s="137"/>
    </row>
    <row r="150" spans="7:7" x14ac:dyDescent="0.25">
      <c r="G150" s="137"/>
    </row>
    <row r="151" spans="7:7" x14ac:dyDescent="0.25">
      <c r="G151" s="137"/>
    </row>
    <row r="152" spans="7:7" x14ac:dyDescent="0.25">
      <c r="G152" s="137"/>
    </row>
    <row r="153" spans="7:7" x14ac:dyDescent="0.25">
      <c r="G153" s="137"/>
    </row>
    <row r="154" spans="7:7" x14ac:dyDescent="0.25">
      <c r="G154" s="137"/>
    </row>
    <row r="155" spans="7:7" x14ac:dyDescent="0.25">
      <c r="G155" s="137"/>
    </row>
    <row r="156" spans="7:7" x14ac:dyDescent="0.25">
      <c r="G156" s="137"/>
    </row>
    <row r="157" spans="7:7" x14ac:dyDescent="0.25">
      <c r="G157" s="137"/>
    </row>
    <row r="158" spans="7:7" x14ac:dyDescent="0.25">
      <c r="G158" s="137"/>
    </row>
    <row r="159" spans="7:7" x14ac:dyDescent="0.25">
      <c r="G159" s="137"/>
    </row>
    <row r="160" spans="7:7" x14ac:dyDescent="0.25">
      <c r="G160" s="137"/>
    </row>
    <row r="161" spans="7:7" x14ac:dyDescent="0.25">
      <c r="G161" s="137"/>
    </row>
    <row r="162" spans="7:7" x14ac:dyDescent="0.25">
      <c r="G162" s="137"/>
    </row>
    <row r="163" spans="7:7" x14ac:dyDescent="0.25">
      <c r="G163" s="137"/>
    </row>
    <row r="164" spans="7:7" x14ac:dyDescent="0.25">
      <c r="G164" s="137"/>
    </row>
    <row r="165" spans="7:7" x14ac:dyDescent="0.25">
      <c r="G165" s="137"/>
    </row>
    <row r="166" spans="7:7" x14ac:dyDescent="0.25">
      <c r="G166" s="137"/>
    </row>
    <row r="167" spans="7:7" x14ac:dyDescent="0.25">
      <c r="G167" s="137"/>
    </row>
    <row r="168" spans="7:7" x14ac:dyDescent="0.25">
      <c r="G168" s="137"/>
    </row>
    <row r="169" spans="7:7" x14ac:dyDescent="0.25">
      <c r="G169" s="137"/>
    </row>
    <row r="170" spans="7:7" x14ac:dyDescent="0.25">
      <c r="G170" s="137"/>
    </row>
    <row r="171" spans="7:7" x14ac:dyDescent="0.25">
      <c r="G171" s="137"/>
    </row>
    <row r="172" spans="7:7" x14ac:dyDescent="0.25">
      <c r="G172" s="137"/>
    </row>
    <row r="173" spans="7:7" x14ac:dyDescent="0.25">
      <c r="G173" s="137"/>
    </row>
    <row r="174" spans="7:7" x14ac:dyDescent="0.25">
      <c r="G174" s="137"/>
    </row>
    <row r="175" spans="7:7" x14ac:dyDescent="0.25">
      <c r="G175" s="137"/>
    </row>
    <row r="176" spans="7:7" x14ac:dyDescent="0.25">
      <c r="G176" s="137"/>
    </row>
    <row r="177" spans="7:7" x14ac:dyDescent="0.25">
      <c r="G177" s="137"/>
    </row>
    <row r="178" spans="7:7" x14ac:dyDescent="0.25">
      <c r="G178" s="137"/>
    </row>
    <row r="179" spans="7:7" x14ac:dyDescent="0.25">
      <c r="G179" s="137"/>
    </row>
    <row r="180" spans="7:7" x14ac:dyDescent="0.25">
      <c r="G180" s="137"/>
    </row>
    <row r="181" spans="7:7" x14ac:dyDescent="0.25">
      <c r="G181" s="137"/>
    </row>
    <row r="182" spans="7:7" x14ac:dyDescent="0.25">
      <c r="G182" s="137"/>
    </row>
    <row r="183" spans="7:7" x14ac:dyDescent="0.25">
      <c r="G183" s="137"/>
    </row>
    <row r="184" spans="7:7" x14ac:dyDescent="0.25">
      <c r="G184" s="137"/>
    </row>
    <row r="185" spans="7:7" x14ac:dyDescent="0.25">
      <c r="G185" s="137"/>
    </row>
    <row r="186" spans="7:7" x14ac:dyDescent="0.25">
      <c r="G186" s="137"/>
    </row>
    <row r="187" spans="7:7" x14ac:dyDescent="0.25">
      <c r="G187" s="137"/>
    </row>
    <row r="188" spans="7:7" x14ac:dyDescent="0.25">
      <c r="G188" s="137"/>
    </row>
    <row r="189" spans="7:7" x14ac:dyDescent="0.25">
      <c r="G189" s="137"/>
    </row>
    <row r="190" spans="7:7" x14ac:dyDescent="0.25">
      <c r="G190" s="137"/>
    </row>
    <row r="191" spans="7:7" x14ac:dyDescent="0.25">
      <c r="G191" s="137"/>
    </row>
    <row r="192" spans="7:7" x14ac:dyDescent="0.25">
      <c r="G192" s="137"/>
    </row>
    <row r="193" spans="7:7" x14ac:dyDescent="0.25">
      <c r="G193" s="137"/>
    </row>
    <row r="194" spans="7:7" x14ac:dyDescent="0.25">
      <c r="G194" s="137"/>
    </row>
    <row r="195" spans="7:7" x14ac:dyDescent="0.25">
      <c r="G195" s="137"/>
    </row>
    <row r="196" spans="7:7" x14ac:dyDescent="0.25">
      <c r="G196" s="137"/>
    </row>
    <row r="197" spans="7:7" x14ac:dyDescent="0.25">
      <c r="G197" s="137"/>
    </row>
    <row r="198" spans="7:7" x14ac:dyDescent="0.25">
      <c r="G198" s="137"/>
    </row>
    <row r="199" spans="7:7" x14ac:dyDescent="0.25">
      <c r="G199" s="137"/>
    </row>
    <row r="200" spans="7:7" x14ac:dyDescent="0.25">
      <c r="G200" s="137"/>
    </row>
    <row r="201" spans="7:7" x14ac:dyDescent="0.25">
      <c r="G201" s="137"/>
    </row>
    <row r="202" spans="7:7" x14ac:dyDescent="0.25">
      <c r="G202" s="137"/>
    </row>
    <row r="203" spans="7:7" x14ac:dyDescent="0.25">
      <c r="G203" s="137"/>
    </row>
    <row r="204" spans="7:7" x14ac:dyDescent="0.25">
      <c r="G204" s="137"/>
    </row>
    <row r="205" spans="7:7" x14ac:dyDescent="0.25">
      <c r="G205" s="137"/>
    </row>
    <row r="206" spans="7:7" x14ac:dyDescent="0.25">
      <c r="G206" s="137"/>
    </row>
    <row r="207" spans="7:7" x14ac:dyDescent="0.25">
      <c r="G207" s="137"/>
    </row>
    <row r="208" spans="7:7" x14ac:dyDescent="0.25">
      <c r="G208" s="137"/>
    </row>
    <row r="209" spans="7:7" x14ac:dyDescent="0.25">
      <c r="G209" s="137"/>
    </row>
    <row r="210" spans="7:7" x14ac:dyDescent="0.25">
      <c r="G210" s="137"/>
    </row>
    <row r="211" spans="7:7" x14ac:dyDescent="0.25">
      <c r="G211" s="137"/>
    </row>
    <row r="212" spans="7:7" x14ac:dyDescent="0.25">
      <c r="G212" s="137"/>
    </row>
    <row r="213" spans="7:7" x14ac:dyDescent="0.25">
      <c r="G213" s="137"/>
    </row>
    <row r="214" spans="7:7" x14ac:dyDescent="0.25">
      <c r="G214" s="137"/>
    </row>
    <row r="215" spans="7:7" x14ac:dyDescent="0.25">
      <c r="G215" s="137"/>
    </row>
    <row r="216" spans="7:7" x14ac:dyDescent="0.25">
      <c r="G216" s="137"/>
    </row>
    <row r="217" spans="7:7" x14ac:dyDescent="0.25">
      <c r="G217" s="137"/>
    </row>
    <row r="218" spans="7:7" x14ac:dyDescent="0.25">
      <c r="G218" s="137"/>
    </row>
    <row r="219" spans="7:7" x14ac:dyDescent="0.25">
      <c r="G219" s="137"/>
    </row>
    <row r="220" spans="7:7" x14ac:dyDescent="0.25">
      <c r="G220" s="137"/>
    </row>
    <row r="221" spans="7:7" x14ac:dyDescent="0.25">
      <c r="G221" s="137"/>
    </row>
    <row r="222" spans="7:7" x14ac:dyDescent="0.25">
      <c r="G222" s="137"/>
    </row>
    <row r="223" spans="7:7" x14ac:dyDescent="0.25">
      <c r="G223" s="137"/>
    </row>
    <row r="224" spans="7:7" x14ac:dyDescent="0.25">
      <c r="G224" s="137"/>
    </row>
    <row r="225" spans="7:7" x14ac:dyDescent="0.25">
      <c r="G225" s="137"/>
    </row>
    <row r="226" spans="7:7" x14ac:dyDescent="0.25">
      <c r="G226" s="137"/>
    </row>
    <row r="227" spans="7:7" x14ac:dyDescent="0.25">
      <c r="G227" s="137"/>
    </row>
    <row r="228" spans="7:7" x14ac:dyDescent="0.25">
      <c r="G228" s="137"/>
    </row>
    <row r="229" spans="7:7" x14ac:dyDescent="0.25">
      <c r="G229" s="137"/>
    </row>
    <row r="230" spans="7:7" x14ac:dyDescent="0.25">
      <c r="G230" s="137"/>
    </row>
    <row r="231" spans="7:7" x14ac:dyDescent="0.25">
      <c r="G231" s="137"/>
    </row>
    <row r="232" spans="7:7" x14ac:dyDescent="0.25">
      <c r="G232" s="137"/>
    </row>
    <row r="233" spans="7:7" x14ac:dyDescent="0.25">
      <c r="G233" s="137"/>
    </row>
    <row r="234" spans="7:7" x14ac:dyDescent="0.25">
      <c r="G234" s="137"/>
    </row>
    <row r="235" spans="7:7" x14ac:dyDescent="0.25">
      <c r="G235" s="137"/>
    </row>
    <row r="236" spans="7:7" x14ac:dyDescent="0.25">
      <c r="G236" s="137"/>
    </row>
    <row r="237" spans="7:7" x14ac:dyDescent="0.25">
      <c r="G237" s="137"/>
    </row>
    <row r="238" spans="7:7" x14ac:dyDescent="0.25">
      <c r="G238" s="137"/>
    </row>
    <row r="239" spans="7:7" x14ac:dyDescent="0.25">
      <c r="G239" s="137"/>
    </row>
    <row r="240" spans="7:7" x14ac:dyDescent="0.25">
      <c r="G240" s="137"/>
    </row>
    <row r="241" spans="7:7" x14ac:dyDescent="0.25">
      <c r="G241" s="137"/>
    </row>
    <row r="242" spans="7:7" x14ac:dyDescent="0.25">
      <c r="G242" s="137"/>
    </row>
    <row r="243" spans="7:7" x14ac:dyDescent="0.25">
      <c r="G243" s="137"/>
    </row>
    <row r="244" spans="7:7" x14ac:dyDescent="0.25">
      <c r="G244" s="137"/>
    </row>
    <row r="245" spans="7:7" x14ac:dyDescent="0.25">
      <c r="G245" s="137"/>
    </row>
    <row r="246" spans="7:7" x14ac:dyDescent="0.25">
      <c r="G246" s="137"/>
    </row>
    <row r="247" spans="7:7" x14ac:dyDescent="0.25">
      <c r="G247" s="137"/>
    </row>
    <row r="248" spans="7:7" x14ac:dyDescent="0.25">
      <c r="G248" s="137"/>
    </row>
    <row r="249" spans="7:7" x14ac:dyDescent="0.25">
      <c r="G249" s="137"/>
    </row>
    <row r="250" spans="7:7" x14ac:dyDescent="0.25">
      <c r="G250" s="137"/>
    </row>
    <row r="251" spans="7:7" x14ac:dyDescent="0.25">
      <c r="G251" s="137"/>
    </row>
    <row r="252" spans="7:7" x14ac:dyDescent="0.25">
      <c r="G252" s="137"/>
    </row>
    <row r="253" spans="7:7" x14ac:dyDescent="0.25">
      <c r="G253" s="137"/>
    </row>
    <row r="254" spans="7:7" x14ac:dyDescent="0.25">
      <c r="G254" s="137"/>
    </row>
    <row r="255" spans="7:7" x14ac:dyDescent="0.25">
      <c r="G255" s="137"/>
    </row>
    <row r="256" spans="7:7" x14ac:dyDescent="0.25">
      <c r="G256" s="137"/>
    </row>
    <row r="257" spans="7:7" x14ac:dyDescent="0.25">
      <c r="G257" s="137"/>
    </row>
    <row r="258" spans="7:7" x14ac:dyDescent="0.25">
      <c r="G258" s="137"/>
    </row>
    <row r="259" spans="7:7" x14ac:dyDescent="0.25">
      <c r="G259" s="137"/>
    </row>
    <row r="260" spans="7:7" x14ac:dyDescent="0.25">
      <c r="G260" s="137"/>
    </row>
    <row r="261" spans="7:7" x14ac:dyDescent="0.25">
      <c r="G261" s="137"/>
    </row>
    <row r="262" spans="7:7" x14ac:dyDescent="0.25">
      <c r="G262" s="137"/>
    </row>
    <row r="263" spans="7:7" x14ac:dyDescent="0.25">
      <c r="G263" s="137"/>
    </row>
    <row r="264" spans="7:7" x14ac:dyDescent="0.25">
      <c r="G264" s="137"/>
    </row>
    <row r="265" spans="7:7" x14ac:dyDescent="0.25">
      <c r="G265" s="137"/>
    </row>
    <row r="266" spans="7:7" x14ac:dyDescent="0.25">
      <c r="G266" s="137"/>
    </row>
    <row r="267" spans="7:7" x14ac:dyDescent="0.25">
      <c r="G267" s="137"/>
    </row>
    <row r="268" spans="7:7" x14ac:dyDescent="0.25">
      <c r="G268" s="137"/>
    </row>
    <row r="269" spans="7:7" x14ac:dyDescent="0.25">
      <c r="G269" s="137"/>
    </row>
    <row r="270" spans="7:7" x14ac:dyDescent="0.25">
      <c r="G270" s="137"/>
    </row>
    <row r="271" spans="7:7" x14ac:dyDescent="0.25">
      <c r="G271" s="137"/>
    </row>
    <row r="272" spans="7:7" x14ac:dyDescent="0.25">
      <c r="G272" s="137"/>
    </row>
    <row r="273" spans="7:7" x14ac:dyDescent="0.25">
      <c r="G273" s="137"/>
    </row>
    <row r="274" spans="7:7" x14ac:dyDescent="0.25">
      <c r="G274" s="137"/>
    </row>
    <row r="275" spans="7:7" x14ac:dyDescent="0.25">
      <c r="G275" s="137"/>
    </row>
    <row r="276" spans="7:7" x14ac:dyDescent="0.25">
      <c r="G276" s="137"/>
    </row>
    <row r="277" spans="7:7" x14ac:dyDescent="0.25">
      <c r="G277" s="137"/>
    </row>
    <row r="278" spans="7:7" x14ac:dyDescent="0.25">
      <c r="G278" s="137"/>
    </row>
    <row r="279" spans="7:7" x14ac:dyDescent="0.25">
      <c r="G279" s="137"/>
    </row>
    <row r="280" spans="7:7" x14ac:dyDescent="0.25">
      <c r="G280" s="137"/>
    </row>
    <row r="281" spans="7:7" x14ac:dyDescent="0.25">
      <c r="G281" s="137"/>
    </row>
    <row r="282" spans="7:7" x14ac:dyDescent="0.25">
      <c r="G282" s="137"/>
    </row>
    <row r="283" spans="7:7" x14ac:dyDescent="0.25">
      <c r="G283" s="137"/>
    </row>
    <row r="284" spans="7:7" x14ac:dyDescent="0.25">
      <c r="G284" s="137"/>
    </row>
    <row r="285" spans="7:7" x14ac:dyDescent="0.25">
      <c r="G285" s="137"/>
    </row>
    <row r="286" spans="7:7" x14ac:dyDescent="0.25">
      <c r="G286" s="137"/>
    </row>
    <row r="287" spans="7:7" x14ac:dyDescent="0.25">
      <c r="G287" s="137"/>
    </row>
    <row r="288" spans="7:7" x14ac:dyDescent="0.25">
      <c r="G288" s="137"/>
    </row>
    <row r="289" spans="7:7" x14ac:dyDescent="0.25">
      <c r="G289" s="137"/>
    </row>
    <row r="290" spans="7:7" x14ac:dyDescent="0.25">
      <c r="G290" s="137"/>
    </row>
    <row r="291" spans="7:7" x14ac:dyDescent="0.25">
      <c r="G291" s="137"/>
    </row>
    <row r="292" spans="7:7" x14ac:dyDescent="0.25">
      <c r="G292" s="137"/>
    </row>
    <row r="293" spans="7:7" x14ac:dyDescent="0.25">
      <c r="G293" s="137"/>
    </row>
    <row r="294" spans="7:7" x14ac:dyDescent="0.25">
      <c r="G294" s="137"/>
    </row>
    <row r="295" spans="7:7" x14ac:dyDescent="0.25">
      <c r="G295" s="137"/>
    </row>
    <row r="296" spans="7:7" x14ac:dyDescent="0.25">
      <c r="G296" s="137"/>
    </row>
    <row r="297" spans="7:7" x14ac:dyDescent="0.25">
      <c r="G297" s="137"/>
    </row>
    <row r="298" spans="7:7" x14ac:dyDescent="0.25">
      <c r="G298" s="137"/>
    </row>
    <row r="299" spans="7:7" x14ac:dyDescent="0.25">
      <c r="G299" s="137"/>
    </row>
    <row r="300" spans="7:7" x14ac:dyDescent="0.25">
      <c r="G300" s="137"/>
    </row>
    <row r="301" spans="7:7" x14ac:dyDescent="0.25">
      <c r="G301" s="137"/>
    </row>
    <row r="302" spans="7:7" x14ac:dyDescent="0.25">
      <c r="G302" s="137"/>
    </row>
    <row r="303" spans="7:7" x14ac:dyDescent="0.25">
      <c r="G303" s="137"/>
    </row>
    <row r="304" spans="7:7" x14ac:dyDescent="0.25">
      <c r="G304" s="137"/>
    </row>
    <row r="305" spans="7:7" x14ac:dyDescent="0.25">
      <c r="G305" s="137"/>
    </row>
    <row r="306" spans="7:7" x14ac:dyDescent="0.25">
      <c r="G306" s="137"/>
    </row>
    <row r="307" spans="7:7" x14ac:dyDescent="0.25">
      <c r="G307" s="137"/>
    </row>
    <row r="308" spans="7:7" x14ac:dyDescent="0.25">
      <c r="G308" s="137"/>
    </row>
    <row r="309" spans="7:7" x14ac:dyDescent="0.25">
      <c r="G309" s="137"/>
    </row>
    <row r="310" spans="7:7" x14ac:dyDescent="0.25">
      <c r="G310" s="137"/>
    </row>
    <row r="311" spans="7:7" x14ac:dyDescent="0.25">
      <c r="G311" s="137"/>
    </row>
    <row r="312" spans="7:7" x14ac:dyDescent="0.25">
      <c r="G312" s="137"/>
    </row>
    <row r="313" spans="7:7" x14ac:dyDescent="0.25">
      <c r="G313" s="137"/>
    </row>
    <row r="314" spans="7:7" x14ac:dyDescent="0.25">
      <c r="G314" s="137"/>
    </row>
    <row r="315" spans="7:7" x14ac:dyDescent="0.25">
      <c r="G315" s="137"/>
    </row>
    <row r="316" spans="7:7" x14ac:dyDescent="0.25">
      <c r="G316" s="137"/>
    </row>
    <row r="317" spans="7:7" x14ac:dyDescent="0.25">
      <c r="G317" s="137"/>
    </row>
    <row r="318" spans="7:7" x14ac:dyDescent="0.25">
      <c r="G318" s="137"/>
    </row>
    <row r="319" spans="7:7" x14ac:dyDescent="0.25">
      <c r="G319" s="137"/>
    </row>
    <row r="320" spans="7:7" x14ac:dyDescent="0.25">
      <c r="G320" s="137"/>
    </row>
    <row r="321" spans="7:7" x14ac:dyDescent="0.25">
      <c r="G321" s="137"/>
    </row>
    <row r="322" spans="7:7" x14ac:dyDescent="0.25">
      <c r="G322" s="137"/>
    </row>
    <row r="323" spans="7:7" x14ac:dyDescent="0.25">
      <c r="G323" s="137"/>
    </row>
    <row r="324" spans="7:7" x14ac:dyDescent="0.25">
      <c r="G324" s="137"/>
    </row>
    <row r="325" spans="7:7" x14ac:dyDescent="0.25">
      <c r="G325" s="137"/>
    </row>
    <row r="326" spans="7:7" x14ac:dyDescent="0.25">
      <c r="G326" s="137"/>
    </row>
    <row r="327" spans="7:7" x14ac:dyDescent="0.25">
      <c r="G327" s="137"/>
    </row>
    <row r="328" spans="7:7" x14ac:dyDescent="0.25">
      <c r="G328" s="137"/>
    </row>
    <row r="329" spans="7:7" x14ac:dyDescent="0.25">
      <c r="G329" s="137"/>
    </row>
    <row r="330" spans="7:7" x14ac:dyDescent="0.25">
      <c r="G330" s="137"/>
    </row>
    <row r="331" spans="7:7" x14ac:dyDescent="0.25">
      <c r="G331" s="137"/>
    </row>
    <row r="332" spans="7:7" x14ac:dyDescent="0.25">
      <c r="G332" s="137"/>
    </row>
    <row r="333" spans="7:7" x14ac:dyDescent="0.25">
      <c r="G333" s="137"/>
    </row>
    <row r="334" spans="7:7" x14ac:dyDescent="0.25">
      <c r="G334" s="137"/>
    </row>
    <row r="335" spans="7:7" x14ac:dyDescent="0.25">
      <c r="G335" s="137"/>
    </row>
    <row r="336" spans="7:7" x14ac:dyDescent="0.25">
      <c r="G336" s="137"/>
    </row>
    <row r="337" spans="7:7" x14ac:dyDescent="0.25">
      <c r="G337" s="137"/>
    </row>
    <row r="338" spans="7:7" x14ac:dyDescent="0.25">
      <c r="G338" s="137"/>
    </row>
    <row r="339" spans="7:7" x14ac:dyDescent="0.25">
      <c r="G339" s="137"/>
    </row>
    <row r="340" spans="7:7" x14ac:dyDescent="0.25">
      <c r="G340" s="137"/>
    </row>
    <row r="341" spans="7:7" x14ac:dyDescent="0.25">
      <c r="G341" s="137"/>
    </row>
    <row r="342" spans="7:7" x14ac:dyDescent="0.25">
      <c r="G342" s="137"/>
    </row>
    <row r="343" spans="7:7" x14ac:dyDescent="0.25">
      <c r="G343" s="137"/>
    </row>
    <row r="344" spans="7:7" x14ac:dyDescent="0.25">
      <c r="G344" s="137"/>
    </row>
    <row r="345" spans="7:7" x14ac:dyDescent="0.25">
      <c r="G345" s="137"/>
    </row>
    <row r="346" spans="7:7" x14ac:dyDescent="0.25">
      <c r="G346" s="137"/>
    </row>
    <row r="347" spans="7:7" x14ac:dyDescent="0.25">
      <c r="G347" s="137"/>
    </row>
    <row r="348" spans="7:7" x14ac:dyDescent="0.25">
      <c r="G348" s="137"/>
    </row>
    <row r="349" spans="7:7" x14ac:dyDescent="0.25">
      <c r="G349" s="137"/>
    </row>
    <row r="350" spans="7:7" x14ac:dyDescent="0.25">
      <c r="G350" s="137"/>
    </row>
    <row r="351" spans="7:7" x14ac:dyDescent="0.25">
      <c r="G351" s="137"/>
    </row>
    <row r="352" spans="7:7" x14ac:dyDescent="0.25">
      <c r="G352" s="137"/>
    </row>
    <row r="353" spans="7:7" x14ac:dyDescent="0.25">
      <c r="G353" s="137"/>
    </row>
    <row r="354" spans="7:7" x14ac:dyDescent="0.25">
      <c r="G354" s="137"/>
    </row>
    <row r="355" spans="7:7" x14ac:dyDescent="0.25">
      <c r="G355" s="137"/>
    </row>
    <row r="356" spans="7:7" x14ac:dyDescent="0.25">
      <c r="G356" s="137"/>
    </row>
    <row r="357" spans="7:7" x14ac:dyDescent="0.25">
      <c r="G357" s="137"/>
    </row>
    <row r="358" spans="7:7" x14ac:dyDescent="0.25">
      <c r="G358" s="137"/>
    </row>
    <row r="359" spans="7:7" x14ac:dyDescent="0.25">
      <c r="G359" s="137"/>
    </row>
    <row r="360" spans="7:7" x14ac:dyDescent="0.25">
      <c r="G360" s="137"/>
    </row>
    <row r="361" spans="7:7" x14ac:dyDescent="0.25">
      <c r="G361" s="137"/>
    </row>
    <row r="362" spans="7:7" x14ac:dyDescent="0.25">
      <c r="G362" s="137"/>
    </row>
    <row r="363" spans="7:7" x14ac:dyDescent="0.25">
      <c r="G363" s="137"/>
    </row>
    <row r="364" spans="7:7" x14ac:dyDescent="0.25">
      <c r="G364" s="137"/>
    </row>
    <row r="365" spans="7:7" x14ac:dyDescent="0.25">
      <c r="G365" s="137"/>
    </row>
    <row r="366" spans="7:7" x14ac:dyDescent="0.25">
      <c r="G366" s="137"/>
    </row>
    <row r="367" spans="7:7" x14ac:dyDescent="0.25">
      <c r="G367" s="137"/>
    </row>
    <row r="368" spans="7:7" x14ac:dyDescent="0.25">
      <c r="G368" s="137"/>
    </row>
    <row r="369" spans="7:7" x14ac:dyDescent="0.25">
      <c r="G369" s="137"/>
    </row>
    <row r="370" spans="7:7" x14ac:dyDescent="0.25">
      <c r="G370" s="137"/>
    </row>
    <row r="371" spans="7:7" x14ac:dyDescent="0.25">
      <c r="G371" s="137"/>
    </row>
    <row r="372" spans="7:7" x14ac:dyDescent="0.25">
      <c r="G372" s="137"/>
    </row>
    <row r="373" spans="7:7" x14ac:dyDescent="0.25">
      <c r="G373" s="137"/>
    </row>
    <row r="374" spans="7:7" x14ac:dyDescent="0.25">
      <c r="G374" s="137"/>
    </row>
    <row r="375" spans="7:7" x14ac:dyDescent="0.25">
      <c r="G375" s="137"/>
    </row>
    <row r="376" spans="7:7" x14ac:dyDescent="0.25">
      <c r="G376" s="137"/>
    </row>
    <row r="377" spans="7:7" x14ac:dyDescent="0.25">
      <c r="G377" s="137"/>
    </row>
    <row r="378" spans="7:7" x14ac:dyDescent="0.25">
      <c r="G378" s="137"/>
    </row>
    <row r="379" spans="7:7" x14ac:dyDescent="0.25">
      <c r="G379" s="137"/>
    </row>
    <row r="380" spans="7:7" x14ac:dyDescent="0.25">
      <c r="G380" s="137"/>
    </row>
    <row r="381" spans="7:7" x14ac:dyDescent="0.25">
      <c r="G381" s="137"/>
    </row>
    <row r="382" spans="7:7" x14ac:dyDescent="0.25">
      <c r="G382" s="137"/>
    </row>
    <row r="383" spans="7:7" x14ac:dyDescent="0.25">
      <c r="G383" s="137"/>
    </row>
    <row r="384" spans="7:7" x14ac:dyDescent="0.25">
      <c r="G384" s="137"/>
    </row>
    <row r="385" spans="7:7" x14ac:dyDescent="0.25">
      <c r="G385" s="137"/>
    </row>
    <row r="386" spans="7:7" x14ac:dyDescent="0.25">
      <c r="G386" s="137"/>
    </row>
    <row r="387" spans="7:7" x14ac:dyDescent="0.25">
      <c r="G387" s="137"/>
    </row>
    <row r="388" spans="7:7" x14ac:dyDescent="0.25">
      <c r="G388" s="137"/>
    </row>
    <row r="389" spans="7:7" x14ac:dyDescent="0.25">
      <c r="G389" s="137"/>
    </row>
    <row r="390" spans="7:7" x14ac:dyDescent="0.25">
      <c r="G390" s="137"/>
    </row>
    <row r="391" spans="7:7" x14ac:dyDescent="0.25">
      <c r="G391" s="137"/>
    </row>
    <row r="392" spans="7:7" x14ac:dyDescent="0.25">
      <c r="G392" s="137"/>
    </row>
    <row r="393" spans="7:7" x14ac:dyDescent="0.25">
      <c r="G393" s="137"/>
    </row>
    <row r="394" spans="7:7" x14ac:dyDescent="0.25">
      <c r="G394" s="137"/>
    </row>
    <row r="395" spans="7:7" x14ac:dyDescent="0.25">
      <c r="G395" s="137"/>
    </row>
    <row r="396" spans="7:7" x14ac:dyDescent="0.25">
      <c r="G396" s="137"/>
    </row>
    <row r="397" spans="7:7" x14ac:dyDescent="0.25">
      <c r="G397" s="137"/>
    </row>
    <row r="398" spans="7:7" x14ac:dyDescent="0.25">
      <c r="G398" s="137"/>
    </row>
    <row r="399" spans="7:7" x14ac:dyDescent="0.25">
      <c r="G399" s="137"/>
    </row>
    <row r="400" spans="7:7" x14ac:dyDescent="0.25">
      <c r="G400" s="137"/>
    </row>
    <row r="401" spans="7:7" x14ac:dyDescent="0.25">
      <c r="G401" s="137"/>
    </row>
    <row r="402" spans="7:7" x14ac:dyDescent="0.25">
      <c r="G402" s="137"/>
    </row>
    <row r="403" spans="7:7" x14ac:dyDescent="0.25">
      <c r="G403" s="137"/>
    </row>
    <row r="404" spans="7:7" x14ac:dyDescent="0.25">
      <c r="G404" s="137"/>
    </row>
    <row r="405" spans="7:7" x14ac:dyDescent="0.25">
      <c r="G405" s="137"/>
    </row>
    <row r="406" spans="7:7" x14ac:dyDescent="0.25">
      <c r="G406" s="137"/>
    </row>
    <row r="407" spans="7:7" x14ac:dyDescent="0.25">
      <c r="G407" s="137"/>
    </row>
    <row r="408" spans="7:7" x14ac:dyDescent="0.25">
      <c r="G408" s="137"/>
    </row>
    <row r="409" spans="7:7" x14ac:dyDescent="0.25">
      <c r="G409" s="137"/>
    </row>
    <row r="410" spans="7:7" x14ac:dyDescent="0.25">
      <c r="G410" s="137"/>
    </row>
    <row r="411" spans="7:7" x14ac:dyDescent="0.25">
      <c r="G411" s="137"/>
    </row>
    <row r="412" spans="7:7" x14ac:dyDescent="0.25">
      <c r="G412" s="137"/>
    </row>
    <row r="413" spans="7:7" x14ac:dyDescent="0.25">
      <c r="G413" s="137"/>
    </row>
    <row r="414" spans="7:7" x14ac:dyDescent="0.25">
      <c r="G414" s="137"/>
    </row>
    <row r="415" spans="7:7" x14ac:dyDescent="0.25">
      <c r="G415" s="137"/>
    </row>
    <row r="416" spans="7:7" x14ac:dyDescent="0.25">
      <c r="G416" s="137"/>
    </row>
    <row r="417" spans="7:7" x14ac:dyDescent="0.25">
      <c r="G417" s="137"/>
    </row>
    <row r="418" spans="7:7" x14ac:dyDescent="0.25">
      <c r="G418" s="137"/>
    </row>
    <row r="419" spans="7:7" x14ac:dyDescent="0.25">
      <c r="G419" s="137"/>
    </row>
    <row r="420" spans="7:7" x14ac:dyDescent="0.25">
      <c r="G420" s="137"/>
    </row>
    <row r="421" spans="7:7" x14ac:dyDescent="0.25">
      <c r="G421" s="137"/>
    </row>
    <row r="422" spans="7:7" x14ac:dyDescent="0.25">
      <c r="G422" s="137"/>
    </row>
    <row r="423" spans="7:7" x14ac:dyDescent="0.25">
      <c r="G423" s="137"/>
    </row>
    <row r="424" spans="7:7" x14ac:dyDescent="0.25">
      <c r="G424" s="137"/>
    </row>
    <row r="425" spans="7:7" x14ac:dyDescent="0.25">
      <c r="G425" s="137"/>
    </row>
    <row r="426" spans="7:7" x14ac:dyDescent="0.25">
      <c r="G426" s="137"/>
    </row>
    <row r="427" spans="7:7" x14ac:dyDescent="0.25">
      <c r="G427" s="137"/>
    </row>
    <row r="428" spans="7:7" x14ac:dyDescent="0.25">
      <c r="G428" s="137"/>
    </row>
    <row r="429" spans="7:7" x14ac:dyDescent="0.25">
      <c r="G429" s="137"/>
    </row>
    <row r="430" spans="7:7" x14ac:dyDescent="0.25">
      <c r="G430" s="137"/>
    </row>
    <row r="431" spans="7:7" x14ac:dyDescent="0.25">
      <c r="G431" s="137"/>
    </row>
    <row r="432" spans="7:7" x14ac:dyDescent="0.25">
      <c r="G432" s="137"/>
    </row>
    <row r="433" spans="7:7" x14ac:dyDescent="0.25">
      <c r="G433" s="137"/>
    </row>
    <row r="434" spans="7:7" x14ac:dyDescent="0.25">
      <c r="G434" s="137"/>
    </row>
    <row r="435" spans="7:7" x14ac:dyDescent="0.25">
      <c r="G435" s="137"/>
    </row>
    <row r="436" spans="7:7" x14ac:dyDescent="0.25">
      <c r="G436" s="137"/>
    </row>
    <row r="437" spans="7:7" x14ac:dyDescent="0.25">
      <c r="G437" s="137"/>
    </row>
    <row r="438" spans="7:7" x14ac:dyDescent="0.25">
      <c r="G438" s="137"/>
    </row>
    <row r="439" spans="7:7" x14ac:dyDescent="0.25">
      <c r="G439" s="137"/>
    </row>
    <row r="440" spans="7:7" x14ac:dyDescent="0.25">
      <c r="G440" s="137"/>
    </row>
    <row r="441" spans="7:7" x14ac:dyDescent="0.25">
      <c r="G441" s="137"/>
    </row>
    <row r="442" spans="7:7" x14ac:dyDescent="0.25">
      <c r="G442" s="137"/>
    </row>
    <row r="443" spans="7:7" x14ac:dyDescent="0.25">
      <c r="G443" s="137"/>
    </row>
    <row r="444" spans="7:7" x14ac:dyDescent="0.25">
      <c r="G444" s="137"/>
    </row>
    <row r="445" spans="7:7" x14ac:dyDescent="0.25">
      <c r="G445" s="137"/>
    </row>
    <row r="446" spans="7:7" x14ac:dyDescent="0.25">
      <c r="G446" s="137"/>
    </row>
    <row r="447" spans="7:7" x14ac:dyDescent="0.25">
      <c r="G447" s="137"/>
    </row>
    <row r="448" spans="7:7" x14ac:dyDescent="0.25">
      <c r="G448" s="137"/>
    </row>
    <row r="449" spans="7:7" x14ac:dyDescent="0.25">
      <c r="G449" s="137"/>
    </row>
    <row r="450" spans="7:7" x14ac:dyDescent="0.25">
      <c r="G450" s="137"/>
    </row>
    <row r="451" spans="7:7" x14ac:dyDescent="0.25">
      <c r="G451" s="137"/>
    </row>
    <row r="452" spans="7:7" x14ac:dyDescent="0.25">
      <c r="G452" s="137"/>
    </row>
    <row r="453" spans="7:7" x14ac:dyDescent="0.25">
      <c r="G453" s="137"/>
    </row>
    <row r="454" spans="7:7" x14ac:dyDescent="0.25">
      <c r="G454" s="137"/>
    </row>
    <row r="455" spans="7:7" x14ac:dyDescent="0.25">
      <c r="G455" s="137"/>
    </row>
    <row r="456" spans="7:7" x14ac:dyDescent="0.25">
      <c r="G456" s="137"/>
    </row>
    <row r="457" spans="7:7" x14ac:dyDescent="0.25">
      <c r="G457" s="137"/>
    </row>
    <row r="458" spans="7:7" x14ac:dyDescent="0.25">
      <c r="G458" s="137"/>
    </row>
    <row r="459" spans="7:7" x14ac:dyDescent="0.25">
      <c r="G459" s="137"/>
    </row>
    <row r="460" spans="7:7" x14ac:dyDescent="0.25">
      <c r="G460" s="137"/>
    </row>
    <row r="461" spans="7:7" x14ac:dyDescent="0.25">
      <c r="G461" s="137"/>
    </row>
    <row r="462" spans="7:7" x14ac:dyDescent="0.25">
      <c r="G462" s="137"/>
    </row>
    <row r="463" spans="7:7" x14ac:dyDescent="0.25">
      <c r="G463" s="137"/>
    </row>
    <row r="464" spans="7:7" x14ac:dyDescent="0.25">
      <c r="G464" s="137"/>
    </row>
    <row r="465" spans="7:7" x14ac:dyDescent="0.25">
      <c r="G465" s="137"/>
    </row>
    <row r="466" spans="7:7" x14ac:dyDescent="0.25">
      <c r="G466" s="137"/>
    </row>
    <row r="467" spans="7:7" x14ac:dyDescent="0.25">
      <c r="G467" s="137"/>
    </row>
    <row r="468" spans="7:7" x14ac:dyDescent="0.25">
      <c r="G468" s="137"/>
    </row>
    <row r="469" spans="7:7" x14ac:dyDescent="0.25">
      <c r="G469" s="137"/>
    </row>
    <row r="470" spans="7:7" x14ac:dyDescent="0.25">
      <c r="G470" s="137"/>
    </row>
    <row r="471" spans="7:7" x14ac:dyDescent="0.25">
      <c r="G471" s="137"/>
    </row>
    <row r="472" spans="7:7" x14ac:dyDescent="0.25">
      <c r="G472" s="137"/>
    </row>
    <row r="473" spans="7:7" x14ac:dyDescent="0.25">
      <c r="G473" s="137"/>
    </row>
    <row r="474" spans="7:7" x14ac:dyDescent="0.25">
      <c r="G474" s="137"/>
    </row>
    <row r="475" spans="7:7" x14ac:dyDescent="0.25">
      <c r="G475" s="137"/>
    </row>
    <row r="476" spans="7:7" x14ac:dyDescent="0.25">
      <c r="G476" s="137"/>
    </row>
    <row r="477" spans="7:7" x14ac:dyDescent="0.25">
      <c r="G477" s="137"/>
    </row>
    <row r="478" spans="7:7" x14ac:dyDescent="0.25">
      <c r="G478" s="137"/>
    </row>
    <row r="479" spans="7:7" x14ac:dyDescent="0.25">
      <c r="G479" s="137"/>
    </row>
    <row r="480" spans="7:7" x14ac:dyDescent="0.25">
      <c r="G480" s="137"/>
    </row>
    <row r="481" spans="7:7" x14ac:dyDescent="0.25">
      <c r="G481" s="137"/>
    </row>
    <row r="482" spans="7:7" x14ac:dyDescent="0.25">
      <c r="G482" s="137"/>
    </row>
    <row r="483" spans="7:7" x14ac:dyDescent="0.25">
      <c r="G483" s="137"/>
    </row>
    <row r="484" spans="7:7" x14ac:dyDescent="0.25">
      <c r="G484" s="137"/>
    </row>
    <row r="485" spans="7:7" x14ac:dyDescent="0.25">
      <c r="G485" s="137"/>
    </row>
    <row r="486" spans="7:7" x14ac:dyDescent="0.25">
      <c r="G486" s="137"/>
    </row>
    <row r="487" spans="7:7" x14ac:dyDescent="0.25">
      <c r="G487" s="137"/>
    </row>
    <row r="488" spans="7:7" x14ac:dyDescent="0.25">
      <c r="G488" s="137"/>
    </row>
    <row r="489" spans="7:7" x14ac:dyDescent="0.25">
      <c r="G489" s="137"/>
    </row>
    <row r="490" spans="7:7" x14ac:dyDescent="0.25">
      <c r="G490" s="137"/>
    </row>
    <row r="491" spans="7:7" x14ac:dyDescent="0.25">
      <c r="G491" s="137"/>
    </row>
    <row r="492" spans="7:7" x14ac:dyDescent="0.25">
      <c r="G492" s="137"/>
    </row>
    <row r="493" spans="7:7" x14ac:dyDescent="0.25">
      <c r="G493" s="137"/>
    </row>
    <row r="494" spans="7:7" x14ac:dyDescent="0.25">
      <c r="G494" s="137"/>
    </row>
    <row r="495" spans="7:7" x14ac:dyDescent="0.25">
      <c r="G495" s="137"/>
    </row>
    <row r="496" spans="7:7" x14ac:dyDescent="0.25">
      <c r="G496" s="137"/>
    </row>
    <row r="497" spans="7:7" x14ac:dyDescent="0.25">
      <c r="G497" s="137"/>
    </row>
    <row r="498" spans="7:7" x14ac:dyDescent="0.25">
      <c r="G498" s="137"/>
    </row>
    <row r="499" spans="7:7" x14ac:dyDescent="0.25">
      <c r="G499" s="137"/>
    </row>
    <row r="500" spans="7:7" x14ac:dyDescent="0.25">
      <c r="G500" s="137"/>
    </row>
    <row r="501" spans="7:7" x14ac:dyDescent="0.25">
      <c r="G501" s="137"/>
    </row>
    <row r="502" spans="7:7" x14ac:dyDescent="0.25">
      <c r="G502" s="137"/>
    </row>
    <row r="503" spans="7:7" x14ac:dyDescent="0.25">
      <c r="G503" s="137"/>
    </row>
    <row r="504" spans="7:7" x14ac:dyDescent="0.25">
      <c r="G504" s="137"/>
    </row>
    <row r="505" spans="7:7" x14ac:dyDescent="0.25">
      <c r="G505" s="137"/>
    </row>
    <row r="506" spans="7:7" x14ac:dyDescent="0.25">
      <c r="G506" s="137"/>
    </row>
    <row r="507" spans="7:7" x14ac:dyDescent="0.25">
      <c r="G507" s="137"/>
    </row>
    <row r="508" spans="7:7" x14ac:dyDescent="0.25">
      <c r="G508" s="137"/>
    </row>
    <row r="509" spans="7:7" x14ac:dyDescent="0.25">
      <c r="G509" s="137"/>
    </row>
    <row r="510" spans="7:7" x14ac:dyDescent="0.25">
      <c r="G510" s="137"/>
    </row>
    <row r="511" spans="7:7" x14ac:dyDescent="0.25">
      <c r="G511" s="137"/>
    </row>
    <row r="512" spans="7:7" x14ac:dyDescent="0.25">
      <c r="G512" s="137"/>
    </row>
    <row r="513" spans="7:7" x14ac:dyDescent="0.25">
      <c r="G513" s="137"/>
    </row>
    <row r="514" spans="7:7" x14ac:dyDescent="0.25">
      <c r="G514" s="137"/>
    </row>
    <row r="515" spans="7:7" x14ac:dyDescent="0.25">
      <c r="G515" s="137"/>
    </row>
    <row r="516" spans="7:7" x14ac:dyDescent="0.25">
      <c r="G516" s="137"/>
    </row>
    <row r="517" spans="7:7" x14ac:dyDescent="0.25">
      <c r="G517" s="137"/>
    </row>
    <row r="518" spans="7:7" x14ac:dyDescent="0.25">
      <c r="G518" s="137"/>
    </row>
    <row r="519" spans="7:7" x14ac:dyDescent="0.25">
      <c r="G519" s="137"/>
    </row>
    <row r="520" spans="7:7" x14ac:dyDescent="0.25">
      <c r="G520" s="137"/>
    </row>
    <row r="521" spans="7:7" x14ac:dyDescent="0.25">
      <c r="G521" s="137"/>
    </row>
    <row r="522" spans="7:7" x14ac:dyDescent="0.25">
      <c r="G522" s="137"/>
    </row>
    <row r="523" spans="7:7" x14ac:dyDescent="0.25">
      <c r="G523" s="137"/>
    </row>
    <row r="524" spans="7:7" x14ac:dyDescent="0.25">
      <c r="G524" s="137"/>
    </row>
    <row r="525" spans="7:7" x14ac:dyDescent="0.25">
      <c r="G525" s="137"/>
    </row>
    <row r="526" spans="7:7" x14ac:dyDescent="0.25">
      <c r="G526" s="137"/>
    </row>
    <row r="527" spans="7:7" x14ac:dyDescent="0.25">
      <c r="G527" s="137"/>
    </row>
    <row r="528" spans="7:7" x14ac:dyDescent="0.25">
      <c r="G528" s="137"/>
    </row>
    <row r="529" spans="7:7" x14ac:dyDescent="0.25">
      <c r="G529" s="137"/>
    </row>
    <row r="530" spans="7:7" x14ac:dyDescent="0.25">
      <c r="G530" s="137"/>
    </row>
    <row r="531" spans="7:7" x14ac:dyDescent="0.25">
      <c r="G531" s="137"/>
    </row>
    <row r="532" spans="7:7" x14ac:dyDescent="0.25">
      <c r="G532" s="137"/>
    </row>
    <row r="533" spans="7:7" x14ac:dyDescent="0.25">
      <c r="G533" s="137"/>
    </row>
    <row r="534" spans="7:7" x14ac:dyDescent="0.25">
      <c r="G534" s="137"/>
    </row>
    <row r="535" spans="7:7" x14ac:dyDescent="0.25">
      <c r="G535" s="137"/>
    </row>
    <row r="536" spans="7:7" x14ac:dyDescent="0.25">
      <c r="G536" s="137"/>
    </row>
    <row r="537" spans="7:7" x14ac:dyDescent="0.25">
      <c r="G537" s="137"/>
    </row>
    <row r="538" spans="7:7" x14ac:dyDescent="0.25">
      <c r="G538" s="137"/>
    </row>
    <row r="539" spans="7:7" x14ac:dyDescent="0.25">
      <c r="G539" s="137"/>
    </row>
    <row r="540" spans="7:7" x14ac:dyDescent="0.25">
      <c r="G540" s="137"/>
    </row>
    <row r="541" spans="7:7" x14ac:dyDescent="0.25">
      <c r="G541" s="137"/>
    </row>
    <row r="542" spans="7:7" x14ac:dyDescent="0.25">
      <c r="G542" s="137"/>
    </row>
    <row r="543" spans="7:7" x14ac:dyDescent="0.25">
      <c r="G543" s="137"/>
    </row>
    <row r="544" spans="7:7" x14ac:dyDescent="0.25">
      <c r="G544" s="137"/>
    </row>
    <row r="545" spans="7:7" x14ac:dyDescent="0.25">
      <c r="G545" s="137"/>
    </row>
    <row r="546" spans="7:7" x14ac:dyDescent="0.25">
      <c r="G546" s="137"/>
    </row>
    <row r="547" spans="7:7" x14ac:dyDescent="0.25">
      <c r="G547" s="137"/>
    </row>
    <row r="548" spans="7:7" x14ac:dyDescent="0.25">
      <c r="G548" s="137"/>
    </row>
    <row r="549" spans="7:7" x14ac:dyDescent="0.25">
      <c r="G549" s="137"/>
    </row>
    <row r="550" spans="7:7" x14ac:dyDescent="0.25">
      <c r="G550" s="137"/>
    </row>
    <row r="551" spans="7:7" x14ac:dyDescent="0.25">
      <c r="G551" s="137"/>
    </row>
    <row r="552" spans="7:7" x14ac:dyDescent="0.25">
      <c r="G552" s="137"/>
    </row>
    <row r="553" spans="7:7" x14ac:dyDescent="0.25">
      <c r="G553" s="137"/>
    </row>
    <row r="554" spans="7:7" x14ac:dyDescent="0.25">
      <c r="G554" s="137"/>
    </row>
    <row r="555" spans="7:7" x14ac:dyDescent="0.25">
      <c r="G555" s="137"/>
    </row>
    <row r="556" spans="7:7" x14ac:dyDescent="0.25">
      <c r="G556" s="137"/>
    </row>
    <row r="557" spans="7:7" x14ac:dyDescent="0.25">
      <c r="G557" s="137"/>
    </row>
    <row r="558" spans="7:7" x14ac:dyDescent="0.25">
      <c r="G558" s="137"/>
    </row>
    <row r="559" spans="7:7" x14ac:dyDescent="0.25">
      <c r="G559" s="137"/>
    </row>
    <row r="560" spans="7:7" x14ac:dyDescent="0.25">
      <c r="G560" s="137"/>
    </row>
    <row r="561" spans="7:7" x14ac:dyDescent="0.25">
      <c r="G561" s="137"/>
    </row>
    <row r="562" spans="7:7" x14ac:dyDescent="0.25">
      <c r="G562" s="137"/>
    </row>
    <row r="563" spans="7:7" x14ac:dyDescent="0.25">
      <c r="G563" s="137"/>
    </row>
    <row r="564" spans="7:7" x14ac:dyDescent="0.25">
      <c r="G564" s="137"/>
    </row>
    <row r="565" spans="7:7" x14ac:dyDescent="0.25">
      <c r="G565" s="137"/>
    </row>
    <row r="566" spans="7:7" x14ac:dyDescent="0.25">
      <c r="G566" s="137"/>
    </row>
    <row r="567" spans="7:7" x14ac:dyDescent="0.25">
      <c r="G567" s="137"/>
    </row>
    <row r="568" spans="7:7" x14ac:dyDescent="0.25">
      <c r="G568" s="137"/>
    </row>
    <row r="569" spans="7:7" x14ac:dyDescent="0.25">
      <c r="G569" s="137"/>
    </row>
    <row r="570" spans="7:7" x14ac:dyDescent="0.25">
      <c r="G570" s="137"/>
    </row>
    <row r="571" spans="7:7" x14ac:dyDescent="0.25">
      <c r="G571" s="137"/>
    </row>
    <row r="572" spans="7:7" x14ac:dyDescent="0.25">
      <c r="G572" s="137"/>
    </row>
    <row r="573" spans="7:7" x14ac:dyDescent="0.25">
      <c r="G573" s="137"/>
    </row>
    <row r="574" spans="7:7" x14ac:dyDescent="0.25">
      <c r="G574" s="137"/>
    </row>
    <row r="575" spans="7:7" x14ac:dyDescent="0.25">
      <c r="G575" s="137"/>
    </row>
    <row r="576" spans="7:7" x14ac:dyDescent="0.25">
      <c r="G576" s="137"/>
    </row>
    <row r="577" spans="7:7" x14ac:dyDescent="0.25">
      <c r="G577" s="137"/>
    </row>
    <row r="578" spans="7:7" x14ac:dyDescent="0.25">
      <c r="G578" s="137"/>
    </row>
    <row r="579" spans="7:7" x14ac:dyDescent="0.25">
      <c r="G579" s="137"/>
    </row>
    <row r="580" spans="7:7" x14ac:dyDescent="0.25">
      <c r="G580" s="137"/>
    </row>
    <row r="581" spans="7:7" x14ac:dyDescent="0.25">
      <c r="G581" s="137"/>
    </row>
    <row r="582" spans="7:7" x14ac:dyDescent="0.25">
      <c r="G582" s="137"/>
    </row>
    <row r="583" spans="7:7" x14ac:dyDescent="0.25">
      <c r="G583" s="137"/>
    </row>
    <row r="584" spans="7:7" x14ac:dyDescent="0.25">
      <c r="G584" s="137"/>
    </row>
    <row r="585" spans="7:7" x14ac:dyDescent="0.25">
      <c r="G585" s="137"/>
    </row>
    <row r="586" spans="7:7" x14ac:dyDescent="0.25">
      <c r="G586" s="137"/>
    </row>
    <row r="587" spans="7:7" x14ac:dyDescent="0.25">
      <c r="G587" s="137"/>
    </row>
    <row r="588" spans="7:7" x14ac:dyDescent="0.25">
      <c r="G588" s="137"/>
    </row>
    <row r="589" spans="7:7" x14ac:dyDescent="0.25">
      <c r="G589" s="137"/>
    </row>
    <row r="590" spans="7:7" x14ac:dyDescent="0.25">
      <c r="G590" s="137"/>
    </row>
    <row r="591" spans="7:7" x14ac:dyDescent="0.25">
      <c r="G591" s="137"/>
    </row>
    <row r="592" spans="7:7" x14ac:dyDescent="0.25">
      <c r="G592" s="137"/>
    </row>
    <row r="593" spans="7:7" x14ac:dyDescent="0.25">
      <c r="G593" s="137"/>
    </row>
    <row r="594" spans="7:7" x14ac:dyDescent="0.25">
      <c r="G594" s="137"/>
    </row>
    <row r="595" spans="7:7" x14ac:dyDescent="0.25">
      <c r="G595" s="137"/>
    </row>
    <row r="596" spans="7:7" x14ac:dyDescent="0.25">
      <c r="G596" s="137"/>
    </row>
    <row r="597" spans="7:7" x14ac:dyDescent="0.25">
      <c r="G597" s="137"/>
    </row>
    <row r="598" spans="7:7" x14ac:dyDescent="0.25">
      <c r="G598" s="137"/>
    </row>
    <row r="599" spans="7:7" x14ac:dyDescent="0.25">
      <c r="G599" s="137"/>
    </row>
    <row r="600" spans="7:7" x14ac:dyDescent="0.25">
      <c r="G600" s="137"/>
    </row>
    <row r="601" spans="7:7" x14ac:dyDescent="0.25">
      <c r="G601" s="137"/>
    </row>
    <row r="602" spans="7:7" x14ac:dyDescent="0.25">
      <c r="G602" s="137"/>
    </row>
    <row r="603" spans="7:7" x14ac:dyDescent="0.25">
      <c r="G603" s="137"/>
    </row>
    <row r="604" spans="7:7" x14ac:dyDescent="0.25">
      <c r="G604" s="137"/>
    </row>
    <row r="605" spans="7:7" x14ac:dyDescent="0.25">
      <c r="G605" s="137"/>
    </row>
    <row r="606" spans="7:7" x14ac:dyDescent="0.25">
      <c r="G606" s="137"/>
    </row>
    <row r="607" spans="7:7" x14ac:dyDescent="0.25">
      <c r="G607" s="137"/>
    </row>
    <row r="608" spans="7:7" x14ac:dyDescent="0.25">
      <c r="G608" s="137"/>
    </row>
    <row r="609" spans="7:7" x14ac:dyDescent="0.25">
      <c r="G609" s="137"/>
    </row>
    <row r="610" spans="7:7" x14ac:dyDescent="0.25">
      <c r="G610" s="137"/>
    </row>
    <row r="611" spans="7:7" x14ac:dyDescent="0.25">
      <c r="G611" s="137"/>
    </row>
    <row r="612" spans="7:7" x14ac:dyDescent="0.25">
      <c r="G612" s="137"/>
    </row>
    <row r="613" spans="7:7" x14ac:dyDescent="0.25">
      <c r="G613" s="137"/>
    </row>
    <row r="614" spans="7:7" x14ac:dyDescent="0.25">
      <c r="G614" s="137"/>
    </row>
    <row r="615" spans="7:7" x14ac:dyDescent="0.25">
      <c r="G615" s="137"/>
    </row>
    <row r="616" spans="7:7" x14ac:dyDescent="0.25">
      <c r="G616" s="137"/>
    </row>
    <row r="617" spans="7:7" x14ac:dyDescent="0.25">
      <c r="G617" s="137"/>
    </row>
    <row r="618" spans="7:7" x14ac:dyDescent="0.25">
      <c r="G618" s="137"/>
    </row>
    <row r="619" spans="7:7" x14ac:dyDescent="0.25">
      <c r="G619" s="137"/>
    </row>
    <row r="620" spans="7:7" x14ac:dyDescent="0.25">
      <c r="G620" s="137"/>
    </row>
    <row r="621" spans="7:7" x14ac:dyDescent="0.25">
      <c r="G621" s="137"/>
    </row>
    <row r="622" spans="7:7" x14ac:dyDescent="0.25">
      <c r="G622" s="137"/>
    </row>
    <row r="623" spans="7:7" x14ac:dyDescent="0.25">
      <c r="G623" s="137"/>
    </row>
    <row r="624" spans="7:7" x14ac:dyDescent="0.25">
      <c r="G624" s="137"/>
    </row>
    <row r="625" spans="7:7" x14ac:dyDescent="0.25">
      <c r="G625" s="137"/>
    </row>
    <row r="626" spans="7:7" x14ac:dyDescent="0.25">
      <c r="G626" s="137"/>
    </row>
    <row r="627" spans="7:7" x14ac:dyDescent="0.25">
      <c r="G627" s="137"/>
    </row>
    <row r="628" spans="7:7" x14ac:dyDescent="0.25">
      <c r="G628" s="137"/>
    </row>
    <row r="629" spans="7:7" x14ac:dyDescent="0.25">
      <c r="G629" s="137"/>
    </row>
    <row r="630" spans="7:7" x14ac:dyDescent="0.25">
      <c r="G630" s="137"/>
    </row>
    <row r="631" spans="7:7" x14ac:dyDescent="0.25">
      <c r="G631" s="137"/>
    </row>
    <row r="632" spans="7:7" x14ac:dyDescent="0.25">
      <c r="G632" s="137"/>
    </row>
    <row r="633" spans="7:7" x14ac:dyDescent="0.25">
      <c r="G633" s="137"/>
    </row>
    <row r="634" spans="7:7" x14ac:dyDescent="0.25">
      <c r="G634" s="137"/>
    </row>
    <row r="635" spans="7:7" x14ac:dyDescent="0.25">
      <c r="G635" s="137"/>
    </row>
    <row r="636" spans="7:7" x14ac:dyDescent="0.25">
      <c r="G636" s="137"/>
    </row>
    <row r="637" spans="7:7" x14ac:dyDescent="0.25">
      <c r="G637" s="137"/>
    </row>
    <row r="638" spans="7:7" x14ac:dyDescent="0.25">
      <c r="G638" s="137"/>
    </row>
    <row r="639" spans="7:7" x14ac:dyDescent="0.25">
      <c r="G639" s="137"/>
    </row>
    <row r="640" spans="7:7" x14ac:dyDescent="0.25">
      <c r="G640" s="137"/>
    </row>
    <row r="641" spans="7:7" x14ac:dyDescent="0.25">
      <c r="G641" s="137"/>
    </row>
    <row r="642" spans="7:7" x14ac:dyDescent="0.25">
      <c r="G642" s="137"/>
    </row>
    <row r="643" spans="7:7" x14ac:dyDescent="0.25">
      <c r="G643" s="137"/>
    </row>
    <row r="644" spans="7:7" x14ac:dyDescent="0.25">
      <c r="G644" s="137"/>
    </row>
    <row r="645" spans="7:7" x14ac:dyDescent="0.25">
      <c r="G645" s="137"/>
    </row>
    <row r="646" spans="7:7" x14ac:dyDescent="0.25">
      <c r="G646" s="137"/>
    </row>
    <row r="647" spans="7:7" x14ac:dyDescent="0.25">
      <c r="G647" s="137"/>
    </row>
    <row r="648" spans="7:7" x14ac:dyDescent="0.25">
      <c r="G648" s="137"/>
    </row>
    <row r="649" spans="7:7" x14ac:dyDescent="0.25">
      <c r="G649" s="137"/>
    </row>
    <row r="650" spans="7:7" x14ac:dyDescent="0.25">
      <c r="G650" s="137"/>
    </row>
    <row r="651" spans="7:7" x14ac:dyDescent="0.25">
      <c r="G651" s="137"/>
    </row>
    <row r="652" spans="7:7" x14ac:dyDescent="0.25">
      <c r="G652" s="137"/>
    </row>
    <row r="653" spans="7:7" x14ac:dyDescent="0.25">
      <c r="G653" s="137"/>
    </row>
    <row r="654" spans="7:7" x14ac:dyDescent="0.25">
      <c r="G654" s="137"/>
    </row>
    <row r="655" spans="7:7" x14ac:dyDescent="0.25">
      <c r="G655" s="137"/>
    </row>
    <row r="656" spans="7:7" x14ac:dyDescent="0.25">
      <c r="G656" s="137"/>
    </row>
    <row r="657" spans="7:7" x14ac:dyDescent="0.25">
      <c r="G657" s="137"/>
    </row>
    <row r="658" spans="7:7" x14ac:dyDescent="0.25">
      <c r="G658" s="137"/>
    </row>
    <row r="659" spans="7:7" x14ac:dyDescent="0.25">
      <c r="G659" s="137"/>
    </row>
    <row r="660" spans="7:7" x14ac:dyDescent="0.25">
      <c r="G660" s="137"/>
    </row>
    <row r="661" spans="7:7" x14ac:dyDescent="0.25">
      <c r="G661" s="137"/>
    </row>
    <row r="662" spans="7:7" x14ac:dyDescent="0.25">
      <c r="G662" s="137"/>
    </row>
    <row r="663" spans="7:7" x14ac:dyDescent="0.25">
      <c r="G663" s="137"/>
    </row>
    <row r="664" spans="7:7" x14ac:dyDescent="0.25">
      <c r="G664" s="137"/>
    </row>
    <row r="665" spans="7:7" x14ac:dyDescent="0.25">
      <c r="G665" s="137"/>
    </row>
    <row r="666" spans="7:7" x14ac:dyDescent="0.25">
      <c r="G666" s="137"/>
    </row>
    <row r="667" spans="7:7" x14ac:dyDescent="0.25">
      <c r="G667" s="137"/>
    </row>
    <row r="668" spans="7:7" x14ac:dyDescent="0.25">
      <c r="G668" s="137"/>
    </row>
    <row r="669" spans="7:7" x14ac:dyDescent="0.25">
      <c r="G669" s="137"/>
    </row>
    <row r="670" spans="7:7" x14ac:dyDescent="0.25">
      <c r="G670" s="137"/>
    </row>
    <row r="671" spans="7:7" x14ac:dyDescent="0.25">
      <c r="G671" s="137"/>
    </row>
    <row r="672" spans="7:7" x14ac:dyDescent="0.25">
      <c r="G672" s="137"/>
    </row>
    <row r="673" spans="7:7" x14ac:dyDescent="0.25">
      <c r="G673" s="137"/>
    </row>
    <row r="674" spans="7:7" x14ac:dyDescent="0.25">
      <c r="G674" s="137"/>
    </row>
    <row r="675" spans="7:7" x14ac:dyDescent="0.25">
      <c r="G675" s="137"/>
    </row>
    <row r="676" spans="7:7" x14ac:dyDescent="0.25">
      <c r="G676" s="137"/>
    </row>
    <row r="677" spans="7:7" x14ac:dyDescent="0.25">
      <c r="G677" s="137"/>
    </row>
    <row r="678" spans="7:7" x14ac:dyDescent="0.25">
      <c r="G678" s="137"/>
    </row>
    <row r="679" spans="7:7" x14ac:dyDescent="0.25">
      <c r="G679" s="137"/>
    </row>
    <row r="680" spans="7:7" x14ac:dyDescent="0.25">
      <c r="G680" s="137"/>
    </row>
    <row r="681" spans="7:7" x14ac:dyDescent="0.25">
      <c r="G681" s="137"/>
    </row>
    <row r="682" spans="7:7" x14ac:dyDescent="0.25">
      <c r="G682" s="137"/>
    </row>
    <row r="683" spans="7:7" x14ac:dyDescent="0.25">
      <c r="G683" s="137"/>
    </row>
    <row r="684" spans="7:7" x14ac:dyDescent="0.25">
      <c r="G684" s="137"/>
    </row>
    <row r="685" spans="7:7" x14ac:dyDescent="0.25">
      <c r="G685" s="137"/>
    </row>
    <row r="686" spans="7:7" x14ac:dyDescent="0.25">
      <c r="G686" s="137"/>
    </row>
    <row r="687" spans="7:7" x14ac:dyDescent="0.25">
      <c r="G687" s="137"/>
    </row>
    <row r="688" spans="7:7" x14ac:dyDescent="0.25">
      <c r="G688" s="137"/>
    </row>
    <row r="689" spans="7:7" x14ac:dyDescent="0.25">
      <c r="G689" s="137"/>
    </row>
    <row r="690" spans="7:7" x14ac:dyDescent="0.25">
      <c r="G690" s="137"/>
    </row>
    <row r="691" spans="7:7" x14ac:dyDescent="0.25">
      <c r="G691" s="137"/>
    </row>
    <row r="692" spans="7:7" x14ac:dyDescent="0.25">
      <c r="G692" s="137"/>
    </row>
    <row r="693" spans="7:7" x14ac:dyDescent="0.25">
      <c r="G693" s="137"/>
    </row>
    <row r="694" spans="7:7" x14ac:dyDescent="0.25">
      <c r="G694" s="137"/>
    </row>
    <row r="695" spans="7:7" x14ac:dyDescent="0.25">
      <c r="G695" s="137"/>
    </row>
    <row r="696" spans="7:7" x14ac:dyDescent="0.25">
      <c r="G696" s="137"/>
    </row>
    <row r="697" spans="7:7" x14ac:dyDescent="0.25">
      <c r="G697" s="137"/>
    </row>
    <row r="698" spans="7:7" x14ac:dyDescent="0.25">
      <c r="G698" s="137"/>
    </row>
    <row r="699" spans="7:7" x14ac:dyDescent="0.25">
      <c r="G699" s="137"/>
    </row>
    <row r="700" spans="7:7" x14ac:dyDescent="0.25">
      <c r="G700" s="137"/>
    </row>
    <row r="701" spans="7:7" x14ac:dyDescent="0.25">
      <c r="G701" s="137"/>
    </row>
    <row r="702" spans="7:7" x14ac:dyDescent="0.25">
      <c r="G702" s="137"/>
    </row>
    <row r="703" spans="7:7" x14ac:dyDescent="0.25">
      <c r="G703" s="137"/>
    </row>
    <row r="704" spans="7:7" x14ac:dyDescent="0.25">
      <c r="G704" s="137"/>
    </row>
    <row r="705" spans="7:7" x14ac:dyDescent="0.25">
      <c r="G705" s="137"/>
    </row>
    <row r="706" spans="7:7" x14ac:dyDescent="0.25">
      <c r="G706" s="137"/>
    </row>
    <row r="707" spans="7:7" x14ac:dyDescent="0.25">
      <c r="G707" s="137"/>
    </row>
    <row r="708" spans="7:7" x14ac:dyDescent="0.25">
      <c r="G708" s="137"/>
    </row>
    <row r="709" spans="7:7" x14ac:dyDescent="0.25">
      <c r="G709" s="137"/>
    </row>
    <row r="710" spans="7:7" x14ac:dyDescent="0.25">
      <c r="G710" s="137"/>
    </row>
    <row r="711" spans="7:7" x14ac:dyDescent="0.25">
      <c r="G711" s="137"/>
    </row>
    <row r="712" spans="7:7" x14ac:dyDescent="0.25">
      <c r="G712" s="137"/>
    </row>
    <row r="713" spans="7:7" x14ac:dyDescent="0.25">
      <c r="G713" s="137"/>
    </row>
    <row r="714" spans="7:7" x14ac:dyDescent="0.25">
      <c r="G714" s="137"/>
    </row>
    <row r="715" spans="7:7" x14ac:dyDescent="0.25">
      <c r="G715" s="137"/>
    </row>
    <row r="716" spans="7:7" x14ac:dyDescent="0.25">
      <c r="G716" s="137"/>
    </row>
    <row r="717" spans="7:7" x14ac:dyDescent="0.25">
      <c r="G717" s="137"/>
    </row>
    <row r="718" spans="7:7" x14ac:dyDescent="0.25">
      <c r="G718" s="137"/>
    </row>
    <row r="719" spans="7:7" x14ac:dyDescent="0.25">
      <c r="G719" s="137"/>
    </row>
    <row r="720" spans="7:7" x14ac:dyDescent="0.25">
      <c r="G720" s="137"/>
    </row>
    <row r="721" spans="7:7" x14ac:dyDescent="0.25">
      <c r="G721" s="137"/>
    </row>
    <row r="722" spans="7:7" x14ac:dyDescent="0.25">
      <c r="G722" s="137"/>
    </row>
    <row r="723" spans="7:7" x14ac:dyDescent="0.25">
      <c r="G723" s="137"/>
    </row>
    <row r="724" spans="7:7" x14ac:dyDescent="0.25">
      <c r="G724" s="137"/>
    </row>
    <row r="725" spans="7:7" x14ac:dyDescent="0.25">
      <c r="G725" s="137"/>
    </row>
    <row r="726" spans="7:7" x14ac:dyDescent="0.25">
      <c r="G726" s="137"/>
    </row>
    <row r="727" spans="7:7" x14ac:dyDescent="0.25">
      <c r="G727" s="137"/>
    </row>
    <row r="728" spans="7:7" x14ac:dyDescent="0.25">
      <c r="G728" s="137"/>
    </row>
    <row r="729" spans="7:7" x14ac:dyDescent="0.25">
      <c r="G729" s="137"/>
    </row>
    <row r="730" spans="7:7" x14ac:dyDescent="0.25">
      <c r="G730" s="137"/>
    </row>
    <row r="731" spans="7:7" x14ac:dyDescent="0.25">
      <c r="G731" s="137"/>
    </row>
    <row r="732" spans="7:7" x14ac:dyDescent="0.25">
      <c r="G732" s="137"/>
    </row>
    <row r="733" spans="7:7" x14ac:dyDescent="0.25">
      <c r="G733" s="137"/>
    </row>
    <row r="734" spans="7:7" x14ac:dyDescent="0.25">
      <c r="G734" s="137"/>
    </row>
    <row r="735" spans="7:7" x14ac:dyDescent="0.25">
      <c r="G735" s="137"/>
    </row>
    <row r="736" spans="7:7" x14ac:dyDescent="0.25">
      <c r="G736" s="137"/>
    </row>
    <row r="737" spans="7:7" x14ac:dyDescent="0.25">
      <c r="G737" s="137"/>
    </row>
    <row r="738" spans="7:7" x14ac:dyDescent="0.25">
      <c r="G738" s="137"/>
    </row>
    <row r="739" spans="7:7" x14ac:dyDescent="0.25">
      <c r="G739" s="137"/>
    </row>
    <row r="740" spans="7:7" x14ac:dyDescent="0.25">
      <c r="G740" s="137"/>
    </row>
    <row r="741" spans="7:7" x14ac:dyDescent="0.25">
      <c r="G741" s="137"/>
    </row>
    <row r="742" spans="7:7" x14ac:dyDescent="0.25">
      <c r="G742" s="137"/>
    </row>
    <row r="743" spans="7:7" x14ac:dyDescent="0.25">
      <c r="G743" s="137"/>
    </row>
    <row r="744" spans="7:7" x14ac:dyDescent="0.25">
      <c r="G744" s="137"/>
    </row>
    <row r="745" spans="7:7" x14ac:dyDescent="0.25">
      <c r="G745" s="137"/>
    </row>
    <row r="746" spans="7:7" x14ac:dyDescent="0.25">
      <c r="G746" s="137"/>
    </row>
    <row r="747" spans="7:7" x14ac:dyDescent="0.25">
      <c r="G747" s="137"/>
    </row>
    <row r="748" spans="7:7" x14ac:dyDescent="0.25">
      <c r="G748" s="137"/>
    </row>
    <row r="749" spans="7:7" x14ac:dyDescent="0.25">
      <c r="G749" s="137"/>
    </row>
    <row r="750" spans="7:7" x14ac:dyDescent="0.25">
      <c r="G750" s="137"/>
    </row>
    <row r="751" spans="7:7" x14ac:dyDescent="0.25">
      <c r="G751" s="137"/>
    </row>
    <row r="752" spans="7:7" x14ac:dyDescent="0.25">
      <c r="G752" s="137"/>
    </row>
    <row r="753" spans="7:7" x14ac:dyDescent="0.25">
      <c r="G753" s="137"/>
    </row>
    <row r="754" spans="7:7" x14ac:dyDescent="0.25">
      <c r="G754" s="137"/>
    </row>
    <row r="755" spans="7:7" x14ac:dyDescent="0.25">
      <c r="G755" s="137"/>
    </row>
    <row r="756" spans="7:7" x14ac:dyDescent="0.25">
      <c r="G756" s="137"/>
    </row>
    <row r="757" spans="7:7" x14ac:dyDescent="0.25">
      <c r="G757" s="137"/>
    </row>
    <row r="758" spans="7:7" x14ac:dyDescent="0.25">
      <c r="G758" s="137"/>
    </row>
    <row r="759" spans="7:7" x14ac:dyDescent="0.25">
      <c r="G759" s="137"/>
    </row>
    <row r="760" spans="7:7" x14ac:dyDescent="0.25">
      <c r="G760" s="137"/>
    </row>
    <row r="761" spans="7:7" x14ac:dyDescent="0.25">
      <c r="G761" s="137"/>
    </row>
    <row r="762" spans="7:7" x14ac:dyDescent="0.25">
      <c r="G762" s="137"/>
    </row>
    <row r="763" spans="7:7" x14ac:dyDescent="0.25">
      <c r="G763" s="137"/>
    </row>
    <row r="764" spans="7:7" x14ac:dyDescent="0.25">
      <c r="G764" s="137"/>
    </row>
    <row r="765" spans="7:7" x14ac:dyDescent="0.25">
      <c r="G765" s="137"/>
    </row>
    <row r="766" spans="7:7" x14ac:dyDescent="0.25">
      <c r="G766" s="137"/>
    </row>
    <row r="767" spans="7:7" x14ac:dyDescent="0.25">
      <c r="G767" s="137"/>
    </row>
    <row r="768" spans="7:7" x14ac:dyDescent="0.25">
      <c r="G768" s="137"/>
    </row>
    <row r="769" spans="7:7" x14ac:dyDescent="0.25">
      <c r="G769" s="137"/>
    </row>
    <row r="770" spans="7:7" x14ac:dyDescent="0.25">
      <c r="G770" s="137"/>
    </row>
    <row r="771" spans="7:7" x14ac:dyDescent="0.25">
      <c r="G771" s="137"/>
    </row>
    <row r="772" spans="7:7" x14ac:dyDescent="0.25">
      <c r="G772" s="137"/>
    </row>
  </sheetData>
  <sheetProtection algorithmName="SHA-512" hashValue="kJlk4GGTGtpse++PcjHIoF3gkREhcxHwYKsUit+tvZn/fJBITPRqOPdXULNAZ2g6d1TO1E5y7S4hYnFyfgN7mw==" saltValue="ffBO36imRyv/r5GeEqNa8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50"/>
      <c r="B1" s="151"/>
      <c r="C1" s="152"/>
      <c r="D1" s="153"/>
      <c r="E1" s="154"/>
      <c r="F1" s="154"/>
    </row>
    <row r="2" spans="1:6" ht="15.75" thickBot="1" x14ac:dyDescent="0.3">
      <c r="A2" s="155"/>
      <c r="B2" s="156"/>
      <c r="C2" s="157"/>
      <c r="D2" s="157"/>
      <c r="E2" s="156"/>
      <c r="F2" s="156"/>
    </row>
    <row r="3" spans="1:6" ht="15.75" thickBot="1" x14ac:dyDescent="0.3">
      <c r="A3" s="158"/>
      <c r="B3" s="159"/>
      <c r="C3" s="159"/>
      <c r="D3" s="161"/>
      <c r="E3" s="161"/>
      <c r="F3" s="161"/>
    </row>
    <row r="4" spans="1:6" ht="15.75" thickBot="1" x14ac:dyDescent="0.3">
      <c r="A4" s="158"/>
      <c r="B4" s="159"/>
      <c r="C4" s="159"/>
      <c r="D4" s="161"/>
      <c r="E4" s="161"/>
      <c r="F4" s="161"/>
    </row>
    <row r="5" spans="1:6" ht="15.75" thickBot="1" x14ac:dyDescent="0.3">
      <c r="A5" s="158"/>
      <c r="B5" s="159"/>
      <c r="C5" s="159"/>
      <c r="D5" s="161"/>
      <c r="E5" s="161"/>
      <c r="F5" s="161"/>
    </row>
    <row r="6" spans="1:6" ht="15.75" thickBot="1" x14ac:dyDescent="0.3">
      <c r="A6" s="158"/>
      <c r="B6" s="159"/>
      <c r="C6" s="159"/>
      <c r="D6" s="161"/>
      <c r="E6" s="161"/>
      <c r="F6" s="161"/>
    </row>
    <row r="7" spans="1:6" ht="15.75" thickBot="1" x14ac:dyDescent="0.3">
      <c r="A7" s="158"/>
      <c r="B7" s="159"/>
      <c r="C7" s="159"/>
      <c r="D7" s="161"/>
      <c r="E7" s="161"/>
      <c r="F7" s="161"/>
    </row>
    <row r="8" spans="1:6" ht="15.75" thickBot="1" x14ac:dyDescent="0.3">
      <c r="A8" s="158"/>
      <c r="B8" s="162"/>
      <c r="C8" s="162"/>
      <c r="D8" s="163"/>
      <c r="E8" s="164"/>
      <c r="F8" s="165"/>
    </row>
    <row r="9" spans="1:6" x14ac:dyDescent="0.25">
      <c r="A9" s="166"/>
    </row>
    <row r="10" spans="1:6" x14ac:dyDescent="0.25">
      <c r="D10" s="160"/>
      <c r="E10" s="160"/>
      <c r="F10" s="160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2023-03-24T10:14:41Z</dcterms:modified>
</cp:coreProperties>
</file>