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24 Nou AM Internet\"/>
    </mc:Choice>
  </mc:AlternateContent>
  <bookViews>
    <workbookView xWindow="90" yWindow="5910" windowWidth="20610" windowHeight="6600" tabRatio="589"/>
  </bookViews>
  <sheets>
    <sheet name="Càlcul pressupost" sheetId="21" r:id="rId1"/>
    <sheet name="Perfils" sheetId="20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</sheets>
  <externalReferences>
    <externalReference r:id="rId8"/>
    <externalReference r:id="rId9"/>
  </externalReferences>
  <definedNames>
    <definedName name="_xlnm._FilterDatabase" localSheetId="0" hidden="1">'Càlcul pressupost'!$B$15:$AC$28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8" i="20" l="1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2" i="20" l="1"/>
  <c r="F11" i="20"/>
  <c r="F5" i="20"/>
  <c r="F4" i="20"/>
  <c r="F3" i="20"/>
  <c r="R63" i="21" l="1"/>
  <c r="R27" i="21"/>
  <c r="R46" i="21" l="1"/>
  <c r="R28" i="21"/>
  <c r="T27" i="21"/>
  <c r="S27" i="21"/>
  <c r="T26" i="21"/>
  <c r="S26" i="21"/>
  <c r="T25" i="21"/>
  <c r="S25" i="21"/>
  <c r="T24" i="21"/>
  <c r="S24" i="21"/>
  <c r="T23" i="21"/>
  <c r="S23" i="21"/>
  <c r="T22" i="21"/>
  <c r="S22" i="21"/>
  <c r="T21" i="21"/>
  <c r="S21" i="21"/>
  <c r="T20" i="21"/>
  <c r="S20" i="21"/>
  <c r="T19" i="21"/>
  <c r="S19" i="21"/>
  <c r="T18" i="21"/>
  <c r="S18" i="21"/>
  <c r="T17" i="21"/>
  <c r="S17" i="21"/>
  <c r="T16" i="21"/>
  <c r="S16" i="21"/>
  <c r="R64" i="21" l="1"/>
  <c r="V28" i="21" l="1"/>
  <c r="D14" i="20" l="1"/>
  <c r="E46" i="20" s="1"/>
  <c r="D10" i="20"/>
  <c r="D7" i="20"/>
  <c r="E39" i="20" s="1"/>
  <c r="D6" i="20"/>
  <c r="E53" i="20" s="1"/>
  <c r="D4" i="20"/>
  <c r="C78" i="20"/>
  <c r="C77" i="20"/>
  <c r="C76" i="20"/>
  <c r="C75" i="20"/>
  <c r="C74" i="20"/>
  <c r="C73" i="20"/>
  <c r="C72" i="20"/>
  <c r="C71" i="20"/>
  <c r="C70" i="20"/>
  <c r="C69" i="20"/>
  <c r="C68" i="20"/>
  <c r="C67" i="20"/>
  <c r="C66" i="20"/>
  <c r="C65" i="20"/>
  <c r="C63" i="20"/>
  <c r="C62" i="20"/>
  <c r="C61" i="20"/>
  <c r="C60" i="20"/>
  <c r="C59" i="20"/>
  <c r="C58" i="20"/>
  <c r="C57" i="20"/>
  <c r="C56" i="20"/>
  <c r="C55" i="20"/>
  <c r="C54" i="20"/>
  <c r="C53" i="20"/>
  <c r="C52" i="20"/>
  <c r="C51" i="20"/>
  <c r="C50" i="20"/>
  <c r="C48" i="20"/>
  <c r="C47" i="20"/>
  <c r="C46" i="20"/>
  <c r="C45" i="20"/>
  <c r="C44" i="20"/>
  <c r="C43" i="20"/>
  <c r="C42" i="20"/>
  <c r="C41" i="20"/>
  <c r="C40" i="20"/>
  <c r="C39" i="20"/>
  <c r="C38" i="20"/>
  <c r="C37" i="20"/>
  <c r="C36" i="20"/>
  <c r="C35" i="20"/>
  <c r="D16" i="20"/>
  <c r="E63" i="20" s="1"/>
  <c r="D9" i="20"/>
  <c r="E71" i="20" s="1"/>
  <c r="D8" i="20"/>
  <c r="E55" i="20" s="1"/>
  <c r="D5" i="20"/>
  <c r="E67" i="20" s="1"/>
  <c r="D3" i="20"/>
  <c r="E35" i="20" s="1"/>
  <c r="E57" i="20" l="1"/>
  <c r="E42" i="20"/>
  <c r="E56" i="20"/>
  <c r="E61" i="20"/>
  <c r="E68" i="20"/>
  <c r="E48" i="20"/>
  <c r="E70" i="20"/>
  <c r="E38" i="20"/>
  <c r="E40" i="20"/>
  <c r="E54" i="20"/>
  <c r="E41" i="20"/>
  <c r="E51" i="20"/>
  <c r="E66" i="20"/>
  <c r="E36" i="20"/>
  <c r="E69" i="20"/>
  <c r="E78" i="20"/>
  <c r="E52" i="20"/>
  <c r="E76" i="20"/>
  <c r="E37" i="20"/>
  <c r="E65" i="20"/>
  <c r="E72" i="20"/>
  <c r="E50" i="20"/>
  <c r="D13" i="20"/>
  <c r="D12" i="20"/>
  <c r="D15" i="20"/>
  <c r="D11" i="20"/>
  <c r="E73" i="20" l="1"/>
  <c r="E43" i="20"/>
  <c r="E58" i="20"/>
  <c r="E60" i="20"/>
  <c r="E45" i="20"/>
  <c r="E75" i="20"/>
  <c r="E77" i="20"/>
  <c r="E47" i="20"/>
  <c r="E62" i="20"/>
  <c r="E44" i="20"/>
  <c r="E74" i="20"/>
  <c r="E59" i="20"/>
  <c r="E32" i="20"/>
  <c r="E31" i="20"/>
  <c r="E30" i="20"/>
  <c r="E33" i="20"/>
  <c r="C33" i="20"/>
  <c r="C32" i="20"/>
  <c r="C31" i="20"/>
  <c r="C30" i="20"/>
  <c r="E29" i="20"/>
  <c r="C29" i="20"/>
  <c r="E28" i="20"/>
  <c r="C28" i="20"/>
  <c r="E27" i="20"/>
  <c r="G27" i="20" s="1"/>
  <c r="C27" i="20"/>
  <c r="E26" i="20"/>
  <c r="C26" i="20"/>
  <c r="E25" i="20"/>
  <c r="C25" i="20"/>
  <c r="E24" i="20"/>
  <c r="C24" i="20"/>
  <c r="E23" i="20"/>
  <c r="C23" i="20"/>
  <c r="E22" i="20"/>
  <c r="C22" i="20"/>
  <c r="E21" i="20"/>
  <c r="C21" i="20"/>
  <c r="E20" i="20"/>
  <c r="C20" i="20"/>
  <c r="G72" i="20" l="1"/>
  <c r="G57" i="20"/>
  <c r="G42" i="20"/>
  <c r="G59" i="20"/>
  <c r="H34" i="20"/>
  <c r="G32" i="20" l="1"/>
  <c r="G31" i="20"/>
  <c r="G28" i="20"/>
  <c r="G26" i="20"/>
  <c r="G33" i="20"/>
  <c r="G20" i="20"/>
  <c r="G45" i="20"/>
  <c r="G66" i="20"/>
  <c r="G37" i="20"/>
  <c r="G63" i="20"/>
  <c r="G76" i="20"/>
  <c r="G58" i="20"/>
  <c r="G56" i="20"/>
  <c r="G68" i="20"/>
  <c r="G48" i="20"/>
  <c r="G69" i="20"/>
  <c r="G40" i="20"/>
  <c r="G50" i="20"/>
  <c r="G30" i="20"/>
  <c r="G21" i="20"/>
  <c r="G22" i="20"/>
  <c r="G23" i="20"/>
  <c r="G24" i="20"/>
  <c r="G25" i="20"/>
  <c r="G29" i="20"/>
  <c r="G62" i="20"/>
  <c r="G46" i="20"/>
  <c r="G73" i="20"/>
  <c r="G71" i="20"/>
  <c r="G38" i="20"/>
  <c r="G54" i="20"/>
  <c r="G55" i="20"/>
  <c r="G74" i="20"/>
  <c r="G47" i="20"/>
  <c r="G75" i="20"/>
  <c r="G51" i="20"/>
  <c r="G52" i="20"/>
  <c r="G77" i="20"/>
  <c r="G60" i="20"/>
  <c r="G61" i="20"/>
  <c r="G36" i="20"/>
  <c r="G43" i="20"/>
  <c r="G67" i="20"/>
  <c r="G41" i="20"/>
  <c r="G78" i="20"/>
  <c r="G39" i="20"/>
  <c r="G70" i="20"/>
  <c r="G44" i="20"/>
  <c r="G35" i="20"/>
  <c r="H49" i="20"/>
  <c r="H64" i="20"/>
  <c r="G53" i="20"/>
  <c r="G65" i="20"/>
  <c r="H79" i="20"/>
  <c r="G64" i="20" l="1"/>
  <c r="M52" i="21" s="1"/>
  <c r="N52" i="21" s="1"/>
  <c r="G34" i="20"/>
  <c r="G27" i="21" s="1"/>
  <c r="H27" i="21" s="1"/>
  <c r="G79" i="20"/>
  <c r="P23" i="21" s="1"/>
  <c r="Q23" i="21" s="1"/>
  <c r="G49" i="20"/>
  <c r="J27" i="21" s="1"/>
  <c r="K27" i="21" s="1"/>
  <c r="P36" i="21" l="1"/>
  <c r="Q36" i="21" s="1"/>
  <c r="G20" i="21"/>
  <c r="H20" i="21" s="1"/>
  <c r="G17" i="21"/>
  <c r="H17" i="21" s="1"/>
  <c r="G53" i="21"/>
  <c r="H53" i="21" s="1"/>
  <c r="G63" i="21"/>
  <c r="H63" i="21" s="1"/>
  <c r="G37" i="21"/>
  <c r="H37" i="21" s="1"/>
  <c r="G36" i="21"/>
  <c r="H36" i="21" s="1"/>
  <c r="G41" i="21"/>
  <c r="H41" i="21" s="1"/>
  <c r="G19" i="21"/>
  <c r="H19" i="21" s="1"/>
  <c r="J35" i="21"/>
  <c r="K35" i="21" s="1"/>
  <c r="P41" i="21"/>
  <c r="Q41" i="21" s="1"/>
  <c r="J40" i="21"/>
  <c r="K40" i="21" s="1"/>
  <c r="P42" i="21"/>
  <c r="Q42" i="21" s="1"/>
  <c r="J53" i="21"/>
  <c r="K53" i="21" s="1"/>
  <c r="P56" i="21"/>
  <c r="Q56" i="21" s="1"/>
  <c r="J62" i="21"/>
  <c r="K62" i="21" s="1"/>
  <c r="J55" i="21"/>
  <c r="K55" i="21" s="1"/>
  <c r="J20" i="21"/>
  <c r="K20" i="21" s="1"/>
  <c r="J22" i="21"/>
  <c r="K22" i="21" s="1"/>
  <c r="J37" i="21"/>
  <c r="K37" i="21" s="1"/>
  <c r="J60" i="21"/>
  <c r="K60" i="21" s="1"/>
  <c r="P34" i="21"/>
  <c r="Q34" i="21" s="1"/>
  <c r="P45" i="21"/>
  <c r="Q45" i="21" s="1"/>
  <c r="P39" i="21"/>
  <c r="Q39" i="21" s="1"/>
  <c r="P58" i="21"/>
  <c r="Q58" i="21" s="1"/>
  <c r="P16" i="21"/>
  <c r="Q16" i="21" s="1"/>
  <c r="P25" i="21"/>
  <c r="Q25" i="21" s="1"/>
  <c r="G38" i="21"/>
  <c r="H38" i="21" s="1"/>
  <c r="G57" i="21"/>
  <c r="H57" i="21" s="1"/>
  <c r="G21" i="21"/>
  <c r="H21" i="21" s="1"/>
  <c r="G26" i="21"/>
  <c r="H26" i="21" s="1"/>
  <c r="G34" i="21"/>
  <c r="H34" i="21" s="1"/>
  <c r="G39" i="21"/>
  <c r="H39" i="21" s="1"/>
  <c r="G45" i="21"/>
  <c r="H45" i="21" s="1"/>
  <c r="G61" i="21"/>
  <c r="H61" i="21" s="1"/>
  <c r="G54" i="21"/>
  <c r="H54" i="21" s="1"/>
  <c r="G55" i="21"/>
  <c r="H55" i="21" s="1"/>
  <c r="G52" i="21"/>
  <c r="H52" i="21" s="1"/>
  <c r="G44" i="21"/>
  <c r="H44" i="21" s="1"/>
  <c r="G43" i="21"/>
  <c r="H43" i="21" s="1"/>
  <c r="G24" i="21"/>
  <c r="H24" i="21" s="1"/>
  <c r="G23" i="21"/>
  <c r="H23" i="21" s="1"/>
  <c r="G35" i="21"/>
  <c r="H35" i="21" s="1"/>
  <c r="G40" i="21"/>
  <c r="H40" i="21" s="1"/>
  <c r="G42" i="21"/>
  <c r="H42" i="21" s="1"/>
  <c r="G16" i="21"/>
  <c r="H16" i="21" s="1"/>
  <c r="G62" i="21"/>
  <c r="H62" i="21" s="1"/>
  <c r="G59" i="21"/>
  <c r="H59" i="21" s="1"/>
  <c r="G60" i="21"/>
  <c r="H60" i="21" s="1"/>
  <c r="M16" i="21"/>
  <c r="N16" i="21" s="1"/>
  <c r="M27" i="21"/>
  <c r="N27" i="21" s="1"/>
  <c r="P35" i="21"/>
  <c r="Q35" i="21" s="1"/>
  <c r="P40" i="21"/>
  <c r="Q40" i="21" s="1"/>
  <c r="P37" i="21"/>
  <c r="Q37" i="21" s="1"/>
  <c r="P24" i="21"/>
  <c r="Q24" i="21" s="1"/>
  <c r="P18" i="21"/>
  <c r="Q18" i="21" s="1"/>
  <c r="M58" i="21"/>
  <c r="N58" i="21" s="1"/>
  <c r="M38" i="21"/>
  <c r="N38" i="21" s="1"/>
  <c r="M55" i="21"/>
  <c r="N55" i="21" s="1"/>
  <c r="P44" i="21"/>
  <c r="Q44" i="21" s="1"/>
  <c r="P38" i="21"/>
  <c r="Q38" i="21" s="1"/>
  <c r="P43" i="21"/>
  <c r="Q43" i="21" s="1"/>
  <c r="P57" i="21"/>
  <c r="Q57" i="21" s="1"/>
  <c r="P17" i="21"/>
  <c r="Q17" i="21" s="1"/>
  <c r="P27" i="21"/>
  <c r="Q27" i="21" s="1"/>
  <c r="M45" i="21"/>
  <c r="N45" i="21" s="1"/>
  <c r="G8" i="21" s="1"/>
  <c r="M56" i="21"/>
  <c r="N56" i="21" s="1"/>
  <c r="P61" i="21"/>
  <c r="Q61" i="21" s="1"/>
  <c r="P54" i="21"/>
  <c r="Q54" i="21" s="1"/>
  <c r="P21" i="21"/>
  <c r="Q21" i="21" s="1"/>
  <c r="P22" i="21"/>
  <c r="Q22" i="21" s="1"/>
  <c r="M43" i="21"/>
  <c r="N43" i="21" s="1"/>
  <c r="M20" i="21"/>
  <c r="N20" i="21" s="1"/>
  <c r="M18" i="21"/>
  <c r="N18" i="21" s="1"/>
  <c r="P53" i="21"/>
  <c r="Q53" i="21" s="1"/>
  <c r="P20" i="21"/>
  <c r="Q20" i="21" s="1"/>
  <c r="P62" i="21"/>
  <c r="Q62" i="21" s="1"/>
  <c r="P55" i="21"/>
  <c r="Q55" i="21" s="1"/>
  <c r="P60" i="21"/>
  <c r="Q60" i="21" s="1"/>
  <c r="M34" i="21"/>
  <c r="N34" i="21" s="1"/>
  <c r="M44" i="21"/>
  <c r="N44" i="21" s="1"/>
  <c r="M25" i="21"/>
  <c r="N25" i="21" s="1"/>
  <c r="M60" i="21"/>
  <c r="N60" i="21" s="1"/>
  <c r="M35" i="21"/>
  <c r="N35" i="21" s="1"/>
  <c r="M37" i="21"/>
  <c r="N37" i="21" s="1"/>
  <c r="M24" i="21"/>
  <c r="N24" i="21" s="1"/>
  <c r="M59" i="21"/>
  <c r="N59" i="21" s="1"/>
  <c r="M19" i="21"/>
  <c r="N19" i="21" s="1"/>
  <c r="G22" i="21"/>
  <c r="H22" i="21" s="1"/>
  <c r="M36" i="21"/>
  <c r="N36" i="21" s="1"/>
  <c r="M42" i="21"/>
  <c r="N42" i="21" s="1"/>
  <c r="M54" i="21"/>
  <c r="N54" i="21" s="1"/>
  <c r="M63" i="21"/>
  <c r="N63" i="21" s="1"/>
  <c r="M23" i="21"/>
  <c r="N23" i="21" s="1"/>
  <c r="M39" i="21"/>
  <c r="N39" i="21" s="1"/>
  <c r="M53" i="21"/>
  <c r="N53" i="21" s="1"/>
  <c r="M62" i="21"/>
  <c r="N62" i="21" s="1"/>
  <c r="M22" i="21"/>
  <c r="N22" i="21" s="1"/>
  <c r="M40" i="21"/>
  <c r="N40" i="21" s="1"/>
  <c r="M57" i="21"/>
  <c r="N57" i="21" s="1"/>
  <c r="M17" i="21"/>
  <c r="N17" i="21" s="1"/>
  <c r="M26" i="21"/>
  <c r="N26" i="21" s="1"/>
  <c r="M41" i="21"/>
  <c r="N41" i="21" s="1"/>
  <c r="M61" i="21"/>
  <c r="N61" i="21" s="1"/>
  <c r="M21" i="21"/>
  <c r="N21" i="21" s="1"/>
  <c r="P59" i="21"/>
  <c r="Q59" i="21" s="1"/>
  <c r="P26" i="21"/>
  <c r="Q26" i="21" s="1"/>
  <c r="P19" i="21"/>
  <c r="Q19" i="21" s="1"/>
  <c r="P63" i="21"/>
  <c r="Q63" i="21" s="1"/>
  <c r="P52" i="21"/>
  <c r="Q52" i="21" s="1"/>
  <c r="G58" i="21"/>
  <c r="H58" i="21" s="1"/>
  <c r="G25" i="21"/>
  <c r="H25" i="21" s="1"/>
  <c r="G18" i="21"/>
  <c r="H18" i="21" s="1"/>
  <c r="G56" i="21"/>
  <c r="H56" i="21" s="1"/>
  <c r="J42" i="21"/>
  <c r="K42" i="21" s="1"/>
  <c r="J36" i="21"/>
  <c r="K36" i="21" s="1"/>
  <c r="J41" i="21"/>
  <c r="K41" i="21" s="1"/>
  <c r="J57" i="21"/>
  <c r="K57" i="21" s="1"/>
  <c r="J24" i="21"/>
  <c r="K24" i="21" s="1"/>
  <c r="J17" i="21"/>
  <c r="K17" i="21" s="1"/>
  <c r="J59" i="21"/>
  <c r="K59" i="21" s="1"/>
  <c r="J26" i="21"/>
  <c r="K26" i="21" s="1"/>
  <c r="J19" i="21"/>
  <c r="K19" i="21" s="1"/>
  <c r="J38" i="21"/>
  <c r="K38" i="21" s="1"/>
  <c r="J61" i="21"/>
  <c r="K61" i="21" s="1"/>
  <c r="J21" i="21"/>
  <c r="K21" i="21" s="1"/>
  <c r="J63" i="21"/>
  <c r="K63" i="21" s="1"/>
  <c r="J52" i="21"/>
  <c r="K52" i="21" s="1"/>
  <c r="J23" i="21"/>
  <c r="K23" i="21" s="1"/>
  <c r="J44" i="21"/>
  <c r="K44" i="21" s="1"/>
  <c r="J43" i="21"/>
  <c r="K43" i="21" s="1"/>
  <c r="J54" i="21"/>
  <c r="K54" i="21" s="1"/>
  <c r="J34" i="21"/>
  <c r="K34" i="21" s="1"/>
  <c r="J39" i="21"/>
  <c r="K39" i="21" s="1"/>
  <c r="J45" i="21"/>
  <c r="K45" i="21" s="1"/>
  <c r="J16" i="21"/>
  <c r="K16" i="21" s="1"/>
  <c r="J58" i="21"/>
  <c r="K58" i="21" s="1"/>
  <c r="J25" i="21"/>
  <c r="K25" i="21" s="1"/>
  <c r="J18" i="21"/>
  <c r="K18" i="21" s="1"/>
  <c r="J56" i="21"/>
  <c r="K56" i="21" s="1"/>
  <c r="S36" i="21" l="1"/>
  <c r="S41" i="21"/>
  <c r="Q64" i="21"/>
  <c r="I9" i="21" s="1"/>
  <c r="K9" i="11" s="1"/>
  <c r="W19" i="21"/>
  <c r="S63" i="21"/>
  <c r="S53" i="21"/>
  <c r="S37" i="21"/>
  <c r="S35" i="21"/>
  <c r="W20" i="21"/>
  <c r="W22" i="21"/>
  <c r="W27" i="21"/>
  <c r="W17" i="21"/>
  <c r="N64" i="21"/>
  <c r="I8" i="21" s="1"/>
  <c r="I13" i="21" s="1"/>
  <c r="K64" i="21"/>
  <c r="I7" i="21" s="1"/>
  <c r="K7" i="11" s="1"/>
  <c r="L7" i="11" s="1"/>
  <c r="S58" i="21"/>
  <c r="S62" i="21"/>
  <c r="S44" i="21"/>
  <c r="W26" i="21"/>
  <c r="S42" i="21"/>
  <c r="S55" i="21"/>
  <c r="S57" i="21"/>
  <c r="H28" i="21"/>
  <c r="F6" i="21" s="1"/>
  <c r="W16" i="21"/>
  <c r="K46" i="21"/>
  <c r="S40" i="21"/>
  <c r="S54" i="21"/>
  <c r="S38" i="21"/>
  <c r="Q46" i="21"/>
  <c r="S61" i="21"/>
  <c r="W21" i="21"/>
  <c r="S56" i="21"/>
  <c r="E8" i="11"/>
  <c r="F8" i="11" s="1"/>
  <c r="G13" i="21"/>
  <c r="N28" i="21"/>
  <c r="F8" i="21" s="1"/>
  <c r="W23" i="21"/>
  <c r="S45" i="21"/>
  <c r="Q28" i="21"/>
  <c r="F9" i="21" s="1"/>
  <c r="H64" i="21"/>
  <c r="I6" i="21" s="1"/>
  <c r="S52" i="21"/>
  <c r="W18" i="21"/>
  <c r="S60" i="21"/>
  <c r="W24" i="21"/>
  <c r="S39" i="21"/>
  <c r="K28" i="21"/>
  <c r="F7" i="21" s="1"/>
  <c r="W25" i="21"/>
  <c r="N46" i="21"/>
  <c r="H8" i="21" s="1"/>
  <c r="S59" i="21"/>
  <c r="S43" i="21"/>
  <c r="H46" i="21"/>
  <c r="S34" i="21"/>
  <c r="O46" i="21"/>
  <c r="O47" i="21" s="1"/>
  <c r="F46" i="21"/>
  <c r="F47" i="21" s="1"/>
  <c r="F28" i="21"/>
  <c r="F30" i="21" s="1"/>
  <c r="O64" i="21"/>
  <c r="O66" i="21" s="1"/>
  <c r="O28" i="21"/>
  <c r="O30" i="21" s="1"/>
  <c r="L46" i="21"/>
  <c r="L47" i="21" s="1"/>
  <c r="L28" i="21"/>
  <c r="L30" i="21" s="1"/>
  <c r="L64" i="21"/>
  <c r="I64" i="21"/>
  <c r="I66" i="21" s="1"/>
  <c r="I28" i="21"/>
  <c r="I30" i="21" s="1"/>
  <c r="F64" i="21"/>
  <c r="F66" i="21" s="1"/>
  <c r="I46" i="21"/>
  <c r="I47" i="21" s="1"/>
  <c r="K8" i="11" l="1"/>
  <c r="L8" i="11" s="1"/>
  <c r="E32" i="11" s="1"/>
  <c r="S46" i="21"/>
  <c r="W28" i="21"/>
  <c r="F13" i="21"/>
  <c r="B8" i="11"/>
  <c r="J8" i="21"/>
  <c r="K8" i="21" s="1"/>
  <c r="H7" i="21"/>
  <c r="H7" i="11" s="1"/>
  <c r="G7" i="21"/>
  <c r="E7" i="11" s="1"/>
  <c r="D28" i="11"/>
  <c r="S64" i="21"/>
  <c r="H13" i="21"/>
  <c r="H8" i="11"/>
  <c r="B6" i="11"/>
  <c r="F12" i="21"/>
  <c r="F10" i="21"/>
  <c r="B9" i="11"/>
  <c r="H6" i="21"/>
  <c r="G6" i="21"/>
  <c r="I12" i="21"/>
  <c r="I10" i="21"/>
  <c r="K6" i="11"/>
  <c r="B7" i="11"/>
  <c r="G9" i="21"/>
  <c r="E9" i="11" s="1"/>
  <c r="H9" i="21"/>
  <c r="H9" i="11" s="1"/>
  <c r="S66" i="21"/>
  <c r="S30" i="21"/>
  <c r="S47" i="21"/>
  <c r="G8" i="11"/>
  <c r="C28" i="11" s="1"/>
  <c r="E28" i="11"/>
  <c r="D32" i="11" l="1"/>
  <c r="J6" i="21"/>
  <c r="J7" i="21"/>
  <c r="K7" i="21" s="1"/>
  <c r="M8" i="11"/>
  <c r="C32" i="11" s="1"/>
  <c r="K6" i="21"/>
  <c r="J9" i="21"/>
  <c r="K9" i="21" s="1"/>
  <c r="H6" i="11"/>
  <c r="H12" i="21"/>
  <c r="H10" i="21"/>
  <c r="D26" i="11"/>
  <c r="C8" i="11"/>
  <c r="D8" i="11" s="1"/>
  <c r="N8" i="11"/>
  <c r="E6" i="11"/>
  <c r="G10" i="21"/>
  <c r="G12" i="21"/>
  <c r="D30" i="11"/>
  <c r="I8" i="11"/>
  <c r="K10" i="21" l="1"/>
  <c r="C26" i="11"/>
  <c r="E30" i="11"/>
  <c r="J8" i="11"/>
  <c r="C30" i="11" s="1"/>
  <c r="J10" i="21"/>
  <c r="E26" i="11"/>
  <c r="O8" i="11"/>
  <c r="M7" i="11"/>
  <c r="D31" i="11"/>
  <c r="L6" i="11"/>
  <c r="L9" i="11"/>
  <c r="P8" i="11" l="1"/>
  <c r="M6" i="11"/>
  <c r="E31" i="11"/>
  <c r="M9" i="11"/>
  <c r="C31" i="11" l="1"/>
  <c r="C38" i="11" l="1"/>
  <c r="E38" i="11"/>
  <c r="F9" i="11" l="1"/>
  <c r="G9" i="11" s="1"/>
  <c r="F7" i="11" l="1"/>
  <c r="G7" i="11" l="1"/>
  <c r="I18" i="2"/>
  <c r="M18" i="2"/>
  <c r="E18" i="2"/>
  <c r="G18" i="2" s="1"/>
  <c r="I7" i="11" l="1"/>
  <c r="F6" i="2"/>
  <c r="J7" i="11" l="1"/>
  <c r="I9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J9" i="11" l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D27" i="11" l="1"/>
  <c r="E10" i="11" l="1"/>
  <c r="B17" i="11" s="1"/>
  <c r="K10" i="11"/>
  <c r="B19" i="11" s="1"/>
  <c r="L10" i="11"/>
  <c r="C19" i="11" s="1"/>
  <c r="F6" i="11"/>
  <c r="F10" i="11" l="1"/>
  <c r="C17" i="11" s="1"/>
  <c r="E27" i="11"/>
  <c r="H10" i="11"/>
  <c r="B18" i="11" s="1"/>
  <c r="B46" i="11" s="1"/>
  <c r="D29" i="11"/>
  <c r="B45" i="11"/>
  <c r="G45" i="11" s="1"/>
  <c r="B47" i="11"/>
  <c r="C49" i="11" s="1"/>
  <c r="M10" i="11"/>
  <c r="D19" i="11" s="1"/>
  <c r="C7" i="11"/>
  <c r="O7" i="11" s="1"/>
  <c r="N7" i="11"/>
  <c r="G6" i="11"/>
  <c r="I6" i="11"/>
  <c r="C47" i="11" l="1"/>
  <c r="G49" i="11"/>
  <c r="I10" i="11"/>
  <c r="C18" i="11" s="1"/>
  <c r="E29" i="11"/>
  <c r="G10" i="11"/>
  <c r="D17" i="11" s="1"/>
  <c r="C27" i="11"/>
  <c r="D7" i="11"/>
  <c r="P7" i="11" s="1"/>
  <c r="J6" i="11"/>
  <c r="C29" i="11" s="1"/>
  <c r="G46" i="11"/>
  <c r="C48" i="11"/>
  <c r="C50" i="11" l="1"/>
  <c r="J10" i="11"/>
  <c r="D18" i="11" s="1"/>
  <c r="G47" i="11"/>
  <c r="G48" i="11"/>
  <c r="C6" i="11" l="1"/>
  <c r="N6" i="11" l="1"/>
  <c r="D6" i="11"/>
  <c r="O6" i="11"/>
  <c r="P6" i="11" l="1"/>
  <c r="D25" i="11" l="1"/>
  <c r="N9" i="11" l="1"/>
  <c r="N10" i="11" s="1"/>
  <c r="B10" i="11"/>
  <c r="B16" i="11" s="1"/>
  <c r="C9" i="11"/>
  <c r="E25" i="11" s="1"/>
  <c r="O9" i="11" l="1"/>
  <c r="O10" i="11" s="1"/>
  <c r="B20" i="11"/>
  <c r="D33" i="11" s="1"/>
  <c r="B44" i="11"/>
  <c r="B50" i="11" s="1"/>
  <c r="C10" i="11"/>
  <c r="C16" i="11" s="1"/>
  <c r="C20" i="11" s="1"/>
  <c r="D9" i="11"/>
  <c r="C25" i="11" s="1"/>
  <c r="E33" i="11" l="1"/>
  <c r="P9" i="11"/>
  <c r="P10" i="11" s="1"/>
  <c r="G44" i="11"/>
  <c r="G50" i="11" s="1"/>
  <c r="D10" i="11"/>
  <c r="C5" i="17"/>
  <c r="F5" i="17" s="1"/>
  <c r="D21" i="11"/>
  <c r="D16" i="11"/>
  <c r="D20" i="11" s="1"/>
  <c r="B37" i="11" l="1"/>
  <c r="B38" i="11" s="1"/>
  <c r="D5" i="17"/>
  <c r="E5" i="17" s="1"/>
  <c r="F37" i="11" l="1"/>
  <c r="F38" i="11" s="1"/>
  <c r="F39" i="11" s="1"/>
  <c r="E49" i="11" s="1"/>
  <c r="D37" i="11"/>
  <c r="D38" i="11" s="1"/>
  <c r="D39" i="11" s="1"/>
  <c r="D49" i="11" s="1"/>
  <c r="C33" i="11"/>
  <c r="D13" i="17"/>
  <c r="D14" i="17"/>
  <c r="E45" i="11" l="1"/>
  <c r="D45" i="11"/>
  <c r="F45" i="11" s="1"/>
  <c r="F49" i="11"/>
  <c r="E44" i="11"/>
  <c r="E46" i="11"/>
  <c r="E48" i="11"/>
  <c r="D47" i="11"/>
  <c r="F47" i="11" s="1"/>
  <c r="E47" i="11"/>
  <c r="D46" i="11"/>
  <c r="F46" i="11" s="1"/>
  <c r="D44" i="11"/>
  <c r="F44" i="11" s="1"/>
  <c r="D48" i="11"/>
  <c r="F48" i="11" s="1"/>
  <c r="H5" i="17"/>
  <c r="G5" i="17"/>
  <c r="D15" i="17" s="1"/>
  <c r="D50" i="11" l="1"/>
  <c r="E50" i="11"/>
  <c r="F50" i="11"/>
  <c r="A56" i="11" s="1"/>
  <c r="C58" i="11" s="1"/>
  <c r="K5" i="17"/>
  <c r="D10" i="17" s="1"/>
  <c r="D17" i="17" s="1"/>
  <c r="I5" i="17"/>
  <c r="D9" i="17" s="1"/>
  <c r="D58" i="11" l="1"/>
  <c r="J5" i="17"/>
  <c r="D8" i="17" s="1"/>
  <c r="B58" i="11"/>
  <c r="E58" i="11"/>
</calcChain>
</file>

<file path=xl/sharedStrings.xml><?xml version="1.0" encoding="utf-8"?>
<sst xmlns="http://schemas.openxmlformats.org/spreadsheetml/2006/main" count="871" uniqueCount="276">
  <si>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</si>
  <si>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</si>
  <si>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</si>
  <si>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</si>
  <si>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</si>
  <si>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</si>
  <si>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</si>
  <si>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</si>
  <si>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</si>
  <si>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</si>
  <si>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</si>
  <si>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</si>
  <si>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</si>
  <si>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</si>
  <si>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</si>
  <si>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</si>
  <si>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</si>
  <si>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</si>
  <si>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</si>
  <si>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</si>
  <si>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</si>
  <si>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</si>
  <si>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</si>
  <si>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</si>
  <si>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</si>
  <si>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</si>
  <si>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</si>
  <si>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</si>
  <si>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</si>
  <si>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</si>
  <si>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</si>
  <si>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</si>
  <si>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</si>
  <si>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</si>
  <si>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</si>
  <si>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</si>
  <si>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</si>
  <si>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</si>
  <si>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</si>
  <si>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</si>
  <si>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</si>
  <si>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</si>
  <si>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</si>
  <si>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</si>
  <si>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</si>
  <si>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</si>
  <si>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</si>
  <si>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</si>
  <si>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</si>
  <si>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</si>
  <si>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</si>
  <si>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</si>
  <si>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</si>
  <si>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</si>
  <si>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</si>
  <si>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</si>
  <si>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</si>
  <si>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</si>
  <si>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</si>
  <si>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</si>
  <si>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</si>
  <si>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</si>
  <si>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</si>
  <si>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</si>
  <si>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</si>
  <si>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</si>
  <si>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</si>
  <si>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</si>
  <si>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</si>
  <si>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</si>
  <si>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</si>
  <si>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</si>
  <si>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</si>
  <si>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</si>
  <si>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</si>
  <si>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</si>
  <si>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</si>
  <si>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</si>
  <si>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</si>
  <si>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</si>
  <si>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</si>
  <si>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</si>
  <si>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</si>
  <si>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</si>
  <si>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</si>
  <si>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</si>
  <si>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</si>
  <si>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</si>
  <si>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</si>
  <si>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</si>
  <si>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</si>
  <si>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</si>
  <si>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</si>
  <si>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</si>
  <si>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</si>
  <si>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</si>
  <si>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</si>
  <si>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</si>
  <si>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</si>
  <si>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</si>
  <si>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</si>
  <si>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</si>
  <si>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</si>
  <si>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</si>
  <si>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</si>
  <si>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</si>
  <si>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</si>
  <si>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</si>
  <si>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</si>
  <si>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</si>
  <si>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</si>
  <si>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</si>
  <si>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</si>
  <si>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</si>
  <si>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</si>
  <si>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</si>
  <si>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</si>
  <si>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</si>
  <si>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</si>
  <si>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</si>
  <si>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</si>
  <si>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</si>
  <si>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</si>
  <si>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</si>
  <si>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</si>
  <si>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</si>
  <si>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</si>
  <si>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</si>
  <si>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</si>
  <si>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</si>
  <si>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</si>
  <si>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</si>
  <si>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</si>
  <si>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</si>
  <si>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</si>
  <si>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</si>
  <si>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</si>
  <si>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</si>
  <si>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</si>
  <si>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</si>
  <si>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</si>
  <si>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</si>
  <si>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</si>
  <si>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</si>
  <si>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</si>
  <si>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</si>
  <si>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</si>
  <si>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</si>
  <si>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</si>
  <si>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</si>
  <si>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</si>
  <si>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</si>
  <si>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</si>
  <si>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</si>
  <si>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</si>
  <si>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</si>
  <si>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</si>
  <si>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</si>
  <si>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</si>
  <si>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</si>
  <si>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</si>
  <si>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</si>
  <si>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</si>
  <si>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</si>
  <si>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</si>
  <si>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</si>
  <si>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</si>
  <si>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</si>
  <si>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</si>
  <si>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</si>
  <si>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</si>
  <si>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</si>
  <si>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</si>
  <si>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</si>
  <si>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</si>
  <si>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Import 2023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</si>
  <si>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</si>
  <si>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</si>
  <si>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</si>
  <si>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</si>
  <si>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</si>
  <si>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</si>
  <si>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</si>
  <si>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</si>
  <si>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</si>
  <si>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€ Llicències</t>
  </si>
  <si>
    <t>Preu perfil IVA inclòs</t>
  </si>
  <si>
    <t>Preu perfil IVA exclòs</t>
  </si>
  <si>
    <t>Import Total IVA exclòs</t>
  </si>
  <si>
    <t>Import Total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</si>
  <si>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</si>
  <si>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</si>
  <si>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</si>
  <si>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</si>
  <si>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SER9999</t>
  </si>
  <si>
    <t>Genèric</t>
  </si>
  <si>
    <t>€ Transició (recurrent)</t>
  </si>
  <si>
    <t>FTE</t>
  </si>
  <si>
    <t>Treball fet real en incidència. Es paga al final</t>
  </si>
  <si>
    <t>Treball valorat i acceptat. Es paga al final</t>
  </si>
  <si>
    <t>Tarifa plana</t>
  </si>
  <si>
    <t>Mesos transició</t>
  </si>
  <si>
    <t>Mesos</t>
  </si>
  <si>
    <t>Preu / hora /perfil</t>
  </si>
  <si>
    <t>Serveis d’evolutius recurrents</t>
  </si>
  <si>
    <t>PT  Evolutius recurrents</t>
  </si>
  <si>
    <t>€ Evolutius recurrents</t>
  </si>
  <si>
    <t>Import 2025</t>
  </si>
  <si>
    <t xml:space="preserve"> </t>
  </si>
  <si>
    <t>Capítol</t>
  </si>
  <si>
    <t>II</t>
  </si>
  <si>
    <t>VI</t>
  </si>
  <si>
    <t>36 mesos</t>
  </si>
  <si>
    <t>2 transició</t>
  </si>
  <si>
    <t>34 servei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</si>
  <si>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</si>
  <si>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Data inici possible pròrroga</t>
  </si>
  <si>
    <t>Data màxima fi pròrroga</t>
  </si>
  <si>
    <t>Import 2026</t>
  </si>
  <si>
    <t>ANYS 2024-2025</t>
  </si>
  <si>
    <t>AM Internet (3+2)</t>
  </si>
  <si>
    <t>-</t>
  </si>
  <si>
    <t xml:space="preserve">Cap de projecte sènior </t>
  </si>
  <si>
    <t>CAP 2</t>
  </si>
  <si>
    <t>CAP 6</t>
  </si>
  <si>
    <t>SER0608</t>
  </si>
  <si>
    <t>PYTHON</t>
  </si>
  <si>
    <t>Framework Python / Elastic</t>
  </si>
  <si>
    <t>SER0610</t>
  </si>
  <si>
    <t>Framework WordPress</t>
  </si>
  <si>
    <t>WORDPRESS</t>
  </si>
  <si>
    <t>SER0505</t>
  </si>
  <si>
    <t>NASIA</t>
  </si>
  <si>
    <t>SER0609</t>
  </si>
  <si>
    <t>Framework Drupal</t>
  </si>
  <si>
    <t>DRUPAL</t>
  </si>
  <si>
    <t>SER0669</t>
  </si>
  <si>
    <t>Framework Javascript</t>
  </si>
  <si>
    <t>JAVASCRIPT</t>
  </si>
  <si>
    <t>SER0184</t>
  </si>
  <si>
    <t>Gestio del cicle de vida dels webs</t>
  </si>
  <si>
    <t>Tecnologia</t>
  </si>
  <si>
    <t>STM</t>
  </si>
  <si>
    <t>SER0691</t>
  </si>
  <si>
    <t>Govern de les Infraestructures web</t>
  </si>
  <si>
    <t>SER0366</t>
  </si>
  <si>
    <t>Configuració de plataformes de servei</t>
  </si>
  <si>
    <t>SER0156</t>
  </si>
  <si>
    <t>Intranet</t>
  </si>
  <si>
    <t>LIFERAY</t>
  </si>
  <si>
    <t>ANY 2023 2 mesos de transició + 2 mesos de servei</t>
  </si>
  <si>
    <t>SER0702</t>
  </si>
  <si>
    <t>Portal Notícies</t>
  </si>
  <si>
    <t>SER0706</t>
  </si>
  <si>
    <t>Gestió de versions (CI/CD)</t>
  </si>
  <si>
    <t>ANY 2026 8 mesos de servei</t>
  </si>
  <si>
    <t>Full Stack Developer en PYTHON</t>
  </si>
  <si>
    <t>Full Stack Developer en DRUPAL</t>
  </si>
  <si>
    <t>Suport sènior Serveis Transversals</t>
  </si>
  <si>
    <t>Suport júnior Serveis Transversals</t>
  </si>
  <si>
    <t>Consultor/a sènior Wordpress</t>
  </si>
  <si>
    <t>Consultor/a sènior DRUPAL</t>
  </si>
  <si>
    <t>Consultor/a júnior DRUPAL</t>
  </si>
  <si>
    <t>Consultor/a sènior JAVASCRIP</t>
  </si>
  <si>
    <r>
      <rPr>
        <b/>
        <sz val="11"/>
        <color theme="1"/>
        <rFont val="Calibri"/>
        <family val="2"/>
        <scheme val="minor"/>
      </rPr>
      <t>Consultor/a sènior JAVASCRIP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SPA</t>
    </r>
  </si>
  <si>
    <t>Analista programador/a LIFERAY</t>
  </si>
  <si>
    <t>Arquitecte/a LIFERAY</t>
  </si>
  <si>
    <t>Arquitecte/a DevOps</t>
  </si>
  <si>
    <t>Consultor/a referent Serveis Transversals</t>
  </si>
  <si>
    <t>Costos salarials - Seguretat Social (34%)*</t>
  </si>
  <si>
    <t>Despeses generals d’estructura (6,40%)**</t>
  </si>
  <si>
    <t>Benefici industrial (20%)**</t>
  </si>
  <si>
    <t>Cost 
Indirecte (6,4 %)</t>
  </si>
  <si>
    <t>*Percentatge calculat sobre el salari brut.</t>
  </si>
  <si>
    <t>**Percentatge calculat sobre el cost total del contracte.</t>
  </si>
  <si>
    <t>Import màxim €/hora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</si>
</sst>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_-* #,##0\ _€_-;\-* #,##0\ _€_-;_-* &quot;-&quot;??\ _€_-;_-@_-"/>
    <numFmt numFmtId="172" formatCode="#,##0.000"/>
    <numFmt numFmtId="173" formatCode="#,##0.00000"/>
  </numFmts>
  <fonts count="4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10"/>
      <color rgb="FFFF0000"/>
      <name val="Calibri"/>
      <family val="2"/>
    </font>
    <font>
      <b/>
      <sz val="1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 style="thin">
        <color theme="2"/>
      </right>
      <top/>
      <bottom/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2"/>
      </right>
      <top style="medium">
        <color indexed="64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320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0" fontId="0" fillId="0" borderId="0" xfId="0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10" fontId="0" fillId="0" borderId="0" xfId="0" applyNumberFormat="1"/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13" borderId="0" xfId="0" applyFont="1" applyFill="1"/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4" fontId="11" fillId="11" borderId="0" xfId="0" applyNumberFormat="1" applyFont="1" applyFill="1" applyBorder="1" applyAlignment="1">
      <alignment horizontal="center" vertical="center"/>
    </xf>
    <xf numFmtId="164" fontId="11" fillId="11" borderId="0" xfId="0" applyNumberFormat="1" applyFont="1" applyFill="1" applyAlignment="1"/>
    <xf numFmtId="0" fontId="0" fillId="11" borderId="1" xfId="0" applyFill="1" applyBorder="1" applyAlignment="1">
      <alignment wrapText="1"/>
    </xf>
    <xf numFmtId="0" fontId="0" fillId="11" borderId="1" xfId="0" applyFill="1" applyBorder="1" applyAlignment="1">
      <alignment horizontal="left"/>
    </xf>
    <xf numFmtId="0" fontId="0" fillId="11" borderId="9" xfId="0" applyFill="1" applyBorder="1" applyAlignment="1">
      <alignment wrapText="1"/>
    </xf>
    <xf numFmtId="44" fontId="23" fillId="11" borderId="2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5" fillId="17" borderId="0" xfId="0" applyFont="1" applyFill="1" applyAlignment="1">
      <alignment wrapText="1"/>
    </xf>
    <xf numFmtId="14" fontId="29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5" fillId="17" borderId="0" xfId="0" applyFont="1" applyFill="1" applyAlignment="1">
      <alignment horizontal="left"/>
    </xf>
    <xf numFmtId="0" fontId="7" fillId="13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1" fillId="0" borderId="9" xfId="0" applyFont="1" applyBorder="1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 applyProtection="1">
      <alignment wrapText="1"/>
      <protection locked="0"/>
    </xf>
    <xf numFmtId="0" fontId="9" fillId="17" borderId="0" xfId="0" applyFont="1" applyFill="1" applyProtection="1">
      <protection locked="0"/>
    </xf>
    <xf numFmtId="0" fontId="0" fillId="0" borderId="7" xfId="0" applyFill="1" applyBorder="1"/>
    <xf numFmtId="0" fontId="0" fillId="0" borderId="7" xfId="0" applyBorder="1"/>
    <xf numFmtId="0" fontId="0" fillId="0" borderId="0" xfId="0" applyFont="1" applyAlignment="1">
      <alignment horizontal="center" wrapText="1"/>
    </xf>
    <xf numFmtId="171" fontId="9" fillId="0" borderId="0" xfId="10" applyNumberFormat="1" applyFont="1" applyAlignment="1">
      <alignment horizontal="center"/>
    </xf>
    <xf numFmtId="172" fontId="11" fillId="11" borderId="0" xfId="0" applyNumberFormat="1" applyFont="1" applyFill="1" applyBorder="1" applyAlignment="1">
      <alignment horizontal="center" vertical="center"/>
    </xf>
    <xf numFmtId="0" fontId="0" fillId="0" borderId="0" xfId="0" applyFont="1"/>
    <xf numFmtId="44" fontId="14" fillId="11" borderId="2" xfId="0" applyNumberFormat="1" applyFont="1" applyFill="1" applyBorder="1" applyAlignment="1">
      <alignment horizontal="center" vertical="center"/>
    </xf>
    <xf numFmtId="10" fontId="15" fillId="0" borderId="0" xfId="0" applyNumberFormat="1" applyFont="1"/>
    <xf numFmtId="164" fontId="15" fillId="0" borderId="0" xfId="0" applyNumberFormat="1" applyFont="1"/>
    <xf numFmtId="0" fontId="20" fillId="20" borderId="10" xfId="0" applyFont="1" applyFill="1" applyBorder="1" applyAlignment="1">
      <alignment horizontal="center" vertical="center" wrapText="1"/>
    </xf>
    <xf numFmtId="0" fontId="20" fillId="20" borderId="17" xfId="0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8" fontId="22" fillId="0" borderId="0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22" fillId="0" borderId="18" xfId="0" applyNumberFormat="1" applyFont="1" applyBorder="1" applyAlignment="1">
      <alignment horizontal="right" vertical="center"/>
    </xf>
    <xf numFmtId="44" fontId="22" fillId="0" borderId="16" xfId="0" applyNumberFormat="1" applyFont="1" applyBorder="1" applyAlignment="1">
      <alignment horizontal="right" vertical="center" wrapText="1"/>
    </xf>
    <xf numFmtId="4" fontId="1" fillId="0" borderId="0" xfId="0" applyNumberFormat="1" applyFont="1" applyAlignment="1">
      <alignment horizontal="left"/>
    </xf>
    <xf numFmtId="0" fontId="1" fillId="0" borderId="0" xfId="0" applyFont="1" applyAlignment="1" applyProtection="1">
      <alignment horizontal="right"/>
      <protection locked="0"/>
    </xf>
    <xf numFmtId="9" fontId="9" fillId="0" borderId="0" xfId="2" applyFont="1"/>
    <xf numFmtId="14" fontId="29" fillId="21" borderId="0" xfId="0" applyNumberFormat="1" applyFont="1" applyFill="1" applyAlignment="1">
      <alignment wrapText="1"/>
    </xf>
    <xf numFmtId="14" fontId="29" fillId="21" borderId="0" xfId="0" applyNumberFormat="1" applyFont="1" applyFill="1"/>
    <xf numFmtId="10" fontId="2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44" fontId="41" fillId="11" borderId="2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 applyProtection="1">
      <alignment horizontal="center"/>
      <protection hidden="1"/>
    </xf>
    <xf numFmtId="44" fontId="21" fillId="0" borderId="2" xfId="0" applyNumberFormat="1" applyFont="1" applyFill="1" applyBorder="1" applyAlignment="1">
      <alignment horizontal="right" vertical="center"/>
    </xf>
    <xf numFmtId="0" fontId="42" fillId="0" borderId="0" xfId="0" applyFont="1"/>
    <xf numFmtId="43" fontId="0" fillId="0" borderId="0" xfId="10" applyFont="1"/>
    <xf numFmtId="43" fontId="1" fillId="0" borderId="0" xfId="2" applyNumberFormat="1" applyFont="1"/>
    <xf numFmtId="164" fontId="9" fillId="17" borderId="0" xfId="0" applyNumberFormat="1" applyFont="1" applyFill="1"/>
    <xf numFmtId="43" fontId="9" fillId="0" borderId="0" xfId="10" applyFont="1" applyAlignment="1">
      <alignment horizontal="center"/>
    </xf>
    <xf numFmtId="43" fontId="0" fillId="0" borderId="0" xfId="0" applyNumberFormat="1"/>
    <xf numFmtId="9" fontId="43" fillId="0" borderId="0" xfId="2" applyFont="1"/>
    <xf numFmtId="9" fontId="0" fillId="0" borderId="0" xfId="2" applyFont="1"/>
    <xf numFmtId="0" fontId="6" fillId="14" borderId="25" xfId="0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/>
    </xf>
    <xf numFmtId="0" fontId="0" fillId="23" borderId="2" xfId="0" applyFill="1" applyBorder="1"/>
    <xf numFmtId="3" fontId="0" fillId="23" borderId="2" xfId="0" applyNumberFormat="1" applyFont="1" applyFill="1" applyBorder="1" applyAlignment="1">
      <alignment horizontal="center" vertical="center"/>
    </xf>
    <xf numFmtId="0" fontId="0" fillId="23" borderId="2" xfId="0" applyFont="1" applyFill="1" applyBorder="1" applyAlignment="1" applyProtection="1">
      <alignment horizontal="center"/>
      <protection locked="0"/>
    </xf>
    <xf numFmtId="0" fontId="0" fillId="23" borderId="2" xfId="0" applyFill="1" applyBorder="1" applyAlignment="1">
      <alignment horizontal="center"/>
    </xf>
    <xf numFmtId="173" fontId="29" fillId="23" borderId="0" xfId="0" applyNumberFormat="1" applyFont="1" applyFill="1" applyBorder="1" applyAlignment="1">
      <alignment horizontal="center" vertical="center"/>
    </xf>
    <xf numFmtId="4" fontId="29" fillId="23" borderId="0" xfId="0" applyNumberFormat="1" applyFont="1" applyFill="1" applyBorder="1" applyAlignment="1">
      <alignment horizontal="center" vertical="center"/>
    </xf>
    <xf numFmtId="164" fontId="29" fillId="23" borderId="0" xfId="0" applyNumberFormat="1" applyFont="1" applyFill="1" applyBorder="1" applyAlignment="1">
      <alignment horizontal="right" vertical="center"/>
    </xf>
    <xf numFmtId="172" fontId="29" fillId="23" borderId="0" xfId="0" applyNumberFormat="1" applyFont="1" applyFill="1" applyBorder="1" applyAlignment="1">
      <alignment horizontal="center" vertical="center"/>
    </xf>
    <xf numFmtId="164" fontId="1" fillId="23" borderId="0" xfId="0" applyNumberFormat="1" applyFont="1" applyFill="1"/>
    <xf numFmtId="0" fontId="0" fillId="23" borderId="2" xfId="0" applyFill="1" applyBorder="1" applyAlignment="1"/>
    <xf numFmtId="0" fontId="44" fillId="0" borderId="0" xfId="0" applyFont="1"/>
    <xf numFmtId="164" fontId="0" fillId="17" borderId="0" xfId="0" applyNumberFormat="1" applyFont="1" applyFill="1"/>
    <xf numFmtId="0" fontId="8" fillId="22" borderId="0" xfId="0" applyFont="1" applyFill="1" applyAlignment="1">
      <alignment horizontal="center" vertical="center" wrapText="1"/>
    </xf>
    <xf numFmtId="0" fontId="0" fillId="22" borderId="2" xfId="0" applyFill="1" applyBorder="1"/>
    <xf numFmtId="173" fontId="29" fillId="22" borderId="0" xfId="0" applyNumberFormat="1" applyFont="1" applyFill="1" applyBorder="1" applyAlignment="1">
      <alignment horizontal="center" vertical="center"/>
    </xf>
    <xf numFmtId="4" fontId="29" fillId="22" borderId="0" xfId="0" applyNumberFormat="1" applyFont="1" applyFill="1" applyBorder="1" applyAlignment="1">
      <alignment horizontal="center" vertical="center"/>
    </xf>
    <xf numFmtId="164" fontId="29" fillId="22" borderId="0" xfId="0" applyNumberFormat="1" applyFont="1" applyFill="1" applyBorder="1" applyAlignment="1">
      <alignment horizontal="right" vertical="center"/>
    </xf>
    <xf numFmtId="14" fontId="29" fillId="22" borderId="2" xfId="0" applyNumberFormat="1" applyFont="1" applyFill="1" applyBorder="1" applyAlignment="1">
      <alignment horizontal="center"/>
    </xf>
    <xf numFmtId="0" fontId="0" fillId="22" borderId="2" xfId="0" applyFill="1" applyBorder="1" applyAlignment="1" applyProtection="1">
      <alignment horizontal="center"/>
      <protection locked="0"/>
    </xf>
    <xf numFmtId="164" fontId="29" fillId="22" borderId="2" xfId="1" applyNumberFormat="1" applyFont="1" applyFill="1" applyBorder="1" applyAlignment="1">
      <alignment horizontal="center" vertical="center"/>
    </xf>
    <xf numFmtId="164" fontId="1" fillId="22" borderId="0" xfId="0" applyNumberFormat="1" applyFont="1" applyFill="1"/>
    <xf numFmtId="0" fontId="1" fillId="22" borderId="0" xfId="0" applyFont="1" applyFill="1"/>
    <xf numFmtId="0" fontId="0" fillId="22" borderId="1" xfId="0" applyFill="1" applyBorder="1" applyAlignment="1">
      <alignment wrapText="1"/>
    </xf>
    <xf numFmtId="0" fontId="0" fillId="22" borderId="1" xfId="0" applyFill="1" applyBorder="1" applyAlignment="1">
      <alignment horizontal="left"/>
    </xf>
    <xf numFmtId="0" fontId="0" fillId="22" borderId="9" xfId="0" applyFill="1" applyBorder="1" applyAlignment="1">
      <alignment wrapText="1"/>
    </xf>
    <xf numFmtId="4" fontId="11" fillId="22" borderId="0" xfId="0" applyNumberFormat="1" applyFont="1" applyFill="1" applyBorder="1" applyAlignment="1">
      <alignment horizontal="center" vertical="center"/>
    </xf>
    <xf numFmtId="164" fontId="11" fillId="22" borderId="0" xfId="0" applyNumberFormat="1" applyFont="1" applyFill="1" applyAlignment="1"/>
    <xf numFmtId="0" fontId="0" fillId="22" borderId="1" xfId="0" applyFill="1" applyBorder="1" applyAlignment="1">
      <alignment horizontal="center" vertical="center"/>
    </xf>
    <xf numFmtId="0" fontId="1" fillId="22" borderId="9" xfId="0" applyFont="1" applyFill="1" applyBorder="1" applyAlignment="1">
      <alignment wrapText="1"/>
    </xf>
    <xf numFmtId="164" fontId="11" fillId="22" borderId="0" xfId="0" applyNumberFormat="1" applyFont="1" applyFill="1" applyBorder="1" applyAlignment="1">
      <alignment horizontal="right" vertical="center"/>
    </xf>
    <xf numFmtId="14" fontId="11" fillId="0" borderId="0" xfId="0" applyNumberFormat="1" applyFont="1"/>
    <xf numFmtId="0" fontId="11" fillId="0" borderId="0" xfId="0" applyFont="1"/>
    <xf numFmtId="0" fontId="9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1" fillId="0" borderId="0" xfId="0" applyFont="1" applyFill="1" applyAlignment="1" applyProtection="1">
      <alignment wrapText="1"/>
      <protection locked="0"/>
    </xf>
    <xf numFmtId="0" fontId="3" fillId="0" borderId="0" xfId="0" applyFont="1" applyFill="1"/>
    <xf numFmtId="4" fontId="0" fillId="0" borderId="0" xfId="0" applyNumberFormat="1"/>
    <xf numFmtId="0" fontId="45" fillId="0" borderId="0" xfId="0" applyFont="1" applyBorder="1" applyAlignment="1">
      <alignment horizontal="left" vertical="top"/>
    </xf>
    <xf numFmtId="0" fontId="1" fillId="11" borderId="7" xfId="0" applyFont="1" applyFill="1" applyBorder="1" applyAlignment="1">
      <alignment horizontal="left"/>
    </xf>
    <xf numFmtId="0" fontId="7" fillId="18" borderId="26" xfId="0" applyFont="1" applyFill="1" applyBorder="1" applyAlignment="1">
      <alignment horizontal="center" vertical="center" wrapText="1"/>
    </xf>
    <xf numFmtId="0" fontId="7" fillId="18" borderId="27" xfId="0" applyFont="1" applyFill="1" applyBorder="1" applyAlignment="1">
      <alignment horizontal="center" vertical="center" wrapText="1"/>
    </xf>
    <xf numFmtId="0" fontId="7" fillId="18" borderId="28" xfId="0" applyFont="1" applyFill="1" applyBorder="1" applyAlignment="1">
      <alignment horizontal="center" vertical="center" wrapText="1"/>
    </xf>
    <xf numFmtId="0" fontId="7" fillId="18" borderId="22" xfId="0" applyFont="1" applyFill="1" applyBorder="1" applyAlignment="1">
      <alignment horizontal="center" vertical="center" wrapText="1"/>
    </xf>
    <xf numFmtId="0" fontId="7" fillId="18" borderId="23" xfId="0" applyFont="1" applyFill="1" applyBorder="1" applyAlignment="1">
      <alignment horizontal="center" vertical="center" wrapText="1"/>
    </xf>
    <xf numFmtId="0" fontId="7" fillId="18" borderId="24" xfId="0" applyFont="1" applyFill="1" applyBorder="1" applyAlignment="1">
      <alignment horizontal="center" vertical="center" wrapText="1"/>
    </xf>
    <xf numFmtId="0" fontId="39" fillId="14" borderId="20" xfId="0" applyFont="1" applyFill="1" applyBorder="1" applyAlignment="1">
      <alignment horizontal="center" vertical="center" wrapText="1"/>
    </xf>
    <xf numFmtId="0" fontId="39" fillId="14" borderId="21" xfId="0" applyFont="1" applyFill="1" applyBorder="1" applyAlignment="1">
      <alignment horizontal="center" vertical="center" wrapText="1"/>
    </xf>
    <xf numFmtId="0" fontId="40" fillId="14" borderId="3" xfId="0" applyFont="1" applyFill="1" applyBorder="1" applyAlignment="1">
      <alignment horizontal="center" vertical="center" wrapText="1"/>
    </xf>
    <xf numFmtId="0" fontId="40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6" fillId="14" borderId="29" xfId="0" applyFont="1" applyFill="1" applyBorder="1" applyAlignment="1">
      <alignment horizontal="center" vertical="center" wrapText="1"/>
    </xf>
    <xf numFmtId="0" fontId="6" fillId="14" borderId="30" xfId="0" applyFont="1" applyFill="1" applyBorder="1" applyAlignment="1">
      <alignment horizontal="center" vertical="center"/>
    </xf>
    <xf numFmtId="0" fontId="6" fillId="14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left"/>
    </xf>
    <xf numFmtId="4" fontId="1" fillId="17" borderId="33" xfId="0" applyNumberFormat="1" applyFont="1" applyFill="1" applyBorder="1" applyAlignment="1">
      <alignment horizontal="center"/>
    </xf>
    <xf numFmtId="0" fontId="0" fillId="0" borderId="32" xfId="0" applyFill="1" applyBorder="1" applyAlignment="1">
      <alignment horizontal="left"/>
    </xf>
    <xf numFmtId="0" fontId="1" fillId="0" borderId="34" xfId="0" applyFont="1" applyFill="1" applyBorder="1" applyAlignment="1">
      <alignment horizontal="left"/>
    </xf>
    <xf numFmtId="4" fontId="1" fillId="0" borderId="35" xfId="0" applyNumberFormat="1" applyFont="1" applyFill="1" applyBorder="1" applyAlignment="1">
      <alignment horizontal="center"/>
    </xf>
    <xf numFmtId="4" fontId="1" fillId="17" borderId="37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 applyProtection="1">
      <alignment horizontal="center"/>
      <protection locked="0"/>
    </xf>
    <xf numFmtId="4" fontId="1" fillId="17" borderId="36" xfId="0" applyNumberFormat="1" applyFont="1" applyFill="1" applyBorder="1" applyAlignment="1" applyProtection="1">
      <alignment horizontal="center"/>
      <protection locked="0"/>
    </xf>
  </cellXfs>
  <cellStyles count="11">
    <cellStyle name="Coma 2" xfId="5"/>
    <cellStyle name="Millares" xfId="10" builtinId="3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orcentaje" xfId="2" builtinId="5"/>
  </cellStyles>
  <dxfs count="2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204787</xdr:colOff>
          <xdr:row>31</xdr:row>
          <xdr:rowOff>92869</xdr:rowOff>
        </xdr:from>
        <xdr:to>
          <xdr:col>2</xdr:col>
          <xdr:colOff>152400</xdr:colOff>
          <xdr:row>32</xdr:row>
          <xdr:rowOff>71437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204787</xdr:colOff>
          <xdr:row>31</xdr:row>
          <xdr:rowOff>92869</xdr:rowOff>
        </xdr:from>
        <xdr:to>
          <xdr:col>2</xdr:col>
          <xdr:colOff>152400</xdr:colOff>
          <xdr:row>32</xdr:row>
          <xdr:rowOff>71437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204787</xdr:colOff>
          <xdr:row>31</xdr:row>
          <xdr:rowOff>92869</xdr:rowOff>
        </xdr:from>
        <xdr:to>
          <xdr:col>2</xdr:col>
          <xdr:colOff>152400</xdr:colOff>
          <xdr:row>32</xdr:row>
          <xdr:rowOff>71437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204787</xdr:colOff>
          <xdr:row>31</xdr:row>
          <xdr:rowOff>92869</xdr:rowOff>
        </xdr:from>
        <xdr:to>
          <xdr:col>2</xdr:col>
          <xdr:colOff>152400</xdr:colOff>
          <xdr:row>32</xdr:row>
          <xdr:rowOff>71437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204787</xdr:colOff>
          <xdr:row>31</xdr:row>
          <xdr:rowOff>92869</xdr:rowOff>
        </xdr:from>
        <xdr:to>
          <xdr:col>2</xdr:col>
          <xdr:colOff>152400</xdr:colOff>
          <xdr:row>32</xdr:row>
          <xdr:rowOff>71437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2"/>
  <dimension ref="A1:AC72"/>
  <sheetViews>
    <sheetView tabSelected="1" zoomScale="80" zoomScaleNormal="80" workbookViewId="0"/>
  </sheetViews>
  <sheetFormatPr baseColWidth="10" defaultColWidth="11.42578125" defaultRowHeight="15" x14ac:dyDescent="0.25"/>
  <cols>
    <col min="1" max="1" width="19.7109375" style="204" customWidth="1"/>
    <col min="2" max="2" width="11.85546875" style="58" customWidth="1"/>
    <col min="3" max="3" width="42.28515625" style="57" customWidth="1"/>
    <col min="4" max="4" width="8.28515625" style="58" customWidth="1"/>
    <col min="5" max="5" width="33.140625" style="209" customWidth="1"/>
    <col min="6" max="7" width="14.42578125" style="57" customWidth="1"/>
    <col min="8" max="8" width="14.42578125" style="59" customWidth="1"/>
    <col min="9" max="9" width="16.85546875" style="59" customWidth="1"/>
    <col min="10" max="10" width="14" style="59" customWidth="1"/>
    <col min="11" max="11" width="13.85546875" style="59" customWidth="1"/>
    <col min="12" max="12" width="14.140625" style="59" customWidth="1"/>
    <col min="13" max="13" width="14.5703125" style="59" customWidth="1"/>
    <col min="14" max="14" width="17.42578125" style="59" bestFit="1" customWidth="1"/>
    <col min="15" max="15" width="14.42578125" style="59" customWidth="1"/>
    <col min="16" max="16" width="6.85546875" style="59" customWidth="1"/>
    <col min="17" max="17" width="16" style="59" customWidth="1"/>
    <col min="18" max="18" width="13.85546875" style="59" bestFit="1" customWidth="1"/>
    <col min="19" max="19" width="14.7109375" style="59" customWidth="1"/>
    <col min="20" max="20" width="16.42578125" style="59" customWidth="1"/>
    <col min="21" max="21" width="8.85546875" style="204" customWidth="1"/>
    <col min="22" max="22" width="13.28515625" style="59" customWidth="1"/>
    <col min="23" max="23" width="20.140625" style="59" bestFit="1" customWidth="1"/>
    <col min="24" max="25" width="17.85546875" style="60" bestFit="1" customWidth="1"/>
    <col min="26" max="26" width="14.42578125" style="99" customWidth="1"/>
    <col min="27" max="27" width="11.5703125" style="60" bestFit="1" customWidth="1"/>
    <col min="28" max="28" width="18.28515625" style="60" bestFit="1" customWidth="1"/>
    <col min="29" max="29" width="17.28515625" style="60" customWidth="1"/>
    <col min="30" max="30" width="14" style="59" customWidth="1"/>
    <col min="31" max="32" width="11.42578125" style="59"/>
    <col min="33" max="33" width="12.7109375" style="59" bestFit="1" customWidth="1"/>
    <col min="34" max="16384" width="11.42578125" style="59"/>
  </cols>
  <sheetData>
    <row r="1" spans="1:29" ht="31.5" customHeight="1" x14ac:dyDescent="0.25">
      <c r="A1" s="64" t="s">
        <v>220</v>
      </c>
      <c r="B1" s="105"/>
      <c r="C1" s="175"/>
      <c r="D1" s="64"/>
      <c r="E1" s="206"/>
      <c r="F1" s="63" t="s">
        <v>212</v>
      </c>
      <c r="G1" s="59"/>
      <c r="J1" s="220"/>
      <c r="T1" s="204"/>
      <c r="U1" s="59"/>
      <c r="V1" s="214"/>
      <c r="X1" s="59"/>
      <c r="Z1" s="59"/>
      <c r="AA1" s="59"/>
      <c r="AB1" s="59"/>
      <c r="AC1" s="59"/>
    </row>
    <row r="2" spans="1:29" ht="16.5" customHeight="1" x14ac:dyDescent="0.25">
      <c r="A2" s="203" t="s">
        <v>115</v>
      </c>
      <c r="B2" s="238">
        <v>45170</v>
      </c>
      <c r="C2" s="239"/>
      <c r="D2" s="108"/>
      <c r="E2" s="207"/>
      <c r="F2" s="241" t="s">
        <v>213</v>
      </c>
      <c r="G2" s="71"/>
      <c r="I2" s="249"/>
      <c r="S2" s="99"/>
      <c r="T2" s="214"/>
      <c r="U2" s="59"/>
      <c r="V2" s="214"/>
      <c r="X2" s="59"/>
      <c r="Y2" s="59"/>
      <c r="Z2" s="59"/>
      <c r="AA2" s="59"/>
      <c r="AB2" s="59"/>
      <c r="AC2" s="59"/>
    </row>
    <row r="3" spans="1:29" ht="18" customHeight="1" x14ac:dyDescent="0.25">
      <c r="A3" s="39" t="s">
        <v>137</v>
      </c>
      <c r="B3" s="238">
        <v>45229</v>
      </c>
      <c r="C3" s="239"/>
      <c r="D3" s="108"/>
      <c r="E3" s="207"/>
      <c r="F3" s="241" t="s">
        <v>214</v>
      </c>
      <c r="G3" s="71"/>
      <c r="I3" s="71"/>
      <c r="S3" s="99"/>
      <c r="T3" s="214"/>
      <c r="U3" s="59"/>
      <c r="V3" s="214"/>
      <c r="X3" s="59"/>
      <c r="Y3" s="59"/>
      <c r="Z3" s="59"/>
      <c r="AA3" s="59"/>
      <c r="AB3" s="59"/>
      <c r="AC3" s="59"/>
    </row>
    <row r="4" spans="1:29" ht="21.75" customHeight="1" x14ac:dyDescent="0.25">
      <c r="A4" s="203" t="s">
        <v>171</v>
      </c>
      <c r="B4" s="238">
        <v>46265</v>
      </c>
      <c r="C4" s="239"/>
      <c r="D4" s="107"/>
      <c r="E4" s="208"/>
      <c r="F4" s="176"/>
      <c r="G4" s="73"/>
      <c r="I4" s="221"/>
      <c r="S4" s="99"/>
      <c r="T4" s="214"/>
      <c r="U4" s="60"/>
      <c r="V4" s="214"/>
      <c r="X4" s="59"/>
      <c r="Y4" s="59"/>
      <c r="Z4" s="59"/>
      <c r="AA4" s="59"/>
      <c r="AB4" s="59"/>
      <c r="AC4" s="59"/>
    </row>
    <row r="5" spans="1:29" ht="30" x14ac:dyDescent="0.25">
      <c r="A5" s="203" t="s">
        <v>216</v>
      </c>
      <c r="B5" s="238">
        <v>46266</v>
      </c>
      <c r="C5" s="106"/>
      <c r="D5" s="61"/>
      <c r="E5" s="109" t="s">
        <v>0</v>
      </c>
      <c r="F5" s="56" t="s">
        <v>175</v>
      </c>
      <c r="G5" s="56" t="s">
        <v>193</v>
      </c>
      <c r="H5" s="56" t="s">
        <v>207</v>
      </c>
      <c r="I5" s="56" t="s">
        <v>218</v>
      </c>
      <c r="J5" s="197" t="s">
        <v>189</v>
      </c>
      <c r="K5" s="197" t="s">
        <v>188</v>
      </c>
      <c r="U5" s="99"/>
      <c r="V5" s="214"/>
      <c r="X5" s="59"/>
      <c r="Z5" s="59"/>
      <c r="AA5" s="59"/>
      <c r="AB5" s="59"/>
      <c r="AC5" s="59"/>
    </row>
    <row r="6" spans="1:29" x14ac:dyDescent="0.25">
      <c r="A6" s="243" t="s">
        <v>217</v>
      </c>
      <c r="B6" s="238">
        <v>46996</v>
      </c>
      <c r="C6" s="176" t="s">
        <v>198</v>
      </c>
      <c r="E6" s="110" t="s">
        <v>7</v>
      </c>
      <c r="F6" s="71">
        <f>+H28</f>
        <v>41179.22</v>
      </c>
      <c r="G6" s="71">
        <f>+H46</f>
        <v>247075.27000000002</v>
      </c>
      <c r="H6" s="71">
        <f>+H46</f>
        <v>247075.27000000002</v>
      </c>
      <c r="I6" s="71">
        <f>+H64</f>
        <v>164716.85999999999</v>
      </c>
      <c r="J6" s="71">
        <f>SUM(F6:I6)</f>
        <v>700046.62</v>
      </c>
      <c r="K6" s="198">
        <f>+ROUND(J6/1.21,2)</f>
        <v>578550.93000000005</v>
      </c>
      <c r="U6" s="99"/>
      <c r="V6" s="214"/>
      <c r="X6" s="59"/>
      <c r="Z6" s="103"/>
      <c r="AA6" s="59"/>
      <c r="AB6" s="59"/>
      <c r="AC6" s="59"/>
    </row>
    <row r="7" spans="1:29" ht="18" customHeight="1" x14ac:dyDescent="0.25">
      <c r="B7" s="204"/>
      <c r="C7" s="176" t="s">
        <v>199</v>
      </c>
      <c r="E7" s="110" t="s">
        <v>13</v>
      </c>
      <c r="F7" s="71">
        <f>+K28</f>
        <v>144127.24</v>
      </c>
      <c r="G7" s="71">
        <f>+K46</f>
        <v>576508.99</v>
      </c>
      <c r="H7" s="71">
        <f>+K46</f>
        <v>576508.99</v>
      </c>
      <c r="I7" s="71">
        <f>+K64</f>
        <v>384339.32</v>
      </c>
      <c r="J7" s="71">
        <f>SUM(F7:I7)</f>
        <v>1681484.54</v>
      </c>
      <c r="K7" s="198">
        <f>+ROUND(J7/1.21,2)</f>
        <v>1389656.64</v>
      </c>
      <c r="U7" s="99"/>
      <c r="V7" s="214"/>
      <c r="X7" s="59"/>
      <c r="Y7" s="100"/>
      <c r="Z7" s="100"/>
      <c r="AA7" s="59"/>
      <c r="AB7" s="59"/>
      <c r="AC7" s="59"/>
    </row>
    <row r="8" spans="1:29" ht="15.95" customHeight="1" x14ac:dyDescent="0.25">
      <c r="B8" s="204"/>
      <c r="C8" s="176" t="s">
        <v>199</v>
      </c>
      <c r="E8" s="111" t="s">
        <v>204</v>
      </c>
      <c r="F8" s="71">
        <f>+N28</f>
        <v>50000</v>
      </c>
      <c r="G8" s="71">
        <f>+N45</f>
        <v>170000</v>
      </c>
      <c r="H8" s="71">
        <f>+N46</f>
        <v>170000</v>
      </c>
      <c r="I8" s="71">
        <f>+N64</f>
        <v>135000</v>
      </c>
      <c r="J8" s="71">
        <f>SUM(F8:I8)</f>
        <v>525000</v>
      </c>
      <c r="K8" s="198">
        <f>+ROUND(J8/1.21,2)</f>
        <v>433884.3</v>
      </c>
      <c r="U8" s="99"/>
      <c r="V8" s="214"/>
      <c r="X8" s="59"/>
      <c r="Y8" s="100"/>
      <c r="Z8" s="100"/>
      <c r="AA8" s="59"/>
      <c r="AB8" s="59"/>
      <c r="AC8" s="59"/>
    </row>
    <row r="9" spans="1:29" x14ac:dyDescent="0.25">
      <c r="B9" s="204"/>
      <c r="C9" s="176" t="s">
        <v>200</v>
      </c>
      <c r="E9" s="235" t="s">
        <v>192</v>
      </c>
      <c r="F9" s="71">
        <f>+Q28+R28</f>
        <v>54905.609999999993</v>
      </c>
      <c r="G9" s="71">
        <f>+Q46+R46</f>
        <v>329433.65999999997</v>
      </c>
      <c r="H9" s="71">
        <f>+Q46+R46</f>
        <v>329433.65999999997</v>
      </c>
      <c r="I9" s="71">
        <f>+Q64+R64</f>
        <v>219622.43</v>
      </c>
      <c r="J9" s="71">
        <f>SUM(F9:I9)</f>
        <v>933395.35999999987</v>
      </c>
      <c r="K9" s="198">
        <f>+ROUND(J9/1.21,2)</f>
        <v>771401.12</v>
      </c>
      <c r="U9" s="99"/>
      <c r="V9" s="214"/>
      <c r="X9" s="59"/>
      <c r="Y9" s="59"/>
      <c r="Z9" s="59"/>
      <c r="AA9" s="59"/>
      <c r="AB9" s="59"/>
      <c r="AC9" s="59"/>
    </row>
    <row r="10" spans="1:29" x14ac:dyDescent="0.25">
      <c r="B10" s="204"/>
      <c r="C10" s="58"/>
      <c r="D10" s="57"/>
      <c r="E10" s="112" t="s">
        <v>135</v>
      </c>
      <c r="F10" s="179">
        <f t="shared" ref="F10:K10" si="0">SUM(F6:F9)</f>
        <v>290212.07</v>
      </c>
      <c r="G10" s="179">
        <f t="shared" si="0"/>
        <v>1323017.92</v>
      </c>
      <c r="H10" s="179">
        <f t="shared" si="0"/>
        <v>1323017.92</v>
      </c>
      <c r="I10" s="179">
        <f t="shared" si="0"/>
        <v>903678.60999999987</v>
      </c>
      <c r="J10" s="72">
        <f t="shared" si="0"/>
        <v>3839926.52</v>
      </c>
      <c r="K10" s="72">
        <f t="shared" si="0"/>
        <v>3173492.9899999998</v>
      </c>
      <c r="U10" s="99"/>
      <c r="V10" s="214"/>
      <c r="X10" s="59"/>
      <c r="Y10" s="59"/>
      <c r="Z10" s="59"/>
      <c r="AA10" s="59"/>
      <c r="AB10" s="59"/>
      <c r="AC10" s="59"/>
    </row>
    <row r="11" spans="1:29" x14ac:dyDescent="0.25">
      <c r="B11" s="204"/>
      <c r="C11" s="58"/>
      <c r="D11" s="57"/>
      <c r="E11" s="112"/>
      <c r="F11" s="112"/>
      <c r="G11" s="124"/>
      <c r="H11" s="124"/>
      <c r="I11" s="124"/>
      <c r="J11" s="72"/>
      <c r="K11" s="72"/>
      <c r="U11" s="99"/>
      <c r="V11" s="214"/>
      <c r="W11" s="99"/>
      <c r="X11" s="59"/>
      <c r="Y11" s="59"/>
      <c r="Z11" s="59"/>
      <c r="AA11" s="59"/>
      <c r="AB11" s="59"/>
      <c r="AC11" s="59"/>
    </row>
    <row r="12" spans="1:29" x14ac:dyDescent="0.25">
      <c r="B12" s="204"/>
      <c r="C12" s="107"/>
      <c r="D12" s="59"/>
      <c r="E12" s="134" t="s">
        <v>223</v>
      </c>
      <c r="F12" s="266">
        <f>+F6+F7+F9</f>
        <v>240212.06999999998</v>
      </c>
      <c r="G12" s="266">
        <f>+G6+G7+G9</f>
        <v>1153017.92</v>
      </c>
      <c r="H12" s="266">
        <f t="shared" ref="H12:I12" si="1">+H6+H7+H9</f>
        <v>1153017.92</v>
      </c>
      <c r="I12" s="266">
        <f t="shared" si="1"/>
        <v>768678.60999999987</v>
      </c>
      <c r="J12" s="73"/>
      <c r="W12" s="99"/>
      <c r="X12" s="59"/>
      <c r="Y12" s="59"/>
      <c r="AA12" s="59"/>
      <c r="AB12" s="59"/>
      <c r="AC12" s="59"/>
    </row>
    <row r="13" spans="1:29" x14ac:dyDescent="0.25">
      <c r="B13" s="204"/>
      <c r="C13" s="107"/>
      <c r="D13" s="59"/>
      <c r="E13" s="134" t="s">
        <v>224</v>
      </c>
      <c r="F13" s="248">
        <f>+F8</f>
        <v>50000</v>
      </c>
      <c r="G13" s="248">
        <f>+G8</f>
        <v>170000</v>
      </c>
      <c r="H13" s="248">
        <f>+H8</f>
        <v>170000</v>
      </c>
      <c r="I13" s="248">
        <f>+I8</f>
        <v>135000</v>
      </c>
      <c r="J13" s="73"/>
      <c r="W13" s="99"/>
      <c r="X13" s="59"/>
      <c r="Y13" s="59"/>
      <c r="AA13" s="59"/>
      <c r="AB13" s="59"/>
      <c r="AC13" s="59"/>
    </row>
    <row r="14" spans="1:29" ht="15.75" x14ac:dyDescent="0.25">
      <c r="A14" s="205" t="s">
        <v>250</v>
      </c>
      <c r="B14" s="201"/>
      <c r="C14" s="217"/>
      <c r="D14" s="288"/>
      <c r="E14" s="289">
        <v>2</v>
      </c>
      <c r="F14" s="287"/>
      <c r="G14" s="287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104"/>
      <c r="U14" s="215"/>
      <c r="V14" s="104"/>
      <c r="W14" s="290"/>
      <c r="X14" s="63"/>
      <c r="Y14" s="63"/>
      <c r="Z14" s="60"/>
      <c r="AA14" s="59"/>
      <c r="AB14" s="59"/>
      <c r="AC14" s="59"/>
    </row>
    <row r="15" spans="1:29" s="286" customFormat="1" ht="64.5" customHeight="1" x14ac:dyDescent="0.25">
      <c r="A15" s="65" t="s">
        <v>241</v>
      </c>
      <c r="B15" s="65" t="s">
        <v>0</v>
      </c>
      <c r="C15" s="65" t="s">
        <v>144</v>
      </c>
      <c r="D15" s="65" t="s">
        <v>136</v>
      </c>
      <c r="E15" s="65" t="s">
        <v>138</v>
      </c>
      <c r="F15" s="66" t="s">
        <v>133</v>
      </c>
      <c r="G15" s="66" t="s">
        <v>108</v>
      </c>
      <c r="H15" s="66" t="s">
        <v>2</v>
      </c>
      <c r="I15" s="66" t="s">
        <v>146</v>
      </c>
      <c r="J15" s="66" t="s">
        <v>108</v>
      </c>
      <c r="K15" s="66" t="s">
        <v>15</v>
      </c>
      <c r="L15" s="66" t="s">
        <v>205</v>
      </c>
      <c r="M15" s="66" t="s">
        <v>108</v>
      </c>
      <c r="N15" s="66" t="s">
        <v>206</v>
      </c>
      <c r="O15" s="66" t="s">
        <v>190</v>
      </c>
      <c r="P15" s="66" t="s">
        <v>108</v>
      </c>
      <c r="Q15" s="66" t="s">
        <v>191</v>
      </c>
      <c r="R15" s="66" t="s">
        <v>185</v>
      </c>
      <c r="S15" s="65" t="s">
        <v>147</v>
      </c>
      <c r="T15" s="65" t="s">
        <v>137</v>
      </c>
      <c r="U15" s="65" t="s">
        <v>201</v>
      </c>
      <c r="V15" s="66" t="s">
        <v>196</v>
      </c>
      <c r="W15" s="66" t="s">
        <v>154</v>
      </c>
      <c r="X15" s="63"/>
      <c r="Y15" s="63"/>
    </row>
    <row r="16" spans="1:29" s="63" customFormat="1" x14ac:dyDescent="0.25">
      <c r="A16" s="268" t="s">
        <v>226</v>
      </c>
      <c r="B16" s="256" t="s">
        <v>225</v>
      </c>
      <c r="C16" s="255" t="s">
        <v>227</v>
      </c>
      <c r="D16" s="257" t="s">
        <v>221</v>
      </c>
      <c r="E16" s="258" t="s">
        <v>221</v>
      </c>
      <c r="F16" s="269">
        <v>40.984667802385012</v>
      </c>
      <c r="G16" s="270">
        <f>+Perfils!$G$34</f>
        <v>70.44</v>
      </c>
      <c r="H16" s="271">
        <f>ROUND(F16*G16,2)</f>
        <v>2886.96</v>
      </c>
      <c r="I16" s="269">
        <v>95.631033503691086</v>
      </c>
      <c r="J16" s="260">
        <f>+Perfils!$G$49</f>
        <v>70.44</v>
      </c>
      <c r="K16" s="271">
        <f>ROUND(I16*J16,2)</f>
        <v>6736.25</v>
      </c>
      <c r="L16" s="269">
        <v>0</v>
      </c>
      <c r="M16" s="261">
        <f>+Perfils!$G$64</f>
        <v>70.44</v>
      </c>
      <c r="N16" s="271">
        <f>ROUND(L16*M16,2)</f>
        <v>0</v>
      </c>
      <c r="O16" s="269">
        <v>54.646223736513349</v>
      </c>
      <c r="P16" s="260">
        <f>+Perfils!$G$79</f>
        <v>70.44</v>
      </c>
      <c r="Q16" s="271">
        <f>ROUND(O16*P16,2)</f>
        <v>3849.28</v>
      </c>
      <c r="R16" s="271">
        <v>0</v>
      </c>
      <c r="S16" s="272">
        <f>+$B$2</f>
        <v>45170</v>
      </c>
      <c r="T16" s="272">
        <f>+$B$3</f>
        <v>45229</v>
      </c>
      <c r="U16" s="273">
        <v>2</v>
      </c>
      <c r="V16" s="274">
        <v>3368.1220833333336</v>
      </c>
      <c r="W16" s="275">
        <f>+H16+K16+Q16+R16+N16</f>
        <v>13472.49</v>
      </c>
    </row>
    <row r="17" spans="1:29" s="63" customFormat="1" x14ac:dyDescent="0.25">
      <c r="A17" s="268" t="s">
        <v>226</v>
      </c>
      <c r="B17" s="256" t="s">
        <v>231</v>
      </c>
      <c r="C17" s="255" t="s">
        <v>232</v>
      </c>
      <c r="D17" s="257" t="s">
        <v>221</v>
      </c>
      <c r="E17" s="258" t="s">
        <v>221</v>
      </c>
      <c r="F17" s="269">
        <v>80.244747302668941</v>
      </c>
      <c r="G17" s="270">
        <f>+Perfils!$G$34</f>
        <v>70.44</v>
      </c>
      <c r="H17" s="271">
        <f t="shared" ref="H17:H27" si="2">ROUND(F17*G17,2)</f>
        <v>5652.44</v>
      </c>
      <c r="I17" s="269">
        <v>187.23764906303239</v>
      </c>
      <c r="J17" s="260">
        <f>+Perfils!$G$49</f>
        <v>70.44</v>
      </c>
      <c r="K17" s="271">
        <f t="shared" ref="K17:K27" si="3">ROUND(I17*J17,2)</f>
        <v>13189.02</v>
      </c>
      <c r="L17" s="269">
        <v>0</v>
      </c>
      <c r="M17" s="261">
        <f>+Perfils!$G$64</f>
        <v>70.44</v>
      </c>
      <c r="N17" s="271">
        <f t="shared" ref="N17:N27" si="4">ROUND(L17*M17,2)</f>
        <v>0</v>
      </c>
      <c r="O17" s="269">
        <v>106.99290176036344</v>
      </c>
      <c r="P17" s="260">
        <f>+Perfils!$G$79</f>
        <v>70.44</v>
      </c>
      <c r="Q17" s="271">
        <f t="shared" ref="Q17:Q27" si="5">ROUND(O17*P17,2)</f>
        <v>7536.58</v>
      </c>
      <c r="R17" s="271">
        <v>0</v>
      </c>
      <c r="S17" s="272">
        <f t="shared" ref="S17:S27" si="6">+$B$2</f>
        <v>45170</v>
      </c>
      <c r="T17" s="272">
        <f>+$B$3</f>
        <v>45229</v>
      </c>
      <c r="U17" s="273">
        <v>2</v>
      </c>
      <c r="V17" s="274">
        <v>6594.5095833333326</v>
      </c>
      <c r="W17" s="275">
        <f t="shared" ref="W17:W27" si="7">+H17+K17+Q17+R17+N17</f>
        <v>26378.04</v>
      </c>
    </row>
    <row r="18" spans="1:29" s="63" customFormat="1" x14ac:dyDescent="0.25">
      <c r="A18" s="268" t="s">
        <v>230</v>
      </c>
      <c r="B18" s="256" t="s">
        <v>228</v>
      </c>
      <c r="C18" s="255" t="s">
        <v>229</v>
      </c>
      <c r="D18" s="257" t="s">
        <v>221</v>
      </c>
      <c r="E18" s="258" t="s">
        <v>221</v>
      </c>
      <c r="F18" s="269">
        <v>5.7505678591709257</v>
      </c>
      <c r="G18" s="270">
        <f>+Perfils!$G$34</f>
        <v>70.44</v>
      </c>
      <c r="H18" s="271">
        <f t="shared" si="2"/>
        <v>405.07</v>
      </c>
      <c r="I18" s="269">
        <v>13.41794434980125</v>
      </c>
      <c r="J18" s="260">
        <f>+Perfils!$G$49</f>
        <v>70.44</v>
      </c>
      <c r="K18" s="271">
        <f t="shared" si="3"/>
        <v>945.16</v>
      </c>
      <c r="L18" s="269">
        <v>0</v>
      </c>
      <c r="M18" s="261">
        <f>+Perfils!$G$64</f>
        <v>70.44</v>
      </c>
      <c r="N18" s="271">
        <f t="shared" si="4"/>
        <v>0</v>
      </c>
      <c r="O18" s="269">
        <v>7.6673764906303248</v>
      </c>
      <c r="P18" s="260">
        <f>+Perfils!$G$79</f>
        <v>70.44</v>
      </c>
      <c r="Q18" s="271">
        <f t="shared" si="5"/>
        <v>540.09</v>
      </c>
      <c r="R18" s="271">
        <v>0</v>
      </c>
      <c r="S18" s="272">
        <f t="shared" si="6"/>
        <v>45170</v>
      </c>
      <c r="T18" s="272">
        <f>+$B$3</f>
        <v>45229</v>
      </c>
      <c r="U18" s="273">
        <v>2</v>
      </c>
      <c r="V18" s="274">
        <v>472.57791666666662</v>
      </c>
      <c r="W18" s="275">
        <f t="shared" si="7"/>
        <v>1890.3200000000002</v>
      </c>
    </row>
    <row r="19" spans="1:29" s="63" customFormat="1" x14ac:dyDescent="0.25">
      <c r="A19" s="268" t="s">
        <v>235</v>
      </c>
      <c r="B19" s="256" t="s">
        <v>251</v>
      </c>
      <c r="C19" s="255" t="s">
        <v>252</v>
      </c>
      <c r="D19" s="257"/>
      <c r="E19" s="258"/>
      <c r="F19" s="269">
        <v>34.87350936967632</v>
      </c>
      <c r="G19" s="270">
        <f>+Perfils!$G$34</f>
        <v>70.44</v>
      </c>
      <c r="H19" s="271">
        <f t="shared" si="2"/>
        <v>2456.4899999999998</v>
      </c>
      <c r="I19" s="269">
        <v>81.371521862578092</v>
      </c>
      <c r="J19" s="260">
        <f>+Perfils!$G$49</f>
        <v>70.44</v>
      </c>
      <c r="K19" s="271">
        <f t="shared" si="3"/>
        <v>5731.81</v>
      </c>
      <c r="L19" s="269">
        <v>0</v>
      </c>
      <c r="M19" s="261">
        <f>+Perfils!$G$64</f>
        <v>70.44</v>
      </c>
      <c r="N19" s="271">
        <f t="shared" si="4"/>
        <v>0</v>
      </c>
      <c r="O19" s="269">
        <v>46.498012492901765</v>
      </c>
      <c r="P19" s="260">
        <f>+Perfils!$G$79</f>
        <v>70.44</v>
      </c>
      <c r="Q19" s="271">
        <f t="shared" si="5"/>
        <v>3275.32</v>
      </c>
      <c r="R19" s="271">
        <v>0</v>
      </c>
      <c r="S19" s="272">
        <f t="shared" si="6"/>
        <v>45170</v>
      </c>
      <c r="T19" s="272">
        <f t="shared" ref="T19:T27" si="8">+$B$3</f>
        <v>45229</v>
      </c>
      <c r="U19" s="273">
        <v>2</v>
      </c>
      <c r="V19" s="274">
        <v>2865.9066666666663</v>
      </c>
      <c r="W19" s="275">
        <f t="shared" si="7"/>
        <v>11463.62</v>
      </c>
    </row>
    <row r="20" spans="1:29" s="63" customFormat="1" x14ac:dyDescent="0.25">
      <c r="A20" s="268" t="s">
        <v>238</v>
      </c>
      <c r="B20" s="256" t="s">
        <v>233</v>
      </c>
      <c r="C20" s="255" t="s">
        <v>234</v>
      </c>
      <c r="D20" s="257" t="s">
        <v>221</v>
      </c>
      <c r="E20" s="258" t="s">
        <v>221</v>
      </c>
      <c r="F20" s="269">
        <v>105.62663259511642</v>
      </c>
      <c r="G20" s="270">
        <f>+Perfils!$G$34</f>
        <v>70.44</v>
      </c>
      <c r="H20" s="271">
        <f t="shared" si="2"/>
        <v>7440.34</v>
      </c>
      <c r="I20" s="269">
        <v>246.46209540034073</v>
      </c>
      <c r="J20" s="260">
        <f>+Perfils!$G$49</f>
        <v>70.44</v>
      </c>
      <c r="K20" s="271">
        <f t="shared" si="3"/>
        <v>17360.79</v>
      </c>
      <c r="L20" s="269">
        <v>0</v>
      </c>
      <c r="M20" s="261">
        <f>+Perfils!$G$64</f>
        <v>70.44</v>
      </c>
      <c r="N20" s="271">
        <f t="shared" si="4"/>
        <v>0</v>
      </c>
      <c r="O20" s="269">
        <v>140.83546280522432</v>
      </c>
      <c r="P20" s="260">
        <f>+Perfils!$G$79</f>
        <v>70.44</v>
      </c>
      <c r="Q20" s="271">
        <f t="shared" si="5"/>
        <v>9920.4500000000007</v>
      </c>
      <c r="R20" s="271">
        <v>0</v>
      </c>
      <c r="S20" s="272">
        <f t="shared" si="6"/>
        <v>45170</v>
      </c>
      <c r="T20" s="272">
        <f t="shared" si="8"/>
        <v>45229</v>
      </c>
      <c r="U20" s="273">
        <v>2</v>
      </c>
      <c r="V20" s="274">
        <v>8680.3966666666656</v>
      </c>
      <c r="W20" s="275">
        <f t="shared" si="7"/>
        <v>34721.58</v>
      </c>
    </row>
    <row r="21" spans="1:29" s="63" customFormat="1" x14ac:dyDescent="0.25">
      <c r="A21" s="268" t="s">
        <v>238</v>
      </c>
      <c r="B21" s="256" t="s">
        <v>236</v>
      </c>
      <c r="C21" s="255" t="s">
        <v>237</v>
      </c>
      <c r="D21" s="257" t="s">
        <v>221</v>
      </c>
      <c r="E21" s="258" t="s">
        <v>221</v>
      </c>
      <c r="F21" s="269">
        <v>40.434696195343555</v>
      </c>
      <c r="G21" s="270">
        <f>+Perfils!$G$34</f>
        <v>70.44</v>
      </c>
      <c r="H21" s="271">
        <f t="shared" si="2"/>
        <v>2848.22</v>
      </c>
      <c r="I21" s="269">
        <v>94.347387847813749</v>
      </c>
      <c r="J21" s="260">
        <f>+Perfils!$G$49</f>
        <v>70.44</v>
      </c>
      <c r="K21" s="271">
        <f t="shared" si="3"/>
        <v>6645.83</v>
      </c>
      <c r="L21" s="269">
        <v>0</v>
      </c>
      <c r="M21" s="261">
        <f>+Perfils!$G$64</f>
        <v>70.44</v>
      </c>
      <c r="N21" s="271">
        <f t="shared" si="4"/>
        <v>0</v>
      </c>
      <c r="O21" s="269">
        <v>53.912833617262919</v>
      </c>
      <c r="P21" s="260">
        <f>+Perfils!$G$79</f>
        <v>70.44</v>
      </c>
      <c r="Q21" s="271">
        <f t="shared" si="5"/>
        <v>3797.62</v>
      </c>
      <c r="R21" s="271">
        <v>0</v>
      </c>
      <c r="S21" s="272">
        <f t="shared" si="6"/>
        <v>45170</v>
      </c>
      <c r="T21" s="272">
        <f t="shared" si="8"/>
        <v>45229</v>
      </c>
      <c r="U21" s="273">
        <v>2</v>
      </c>
      <c r="V21" s="274">
        <v>3322.9166666666665</v>
      </c>
      <c r="W21" s="275">
        <f t="shared" si="7"/>
        <v>13291.669999999998</v>
      </c>
    </row>
    <row r="22" spans="1:29" s="63" customFormat="1" x14ac:dyDescent="0.25">
      <c r="A22" s="268" t="s">
        <v>249</v>
      </c>
      <c r="B22" s="256" t="s">
        <v>239</v>
      </c>
      <c r="C22" s="255" t="s">
        <v>240</v>
      </c>
      <c r="D22" s="257" t="s">
        <v>221</v>
      </c>
      <c r="E22" s="258" t="s">
        <v>221</v>
      </c>
      <c r="F22" s="269">
        <v>35.020584894946055</v>
      </c>
      <c r="G22" s="270">
        <f>+Perfils!$G$34</f>
        <v>70.44</v>
      </c>
      <c r="H22" s="271">
        <f t="shared" si="2"/>
        <v>2466.85</v>
      </c>
      <c r="I22" s="269">
        <v>81.714650766609878</v>
      </c>
      <c r="J22" s="260">
        <f>+Perfils!$G$49</f>
        <v>70.44</v>
      </c>
      <c r="K22" s="271">
        <f t="shared" si="3"/>
        <v>5755.98</v>
      </c>
      <c r="L22" s="269">
        <v>0</v>
      </c>
      <c r="M22" s="261">
        <f>+Perfils!$G$64</f>
        <v>70.44</v>
      </c>
      <c r="N22" s="271">
        <f t="shared" si="4"/>
        <v>0</v>
      </c>
      <c r="O22" s="269">
        <v>46.694065871663831</v>
      </c>
      <c r="P22" s="260">
        <f>+Perfils!$G$79</f>
        <v>70.44</v>
      </c>
      <c r="Q22" s="271">
        <f t="shared" si="5"/>
        <v>3289.13</v>
      </c>
      <c r="R22" s="271">
        <v>0</v>
      </c>
      <c r="S22" s="272">
        <f t="shared" si="6"/>
        <v>45170</v>
      </c>
      <c r="T22" s="272">
        <f t="shared" si="8"/>
        <v>45229</v>
      </c>
      <c r="U22" s="273">
        <v>2</v>
      </c>
      <c r="V22" s="274">
        <v>2877.9891666666667</v>
      </c>
      <c r="W22" s="275">
        <f t="shared" si="7"/>
        <v>11511.96</v>
      </c>
    </row>
    <row r="23" spans="1:29" s="63" customFormat="1" x14ac:dyDescent="0.25">
      <c r="A23" s="268" t="s">
        <v>242</v>
      </c>
      <c r="B23" s="256" t="s">
        <v>243</v>
      </c>
      <c r="C23" s="255" t="s">
        <v>244</v>
      </c>
      <c r="D23" s="257" t="s">
        <v>221</v>
      </c>
      <c r="E23" s="258" t="s">
        <v>221</v>
      </c>
      <c r="F23" s="269">
        <v>27.654457694491768</v>
      </c>
      <c r="G23" s="270">
        <f>+Perfils!$G$34</f>
        <v>70.44</v>
      </c>
      <c r="H23" s="271">
        <f t="shared" si="2"/>
        <v>1947.98</v>
      </c>
      <c r="I23" s="269">
        <v>64.527115275411703</v>
      </c>
      <c r="J23" s="260">
        <f>+Perfils!$G$49</f>
        <v>70.44</v>
      </c>
      <c r="K23" s="271">
        <f t="shared" si="3"/>
        <v>4545.29</v>
      </c>
      <c r="L23" s="269">
        <v>0</v>
      </c>
      <c r="M23" s="261">
        <f>+Perfils!$G$64</f>
        <v>70.44</v>
      </c>
      <c r="N23" s="271">
        <f t="shared" si="4"/>
        <v>0</v>
      </c>
      <c r="O23" s="269">
        <v>36.872657580919935</v>
      </c>
      <c r="P23" s="260">
        <f>+Perfils!$G$79</f>
        <v>70.44</v>
      </c>
      <c r="Q23" s="271">
        <f t="shared" si="5"/>
        <v>2597.31</v>
      </c>
      <c r="R23" s="271">
        <v>0</v>
      </c>
      <c r="S23" s="272">
        <f t="shared" si="6"/>
        <v>45170</v>
      </c>
      <c r="T23" s="272">
        <f t="shared" si="8"/>
        <v>45229</v>
      </c>
      <c r="U23" s="273">
        <v>2</v>
      </c>
      <c r="V23" s="274">
        <v>2272.6454166666667</v>
      </c>
      <c r="W23" s="275">
        <f t="shared" si="7"/>
        <v>9090.58</v>
      </c>
    </row>
    <row r="24" spans="1:29" s="63" customFormat="1" x14ac:dyDescent="0.25">
      <c r="A24" s="268" t="s">
        <v>242</v>
      </c>
      <c r="B24" s="256" t="s">
        <v>253</v>
      </c>
      <c r="C24" s="255" t="s">
        <v>254</v>
      </c>
      <c r="D24" s="257"/>
      <c r="E24" s="258"/>
      <c r="F24" s="269">
        <v>27.654457694491768</v>
      </c>
      <c r="G24" s="270">
        <f>+Perfils!$G$34</f>
        <v>70.44</v>
      </c>
      <c r="H24" s="271">
        <f t="shared" si="2"/>
        <v>1947.98</v>
      </c>
      <c r="I24" s="269">
        <v>64.527115275411703</v>
      </c>
      <c r="J24" s="260">
        <f>+Perfils!$G$49</f>
        <v>70.44</v>
      </c>
      <c r="K24" s="271">
        <f t="shared" si="3"/>
        <v>4545.29</v>
      </c>
      <c r="L24" s="269">
        <v>0</v>
      </c>
      <c r="M24" s="261">
        <f>+Perfils!$G$64</f>
        <v>70.44</v>
      </c>
      <c r="N24" s="271">
        <f t="shared" si="4"/>
        <v>0</v>
      </c>
      <c r="O24" s="269">
        <v>36.872657580919935</v>
      </c>
      <c r="P24" s="260">
        <f>+Perfils!$G$79</f>
        <v>70.44</v>
      </c>
      <c r="Q24" s="271">
        <f t="shared" si="5"/>
        <v>2597.31</v>
      </c>
      <c r="R24" s="271">
        <v>0</v>
      </c>
      <c r="S24" s="272">
        <f t="shared" si="6"/>
        <v>45170</v>
      </c>
      <c r="T24" s="272">
        <f t="shared" si="8"/>
        <v>45229</v>
      </c>
      <c r="U24" s="273">
        <v>2</v>
      </c>
      <c r="V24" s="274">
        <v>2272.6454166666667</v>
      </c>
      <c r="W24" s="275">
        <f t="shared" si="7"/>
        <v>9090.58</v>
      </c>
    </row>
    <row r="25" spans="1:29" s="63" customFormat="1" x14ac:dyDescent="0.25">
      <c r="A25" s="268" t="s">
        <v>242</v>
      </c>
      <c r="B25" s="256" t="s">
        <v>245</v>
      </c>
      <c r="C25" s="255" t="s">
        <v>246</v>
      </c>
      <c r="D25" s="257" t="s">
        <v>221</v>
      </c>
      <c r="E25" s="258" t="s">
        <v>221</v>
      </c>
      <c r="F25" s="269">
        <v>59.052810902896091</v>
      </c>
      <c r="G25" s="270">
        <f>+Perfils!$G$34</f>
        <v>70.44</v>
      </c>
      <c r="H25" s="271">
        <f t="shared" si="2"/>
        <v>4159.68</v>
      </c>
      <c r="I25" s="269">
        <v>137.78989210675752</v>
      </c>
      <c r="J25" s="260">
        <f>+Perfils!$G$49</f>
        <v>70.44</v>
      </c>
      <c r="K25" s="271">
        <f t="shared" si="3"/>
        <v>9705.92</v>
      </c>
      <c r="L25" s="269">
        <v>0</v>
      </c>
      <c r="M25" s="261">
        <f>+Perfils!$G$64</f>
        <v>70.44</v>
      </c>
      <c r="N25" s="271">
        <f t="shared" si="4"/>
        <v>0</v>
      </c>
      <c r="O25" s="269">
        <v>78.737081203861436</v>
      </c>
      <c r="P25" s="260">
        <f>+Perfils!$G$79</f>
        <v>70.44</v>
      </c>
      <c r="Q25" s="271">
        <f t="shared" si="5"/>
        <v>5546.24</v>
      </c>
      <c r="R25" s="271">
        <v>0</v>
      </c>
      <c r="S25" s="272">
        <f t="shared" si="6"/>
        <v>45170</v>
      </c>
      <c r="T25" s="272">
        <f t="shared" si="8"/>
        <v>45229</v>
      </c>
      <c r="U25" s="273">
        <v>2</v>
      </c>
      <c r="V25" s="274">
        <v>4852.96</v>
      </c>
      <c r="W25" s="275">
        <f t="shared" si="7"/>
        <v>19411.84</v>
      </c>
    </row>
    <row r="26" spans="1:29" s="63" customFormat="1" x14ac:dyDescent="0.25">
      <c r="A26" s="268" t="s">
        <v>242</v>
      </c>
      <c r="B26" s="256" t="s">
        <v>247</v>
      </c>
      <c r="C26" s="255" t="s">
        <v>248</v>
      </c>
      <c r="D26" s="257" t="s">
        <v>221</v>
      </c>
      <c r="E26" s="258" t="s">
        <v>221</v>
      </c>
      <c r="F26" s="269">
        <v>127.30281090289607</v>
      </c>
      <c r="G26" s="270">
        <f>+Perfils!$G$34</f>
        <v>70.44</v>
      </c>
      <c r="H26" s="271">
        <f t="shared" si="2"/>
        <v>8967.2099999999991</v>
      </c>
      <c r="I26" s="269">
        <v>297.03989210675758</v>
      </c>
      <c r="J26" s="260">
        <f>+Perfils!$G$49</f>
        <v>70.44</v>
      </c>
      <c r="K26" s="271">
        <f t="shared" si="3"/>
        <v>20923.490000000002</v>
      </c>
      <c r="L26" s="269">
        <v>0</v>
      </c>
      <c r="M26" s="261">
        <f>+Perfils!$G$64</f>
        <v>70.44</v>
      </c>
      <c r="N26" s="271">
        <f t="shared" si="4"/>
        <v>0</v>
      </c>
      <c r="O26" s="269">
        <v>169.73708120386146</v>
      </c>
      <c r="P26" s="260">
        <f>+Perfils!$G$79</f>
        <v>70.44</v>
      </c>
      <c r="Q26" s="271">
        <f t="shared" si="5"/>
        <v>11956.28</v>
      </c>
      <c r="R26" s="271">
        <v>0</v>
      </c>
      <c r="S26" s="272">
        <f t="shared" si="6"/>
        <v>45170</v>
      </c>
      <c r="T26" s="272">
        <f t="shared" si="8"/>
        <v>45229</v>
      </c>
      <c r="U26" s="273">
        <v>2</v>
      </c>
      <c r="V26" s="274">
        <v>10461.74375</v>
      </c>
      <c r="W26" s="275">
        <f t="shared" si="7"/>
        <v>41846.980000000003</v>
      </c>
    </row>
    <row r="27" spans="1:29" s="63" customFormat="1" x14ac:dyDescent="0.25">
      <c r="A27" s="268" t="s">
        <v>242</v>
      </c>
      <c r="B27" s="258" t="s">
        <v>194</v>
      </c>
      <c r="C27" s="264" t="s">
        <v>195</v>
      </c>
      <c r="D27" s="257" t="s">
        <v>221</v>
      </c>
      <c r="E27" s="258" t="s">
        <v>221</v>
      </c>
      <c r="F27" s="269">
        <v>0</v>
      </c>
      <c r="G27" s="270">
        <f>+Perfils!$G$34</f>
        <v>70.44</v>
      </c>
      <c r="H27" s="271">
        <f t="shared" si="2"/>
        <v>0</v>
      </c>
      <c r="I27" s="269">
        <v>682.03312511830404</v>
      </c>
      <c r="J27" s="260">
        <f>+Perfils!$G$49</f>
        <v>70.44</v>
      </c>
      <c r="K27" s="271">
        <f t="shared" si="3"/>
        <v>48042.41</v>
      </c>
      <c r="L27" s="269">
        <v>709.82396365701311</v>
      </c>
      <c r="M27" s="261">
        <f>+Perfils!$G$64</f>
        <v>70.44</v>
      </c>
      <c r="N27" s="271">
        <f t="shared" si="4"/>
        <v>50000</v>
      </c>
      <c r="O27" s="269">
        <v>0</v>
      </c>
      <c r="P27" s="260">
        <f>+Perfils!$G$79</f>
        <v>70.44</v>
      </c>
      <c r="Q27" s="271">
        <f t="shared" si="5"/>
        <v>0</v>
      </c>
      <c r="R27" s="271">
        <f>ROUND(R45/12*$E$14,2)</f>
        <v>0</v>
      </c>
      <c r="S27" s="272">
        <f t="shared" si="6"/>
        <v>45170</v>
      </c>
      <c r="T27" s="272">
        <f t="shared" si="8"/>
        <v>45229</v>
      </c>
      <c r="U27" s="273">
        <v>2</v>
      </c>
      <c r="V27" s="274">
        <v>0</v>
      </c>
      <c r="W27" s="275">
        <f t="shared" si="7"/>
        <v>98042.41</v>
      </c>
    </row>
    <row r="28" spans="1:29" s="63" customFormat="1" ht="15.75" x14ac:dyDescent="0.25">
      <c r="A28" s="276"/>
      <c r="B28" s="267" t="s">
        <v>116</v>
      </c>
      <c r="C28" s="277"/>
      <c r="D28" s="278"/>
      <c r="E28" s="279"/>
      <c r="F28" s="280">
        <f>SUM(F16:F27)</f>
        <v>584.59994321408305</v>
      </c>
      <c r="G28" s="280"/>
      <c r="H28" s="281">
        <f>SUM(H16:H27)</f>
        <v>41179.22</v>
      </c>
      <c r="I28" s="280">
        <f>SUM(I16:I27)</f>
        <v>2046.0994226765097</v>
      </c>
      <c r="J28" s="280"/>
      <c r="K28" s="281">
        <f>SUM(K16:K27)</f>
        <v>144127.24</v>
      </c>
      <c r="L28" s="222">
        <f>SUM(L16:L27)</f>
        <v>709.82396365701311</v>
      </c>
      <c r="M28" s="281"/>
      <c r="N28" s="281">
        <f>SUM(N16:N27)</f>
        <v>50000</v>
      </c>
      <c r="O28" s="280">
        <f>SUM(O16:O27)</f>
        <v>779.46635434412269</v>
      </c>
      <c r="P28" s="280"/>
      <c r="Q28" s="281">
        <f>SUM(Q16:Q27)</f>
        <v>54905.609999999993</v>
      </c>
      <c r="R28" s="281">
        <f>SUM(R16:R27)</f>
        <v>0</v>
      </c>
      <c r="S28" s="280"/>
      <c r="T28" s="280"/>
      <c r="U28" s="280"/>
      <c r="V28" s="281">
        <f>SUM(V16:V27)</f>
        <v>48042.413333333338</v>
      </c>
      <c r="W28" s="281">
        <f>SUM(W16:W27)</f>
        <v>290212.07</v>
      </c>
    </row>
    <row r="29" spans="1:29" s="63" customFormat="1" x14ac:dyDescent="0.25">
      <c r="B29" s="2"/>
      <c r="C29" s="101"/>
      <c r="D29" s="174"/>
      <c r="E29" s="113"/>
      <c r="F29" s="114"/>
      <c r="G29" s="114"/>
      <c r="H29" s="115"/>
      <c r="I29" s="114"/>
      <c r="J29" s="116"/>
      <c r="K29" s="115"/>
      <c r="L29" s="115"/>
      <c r="M29" s="115"/>
      <c r="N29" s="115"/>
      <c r="O29" s="114"/>
      <c r="P29" s="116"/>
      <c r="Q29" s="115"/>
      <c r="R29" s="115"/>
      <c r="S29" s="125"/>
      <c r="T29" s="125"/>
      <c r="U29" s="202"/>
      <c r="V29" s="202"/>
    </row>
    <row r="30" spans="1:29" s="63" customFormat="1" x14ac:dyDescent="0.25">
      <c r="B30" s="2"/>
      <c r="C30" s="101"/>
      <c r="D30" s="174"/>
      <c r="E30" s="210" t="s">
        <v>197</v>
      </c>
      <c r="F30" s="211">
        <f>(F28/$E$14/8)/20</f>
        <v>1.8268748225440095</v>
      </c>
      <c r="G30" s="211"/>
      <c r="H30" s="211"/>
      <c r="I30" s="211">
        <f>(I28/$E$14/8)/20</f>
        <v>6.3940606958640931</v>
      </c>
      <c r="J30" s="212"/>
      <c r="K30" s="213"/>
      <c r="L30" s="211">
        <f>(L28/$E$14/8)/20</f>
        <v>2.2181998864281658</v>
      </c>
      <c r="M30" s="213"/>
      <c r="N30" s="213"/>
      <c r="O30" s="211">
        <f>(O28/$E$14/8)/20</f>
        <v>2.4358323573253835</v>
      </c>
      <c r="P30" s="116"/>
      <c r="Q30" s="211"/>
      <c r="R30" s="114"/>
      <c r="S30" s="211">
        <f>SUM(I30:R30)</f>
        <v>11.048092939617641</v>
      </c>
      <c r="T30" s="125"/>
      <c r="U30" s="202"/>
      <c r="V30" s="202"/>
    </row>
    <row r="31" spans="1:29" x14ac:dyDescent="0.25">
      <c r="A31" s="59"/>
      <c r="B31" s="204"/>
      <c r="C31" s="107"/>
      <c r="D31" s="59"/>
      <c r="E31" s="107"/>
      <c r="F31" s="59"/>
      <c r="G31" s="59"/>
      <c r="V31" s="202"/>
      <c r="X31" s="62"/>
      <c r="Y31" s="62"/>
      <c r="AA31" s="59"/>
      <c r="AB31" s="59"/>
      <c r="AC31" s="59"/>
    </row>
    <row r="32" spans="1:29" ht="15.75" x14ac:dyDescent="0.25">
      <c r="A32" s="205" t="s">
        <v>219</v>
      </c>
      <c r="B32" s="201"/>
      <c r="C32" s="59"/>
      <c r="D32" s="236" t="s">
        <v>202</v>
      </c>
      <c r="E32" s="216">
        <v>12</v>
      </c>
      <c r="G32" s="59"/>
      <c r="S32" s="104"/>
      <c r="T32" s="215"/>
      <c r="U32" s="104"/>
      <c r="V32" s="202"/>
      <c r="W32" s="63"/>
      <c r="X32" s="63"/>
      <c r="Z32" s="59"/>
      <c r="AA32" s="59"/>
      <c r="AB32" s="59"/>
      <c r="AC32" s="59"/>
    </row>
    <row r="33" spans="1:22" s="63" customFormat="1" ht="54" customHeight="1" x14ac:dyDescent="0.25">
      <c r="A33" s="65" t="s">
        <v>241</v>
      </c>
      <c r="B33" s="65" t="s">
        <v>0</v>
      </c>
      <c r="C33" s="65" t="s">
        <v>144</v>
      </c>
      <c r="D33" s="65" t="s">
        <v>136</v>
      </c>
      <c r="E33" s="65" t="s">
        <v>138</v>
      </c>
      <c r="F33" s="66" t="s">
        <v>133</v>
      </c>
      <c r="G33" s="66" t="s">
        <v>108</v>
      </c>
      <c r="H33" s="66" t="s">
        <v>2</v>
      </c>
      <c r="I33" s="66" t="s">
        <v>146</v>
      </c>
      <c r="J33" s="66" t="s">
        <v>108</v>
      </c>
      <c r="K33" s="66" t="s">
        <v>15</v>
      </c>
      <c r="L33" s="66" t="s">
        <v>205</v>
      </c>
      <c r="M33" s="66" t="s">
        <v>108</v>
      </c>
      <c r="N33" s="66" t="s">
        <v>206</v>
      </c>
      <c r="O33" s="66" t="s">
        <v>190</v>
      </c>
      <c r="P33" s="66" t="s">
        <v>108</v>
      </c>
      <c r="Q33" s="66" t="s">
        <v>191</v>
      </c>
      <c r="R33" s="66" t="s">
        <v>185</v>
      </c>
      <c r="S33" s="66" t="s">
        <v>154</v>
      </c>
      <c r="T33" s="215"/>
      <c r="V33" s="202"/>
    </row>
    <row r="34" spans="1:22" s="63" customFormat="1" x14ac:dyDescent="0.25">
      <c r="A34" s="255" t="s">
        <v>226</v>
      </c>
      <c r="B34" s="256" t="s">
        <v>225</v>
      </c>
      <c r="C34" s="255" t="s">
        <v>227</v>
      </c>
      <c r="D34" s="257" t="s">
        <v>221</v>
      </c>
      <c r="E34" s="258" t="s">
        <v>221</v>
      </c>
      <c r="F34" s="259">
        <v>245.90814877910279</v>
      </c>
      <c r="G34" s="260">
        <f>+Perfils!$G$34</f>
        <v>70.44</v>
      </c>
      <c r="H34" s="261">
        <f>ROUND(F34*G34,2)</f>
        <v>17321.77</v>
      </c>
      <c r="I34" s="259">
        <v>573.78577512776837</v>
      </c>
      <c r="J34" s="260">
        <f>+Perfils!$G$49</f>
        <v>70.44</v>
      </c>
      <c r="K34" s="261">
        <f>ROUND(I34*J34,2)</f>
        <v>40417.47</v>
      </c>
      <c r="L34" s="259">
        <v>0</v>
      </c>
      <c r="M34" s="261">
        <f>+Perfils!$G$64</f>
        <v>70.44</v>
      </c>
      <c r="N34" s="261">
        <f>ROUND(L34*M34,2)</f>
        <v>0</v>
      </c>
      <c r="O34" s="262">
        <v>327.8774843838728</v>
      </c>
      <c r="P34" s="260">
        <f>+Perfils!$G$79</f>
        <v>70.44</v>
      </c>
      <c r="Q34" s="261">
        <f>ROUND(O34*P34,2)</f>
        <v>23095.69</v>
      </c>
      <c r="R34" s="261">
        <v>0</v>
      </c>
      <c r="S34" s="263">
        <f t="shared" ref="S34:S45" si="9">+H34+K34+Q34+R34+N34</f>
        <v>80834.930000000008</v>
      </c>
      <c r="T34" s="215"/>
      <c r="U34" s="265"/>
    </row>
    <row r="35" spans="1:22" s="63" customFormat="1" x14ac:dyDescent="0.25">
      <c r="A35" s="255" t="s">
        <v>226</v>
      </c>
      <c r="B35" s="256" t="s">
        <v>231</v>
      </c>
      <c r="C35" s="255" t="s">
        <v>232</v>
      </c>
      <c r="D35" s="257" t="s">
        <v>221</v>
      </c>
      <c r="E35" s="258" t="s">
        <v>221</v>
      </c>
      <c r="F35" s="259">
        <v>481.46819988642824</v>
      </c>
      <c r="G35" s="260">
        <f>+Perfils!$G$34</f>
        <v>70.44</v>
      </c>
      <c r="H35" s="261">
        <f t="shared" ref="H35:H45" si="10">ROUND(F35*G35,2)</f>
        <v>33914.620000000003</v>
      </c>
      <c r="I35" s="259">
        <v>1123.4258943781942</v>
      </c>
      <c r="J35" s="260">
        <f>+Perfils!$G$49</f>
        <v>70.44</v>
      </c>
      <c r="K35" s="261">
        <f t="shared" ref="K35:K45" si="11">ROUND(I35*J35,2)</f>
        <v>79134.12</v>
      </c>
      <c r="L35" s="259">
        <v>0</v>
      </c>
      <c r="M35" s="261">
        <f>+Perfils!$G$64</f>
        <v>70.44</v>
      </c>
      <c r="N35" s="261">
        <f t="shared" ref="N35:N45" si="12">ROUND(L35*M35,2)</f>
        <v>0</v>
      </c>
      <c r="O35" s="262">
        <v>641.95755252697336</v>
      </c>
      <c r="P35" s="260">
        <f>+Perfils!$G$79</f>
        <v>70.44</v>
      </c>
      <c r="Q35" s="261">
        <f t="shared" ref="Q35:Q45" si="13">ROUND(O35*P35,2)</f>
        <v>45219.49</v>
      </c>
      <c r="R35" s="261">
        <v>0</v>
      </c>
      <c r="S35" s="263">
        <f t="shared" si="9"/>
        <v>158268.22999999998</v>
      </c>
      <c r="T35" s="215"/>
    </row>
    <row r="36" spans="1:22" s="63" customFormat="1" x14ac:dyDescent="0.25">
      <c r="A36" s="255" t="s">
        <v>230</v>
      </c>
      <c r="B36" s="256" t="s">
        <v>228</v>
      </c>
      <c r="C36" s="255" t="s">
        <v>229</v>
      </c>
      <c r="D36" s="257" t="s">
        <v>221</v>
      </c>
      <c r="E36" s="258" t="s">
        <v>221</v>
      </c>
      <c r="F36" s="259">
        <v>34.503123225440092</v>
      </c>
      <c r="G36" s="260">
        <f>+Perfils!$G$34</f>
        <v>70.44</v>
      </c>
      <c r="H36" s="261">
        <f t="shared" si="10"/>
        <v>2430.4</v>
      </c>
      <c r="I36" s="259">
        <v>80.507382169222026</v>
      </c>
      <c r="J36" s="260">
        <f>+Perfils!$G$49</f>
        <v>70.44</v>
      </c>
      <c r="K36" s="261">
        <f t="shared" si="11"/>
        <v>5670.94</v>
      </c>
      <c r="L36" s="259">
        <v>0</v>
      </c>
      <c r="M36" s="261">
        <f>+Perfils!$G$64</f>
        <v>70.44</v>
      </c>
      <c r="N36" s="261">
        <f t="shared" si="12"/>
        <v>0</v>
      </c>
      <c r="O36" s="262">
        <v>46.004116978989217</v>
      </c>
      <c r="P36" s="260">
        <f>+Perfils!$G$79</f>
        <v>70.44</v>
      </c>
      <c r="Q36" s="261">
        <f t="shared" si="13"/>
        <v>3240.53</v>
      </c>
      <c r="R36" s="261">
        <v>0</v>
      </c>
      <c r="S36" s="263">
        <f t="shared" si="9"/>
        <v>11341.87</v>
      </c>
      <c r="T36" s="215"/>
    </row>
    <row r="37" spans="1:22" s="63" customFormat="1" x14ac:dyDescent="0.25">
      <c r="A37" s="255" t="s">
        <v>230</v>
      </c>
      <c r="B37" s="256" t="s">
        <v>251</v>
      </c>
      <c r="C37" s="255" t="s">
        <v>252</v>
      </c>
      <c r="D37" s="257"/>
      <c r="E37" s="258"/>
      <c r="F37" s="259">
        <v>209.24119818285067</v>
      </c>
      <c r="G37" s="260">
        <f>+Perfils!$G$34</f>
        <v>70.44</v>
      </c>
      <c r="H37" s="261">
        <f t="shared" si="10"/>
        <v>14738.95</v>
      </c>
      <c r="I37" s="259">
        <v>488.22941510505393</v>
      </c>
      <c r="J37" s="260">
        <f>+Perfils!$G$49</f>
        <v>70.44</v>
      </c>
      <c r="K37" s="261">
        <f t="shared" si="11"/>
        <v>34390.879999999997</v>
      </c>
      <c r="L37" s="259">
        <v>0</v>
      </c>
      <c r="M37" s="261">
        <f>+Perfils!$G$64</f>
        <v>70.44</v>
      </c>
      <c r="N37" s="261">
        <f t="shared" si="12"/>
        <v>0</v>
      </c>
      <c r="O37" s="262">
        <v>278.98821692220332</v>
      </c>
      <c r="P37" s="260">
        <f>+Perfils!$G$79</f>
        <v>70.44</v>
      </c>
      <c r="Q37" s="261">
        <f t="shared" si="13"/>
        <v>19651.93</v>
      </c>
      <c r="R37" s="261">
        <v>0</v>
      </c>
      <c r="S37" s="263">
        <f t="shared" ref="S37" si="14">+H37+K37+Q37+R37+N37</f>
        <v>68781.760000000009</v>
      </c>
      <c r="T37" s="215"/>
    </row>
    <row r="38" spans="1:22" s="63" customFormat="1" x14ac:dyDescent="0.25">
      <c r="A38" s="255" t="s">
        <v>235</v>
      </c>
      <c r="B38" s="256" t="s">
        <v>233</v>
      </c>
      <c r="C38" s="255" t="s">
        <v>234</v>
      </c>
      <c r="D38" s="257" t="s">
        <v>221</v>
      </c>
      <c r="E38" s="258" t="s">
        <v>221</v>
      </c>
      <c r="F38" s="259">
        <v>633.75979557069854</v>
      </c>
      <c r="G38" s="260">
        <f>+Perfils!$G$34</f>
        <v>70.44</v>
      </c>
      <c r="H38" s="261">
        <f t="shared" si="10"/>
        <v>44642.04</v>
      </c>
      <c r="I38" s="259">
        <v>1478.7728563316298</v>
      </c>
      <c r="J38" s="260">
        <f>+Perfils!$G$49</f>
        <v>70.44</v>
      </c>
      <c r="K38" s="261">
        <f t="shared" si="11"/>
        <v>104164.76</v>
      </c>
      <c r="L38" s="259">
        <v>0</v>
      </c>
      <c r="M38" s="261">
        <f>+Perfils!$G$64</f>
        <v>70.44</v>
      </c>
      <c r="N38" s="261">
        <f t="shared" si="12"/>
        <v>0</v>
      </c>
      <c r="O38" s="262">
        <v>845.01306076093135</v>
      </c>
      <c r="P38" s="260">
        <f>+Perfils!$G$79</f>
        <v>70.44</v>
      </c>
      <c r="Q38" s="261">
        <f t="shared" si="13"/>
        <v>59522.720000000001</v>
      </c>
      <c r="R38" s="261">
        <v>0</v>
      </c>
      <c r="S38" s="263">
        <f>+H38+K38+Q38+R38+N38</f>
        <v>208329.52</v>
      </c>
      <c r="T38" s="215"/>
    </row>
    <row r="39" spans="1:22" s="63" customFormat="1" x14ac:dyDescent="0.25">
      <c r="A39" s="255" t="s">
        <v>238</v>
      </c>
      <c r="B39" s="256" t="s">
        <v>236</v>
      </c>
      <c r="C39" s="255" t="s">
        <v>237</v>
      </c>
      <c r="D39" s="257" t="s">
        <v>221</v>
      </c>
      <c r="E39" s="258" t="s">
        <v>221</v>
      </c>
      <c r="F39" s="259">
        <v>242.60775127768315</v>
      </c>
      <c r="G39" s="260">
        <f>+Perfils!$G$34</f>
        <v>70.44</v>
      </c>
      <c r="H39" s="261">
        <f t="shared" si="10"/>
        <v>17089.29</v>
      </c>
      <c r="I39" s="259">
        <v>566.08461101646799</v>
      </c>
      <c r="J39" s="260">
        <f>+Perfils!$G$49</f>
        <v>70.44</v>
      </c>
      <c r="K39" s="261">
        <f t="shared" si="11"/>
        <v>39875</v>
      </c>
      <c r="L39" s="259">
        <v>0</v>
      </c>
      <c r="M39" s="261">
        <f>+Perfils!$G$64</f>
        <v>70.44</v>
      </c>
      <c r="N39" s="261">
        <f t="shared" si="12"/>
        <v>0</v>
      </c>
      <c r="O39" s="262">
        <v>323.47685973878475</v>
      </c>
      <c r="P39" s="260">
        <f>+Perfils!$G$79</f>
        <v>70.44</v>
      </c>
      <c r="Q39" s="261">
        <f t="shared" si="13"/>
        <v>22785.71</v>
      </c>
      <c r="R39" s="261">
        <v>0</v>
      </c>
      <c r="S39" s="263">
        <f t="shared" si="9"/>
        <v>79750</v>
      </c>
      <c r="T39" s="215"/>
    </row>
    <row r="40" spans="1:22" s="63" customFormat="1" x14ac:dyDescent="0.25">
      <c r="A40" s="255" t="s">
        <v>242</v>
      </c>
      <c r="B40" s="256" t="s">
        <v>239</v>
      </c>
      <c r="C40" s="255" t="s">
        <v>240</v>
      </c>
      <c r="D40" s="257" t="s">
        <v>221</v>
      </c>
      <c r="E40" s="258" t="s">
        <v>221</v>
      </c>
      <c r="F40" s="259">
        <v>210.1233674048836</v>
      </c>
      <c r="G40" s="260">
        <f>+Perfils!$G$34</f>
        <v>70.44</v>
      </c>
      <c r="H40" s="261">
        <f t="shared" si="10"/>
        <v>14801.09</v>
      </c>
      <c r="I40" s="259">
        <v>490.28776263486662</v>
      </c>
      <c r="J40" s="260">
        <f>+Perfils!$G$49</f>
        <v>70.44</v>
      </c>
      <c r="K40" s="261">
        <f t="shared" si="11"/>
        <v>34535.870000000003</v>
      </c>
      <c r="L40" s="259">
        <v>0</v>
      </c>
      <c r="M40" s="261">
        <f>+Perfils!$G$64</f>
        <v>70.44</v>
      </c>
      <c r="N40" s="261">
        <f t="shared" si="12"/>
        <v>0</v>
      </c>
      <c r="O40" s="262">
        <v>280.16439522998297</v>
      </c>
      <c r="P40" s="260">
        <f>+Perfils!$G$79</f>
        <v>70.44</v>
      </c>
      <c r="Q40" s="261">
        <f t="shared" si="13"/>
        <v>19734.78</v>
      </c>
      <c r="R40" s="261">
        <v>0</v>
      </c>
      <c r="S40" s="263">
        <f t="shared" si="9"/>
        <v>69071.740000000005</v>
      </c>
      <c r="T40" s="215"/>
    </row>
    <row r="41" spans="1:22" s="63" customFormat="1" x14ac:dyDescent="0.25">
      <c r="A41" s="255" t="s">
        <v>242</v>
      </c>
      <c r="B41" s="256" t="s">
        <v>243</v>
      </c>
      <c r="C41" s="255" t="s">
        <v>244</v>
      </c>
      <c r="D41" s="257" t="s">
        <v>221</v>
      </c>
      <c r="E41" s="258" t="s">
        <v>221</v>
      </c>
      <c r="F41" s="259">
        <v>165.92688813174331</v>
      </c>
      <c r="G41" s="260">
        <f>+Perfils!$G$34</f>
        <v>70.44</v>
      </c>
      <c r="H41" s="261">
        <f t="shared" si="10"/>
        <v>11687.89</v>
      </c>
      <c r="I41" s="259">
        <v>387.16283361726295</v>
      </c>
      <c r="J41" s="260">
        <f>+Perfils!$G$49</f>
        <v>70.44</v>
      </c>
      <c r="K41" s="261">
        <f t="shared" si="11"/>
        <v>27271.75</v>
      </c>
      <c r="L41" s="259">
        <v>0</v>
      </c>
      <c r="M41" s="261">
        <f>+Perfils!$G$64</f>
        <v>70.44</v>
      </c>
      <c r="N41" s="261">
        <f t="shared" si="12"/>
        <v>0</v>
      </c>
      <c r="O41" s="262">
        <v>221.23580352072688</v>
      </c>
      <c r="P41" s="260">
        <f>+Perfils!$G$79</f>
        <v>70.44</v>
      </c>
      <c r="Q41" s="261">
        <f t="shared" si="13"/>
        <v>15583.85</v>
      </c>
      <c r="R41" s="261">
        <v>0</v>
      </c>
      <c r="S41" s="263">
        <f t="shared" si="9"/>
        <v>54543.49</v>
      </c>
      <c r="T41" s="215"/>
    </row>
    <row r="42" spans="1:22" s="63" customFormat="1" x14ac:dyDescent="0.25">
      <c r="A42" s="255" t="s">
        <v>242</v>
      </c>
      <c r="B42" s="256" t="s">
        <v>253</v>
      </c>
      <c r="C42" s="255" t="s">
        <v>254</v>
      </c>
      <c r="D42" s="257"/>
      <c r="E42" s="258"/>
      <c r="F42" s="259">
        <v>165.92688813174331</v>
      </c>
      <c r="G42" s="260">
        <f>+Perfils!$G$34</f>
        <v>70.44</v>
      </c>
      <c r="H42" s="261">
        <f t="shared" si="10"/>
        <v>11687.89</v>
      </c>
      <c r="I42" s="259">
        <v>387.16283361726295</v>
      </c>
      <c r="J42" s="260">
        <f>+Perfils!$G$49</f>
        <v>70.44</v>
      </c>
      <c r="K42" s="261">
        <f t="shared" si="11"/>
        <v>27271.75</v>
      </c>
      <c r="L42" s="259">
        <v>0</v>
      </c>
      <c r="M42" s="261">
        <f>+Perfils!$G$64</f>
        <v>70.44</v>
      </c>
      <c r="N42" s="261">
        <f t="shared" si="12"/>
        <v>0</v>
      </c>
      <c r="O42" s="262">
        <v>221.23580352072688</v>
      </c>
      <c r="P42" s="260">
        <f>+Perfils!$G$79</f>
        <v>70.44</v>
      </c>
      <c r="Q42" s="261">
        <f t="shared" si="13"/>
        <v>15583.85</v>
      </c>
      <c r="R42" s="261">
        <v>0</v>
      </c>
      <c r="S42" s="263">
        <f t="shared" ref="S42" si="15">+H42+K42+Q42+R42+N42</f>
        <v>54543.49</v>
      </c>
      <c r="T42" s="215"/>
    </row>
    <row r="43" spans="1:22" s="63" customFormat="1" x14ac:dyDescent="0.25">
      <c r="A43" s="255" t="s">
        <v>242</v>
      </c>
      <c r="B43" s="256" t="s">
        <v>245</v>
      </c>
      <c r="C43" s="255" t="s">
        <v>246</v>
      </c>
      <c r="D43" s="257" t="s">
        <v>221</v>
      </c>
      <c r="E43" s="258" t="s">
        <v>221</v>
      </c>
      <c r="F43" s="259">
        <v>354.3168654173765</v>
      </c>
      <c r="G43" s="260">
        <f>+Perfils!$G$34</f>
        <v>70.44</v>
      </c>
      <c r="H43" s="261">
        <f t="shared" si="10"/>
        <v>24958.080000000002</v>
      </c>
      <c r="I43" s="259">
        <v>826.73935264054512</v>
      </c>
      <c r="J43" s="260">
        <f>+Perfils!$G$49</f>
        <v>70.44</v>
      </c>
      <c r="K43" s="261">
        <f t="shared" si="11"/>
        <v>58235.519999999997</v>
      </c>
      <c r="L43" s="259">
        <v>0</v>
      </c>
      <c r="M43" s="261">
        <f>+Perfils!$G$64</f>
        <v>70.44</v>
      </c>
      <c r="N43" s="261">
        <f t="shared" si="12"/>
        <v>0</v>
      </c>
      <c r="O43" s="262">
        <v>472.42248722316873</v>
      </c>
      <c r="P43" s="260">
        <f>+Perfils!$G$79</f>
        <v>70.44</v>
      </c>
      <c r="Q43" s="261">
        <f t="shared" si="13"/>
        <v>33277.440000000002</v>
      </c>
      <c r="R43" s="261">
        <v>0</v>
      </c>
      <c r="S43" s="263">
        <f t="shared" si="9"/>
        <v>116471.04000000001</v>
      </c>
      <c r="T43" s="215"/>
      <c r="U43" s="265"/>
    </row>
    <row r="44" spans="1:22" s="63" customFormat="1" x14ac:dyDescent="0.25">
      <c r="A44" s="255" t="s">
        <v>249</v>
      </c>
      <c r="B44" s="256" t="s">
        <v>247</v>
      </c>
      <c r="C44" s="255" t="s">
        <v>248</v>
      </c>
      <c r="D44" s="257" t="s">
        <v>221</v>
      </c>
      <c r="E44" s="258" t="s">
        <v>221</v>
      </c>
      <c r="F44" s="259">
        <v>763.8167234525838</v>
      </c>
      <c r="G44" s="260">
        <f>+Perfils!$G$34</f>
        <v>70.44</v>
      </c>
      <c r="H44" s="261">
        <f t="shared" si="10"/>
        <v>53803.25</v>
      </c>
      <c r="I44" s="259">
        <v>1782.2392106757525</v>
      </c>
      <c r="J44" s="260">
        <f>+Perfils!$G$49</f>
        <v>70.44</v>
      </c>
      <c r="K44" s="261">
        <f t="shared" si="11"/>
        <v>125540.93</v>
      </c>
      <c r="L44" s="259">
        <v>0</v>
      </c>
      <c r="M44" s="261">
        <f>+Perfils!$G$64</f>
        <v>70.44</v>
      </c>
      <c r="N44" s="261">
        <f t="shared" si="12"/>
        <v>0</v>
      </c>
      <c r="O44" s="262">
        <v>1018.4223452583759</v>
      </c>
      <c r="P44" s="260">
        <f>+Perfils!$G$79</f>
        <v>70.44</v>
      </c>
      <c r="Q44" s="261">
        <f t="shared" si="13"/>
        <v>71737.67</v>
      </c>
      <c r="R44" s="261">
        <v>0</v>
      </c>
      <c r="S44" s="263">
        <f t="shared" ref="S44" si="16">+H44+K44+Q44+R44+N44</f>
        <v>251081.84999999998</v>
      </c>
      <c r="T44" s="215"/>
    </row>
    <row r="45" spans="1:22" s="63" customFormat="1" x14ac:dyDescent="0.25">
      <c r="A45" s="255" t="s">
        <v>221</v>
      </c>
      <c r="B45" s="258" t="s">
        <v>194</v>
      </c>
      <c r="C45" s="264" t="s">
        <v>195</v>
      </c>
      <c r="D45" s="257" t="s">
        <v>221</v>
      </c>
      <c r="E45" s="258" t="s">
        <v>221</v>
      </c>
      <c r="F45" s="259">
        <v>0</v>
      </c>
      <c r="G45" s="260">
        <f>+Perfils!$G$34</f>
        <v>70.44</v>
      </c>
      <c r="H45" s="261">
        <f t="shared" si="10"/>
        <v>0</v>
      </c>
      <c r="I45" s="259">
        <v>0</v>
      </c>
      <c r="J45" s="260">
        <f>+Perfils!$G$49</f>
        <v>70.44</v>
      </c>
      <c r="K45" s="261">
        <f t="shared" si="11"/>
        <v>0</v>
      </c>
      <c r="L45" s="259">
        <v>2413.4014764338444</v>
      </c>
      <c r="M45" s="261">
        <f>+Perfils!$G$64</f>
        <v>70.44</v>
      </c>
      <c r="N45" s="261">
        <f t="shared" si="12"/>
        <v>170000</v>
      </c>
      <c r="O45" s="259">
        <v>0</v>
      </c>
      <c r="P45" s="260">
        <f>+Perfils!$G$79</f>
        <v>70.44</v>
      </c>
      <c r="Q45" s="261">
        <f t="shared" si="13"/>
        <v>0</v>
      </c>
      <c r="R45" s="261">
        <v>0</v>
      </c>
      <c r="S45" s="263">
        <f t="shared" si="9"/>
        <v>170000</v>
      </c>
      <c r="T45" s="215"/>
    </row>
    <row r="46" spans="1:22" s="63" customFormat="1" ht="15.75" x14ac:dyDescent="0.25">
      <c r="B46" s="65" t="s">
        <v>116</v>
      </c>
      <c r="C46" s="180"/>
      <c r="D46" s="181"/>
      <c r="E46" s="182"/>
      <c r="F46" s="178">
        <f>SUM(F34:F45)</f>
        <v>3507.5989494605346</v>
      </c>
      <c r="G46" s="178"/>
      <c r="H46" s="179">
        <f>SUM(H34:H45)</f>
        <v>247075.27000000002</v>
      </c>
      <c r="I46" s="222">
        <f>SUM(I34:I45)</f>
        <v>8184.3979273140258</v>
      </c>
      <c r="J46" s="178"/>
      <c r="K46" s="179">
        <f>SUM(K34:K45)</f>
        <v>576508.99</v>
      </c>
      <c r="L46" s="222">
        <f>SUM(L34:L45)</f>
        <v>2413.4014764338444</v>
      </c>
      <c r="M46" s="179"/>
      <c r="N46" s="179">
        <f>SUM(N34:N45)</f>
        <v>170000</v>
      </c>
      <c r="O46" s="178">
        <f>SUM(O34:O45)</f>
        <v>4676.7981260647357</v>
      </c>
      <c r="P46" s="178"/>
      <c r="Q46" s="179">
        <f>SUM(Q34:Q45)</f>
        <v>329433.65999999997</v>
      </c>
      <c r="R46" s="179">
        <f>SUM(R34:R45)</f>
        <v>0</v>
      </c>
      <c r="S46" s="179">
        <f>SUM(S34:S45)</f>
        <v>1323017.92</v>
      </c>
      <c r="T46" s="215"/>
    </row>
    <row r="47" spans="1:22" s="63" customFormat="1" x14ac:dyDescent="0.25">
      <c r="B47" s="2"/>
      <c r="C47" s="101"/>
      <c r="D47" s="174"/>
      <c r="E47" s="210" t="s">
        <v>197</v>
      </c>
      <c r="F47" s="211">
        <f>(F46/$E$32/8)/20</f>
        <v>1.8268744528440284</v>
      </c>
      <c r="G47" s="211"/>
      <c r="H47" s="211"/>
      <c r="I47" s="211">
        <f>(I46/$E$32/8)/20</f>
        <v>4.2627072538093884</v>
      </c>
      <c r="J47" s="212"/>
      <c r="K47" s="213"/>
      <c r="L47" s="211">
        <f>(L46/$E$32/8)/20</f>
        <v>1.2569799356426272</v>
      </c>
      <c r="M47" s="213"/>
      <c r="N47" s="213"/>
      <c r="O47" s="211">
        <f>(O46/$E$32/8)/20</f>
        <v>2.4358323573253831</v>
      </c>
      <c r="P47" s="116"/>
      <c r="Q47" s="114"/>
      <c r="R47" s="114"/>
      <c r="S47" s="211">
        <f>SUM(F47:R47)</f>
        <v>9.7823939996214264</v>
      </c>
      <c r="T47" s="211"/>
      <c r="U47" s="202"/>
      <c r="V47" s="114"/>
    </row>
    <row r="48" spans="1:22" s="63" customFormat="1" x14ac:dyDescent="0.25">
      <c r="B48" s="2"/>
      <c r="C48" s="101"/>
      <c r="D48" s="174"/>
      <c r="E48" s="113"/>
      <c r="F48" s="114"/>
      <c r="G48" s="114"/>
      <c r="H48" s="115"/>
      <c r="I48" s="114"/>
      <c r="J48" s="116"/>
      <c r="K48" s="115"/>
      <c r="L48" s="114"/>
      <c r="M48" s="115"/>
      <c r="N48" s="115"/>
      <c r="O48" s="114"/>
      <c r="P48" s="116"/>
      <c r="Q48" s="115"/>
      <c r="R48" s="115"/>
      <c r="S48" s="115"/>
      <c r="T48" s="125"/>
      <c r="U48" s="202"/>
      <c r="V48" s="126"/>
    </row>
    <row r="49" spans="1:29" x14ac:dyDescent="0.25">
      <c r="A49" s="59"/>
      <c r="B49" s="204"/>
      <c r="C49" s="58"/>
      <c r="D49" s="57"/>
      <c r="E49" s="58"/>
      <c r="F49" s="209"/>
      <c r="H49" s="57"/>
      <c r="O49" s="237"/>
      <c r="U49" s="60"/>
      <c r="V49" s="60"/>
      <c r="W49" s="99"/>
      <c r="Z49" s="60"/>
      <c r="AA49" s="59"/>
      <c r="AB49" s="59"/>
      <c r="AC49" s="59"/>
    </row>
    <row r="50" spans="1:29" ht="15.75" x14ac:dyDescent="0.25">
      <c r="A50" s="205" t="s">
        <v>255</v>
      </c>
      <c r="B50" s="201"/>
      <c r="C50" s="287"/>
      <c r="D50" s="288" t="s">
        <v>202</v>
      </c>
      <c r="E50" s="289">
        <v>8</v>
      </c>
      <c r="F50" s="287"/>
      <c r="G50" s="287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290"/>
      <c r="T50" s="63"/>
      <c r="U50" s="63"/>
      <c r="V50" s="60"/>
      <c r="X50" s="59"/>
      <c r="Y50" s="59"/>
      <c r="Z50" s="59"/>
      <c r="AA50" s="59"/>
      <c r="AB50" s="59"/>
      <c r="AC50" s="59"/>
    </row>
    <row r="51" spans="1:29" s="286" customFormat="1" ht="54" customHeight="1" x14ac:dyDescent="0.25">
      <c r="A51" s="65" t="s">
        <v>241</v>
      </c>
      <c r="B51" s="65" t="s">
        <v>0</v>
      </c>
      <c r="C51" s="65" t="s">
        <v>144</v>
      </c>
      <c r="D51" s="65" t="s">
        <v>136</v>
      </c>
      <c r="E51" s="65" t="s">
        <v>138</v>
      </c>
      <c r="F51" s="66" t="s">
        <v>133</v>
      </c>
      <c r="G51" s="66" t="s">
        <v>108</v>
      </c>
      <c r="H51" s="66" t="s">
        <v>2</v>
      </c>
      <c r="I51" s="66" t="s">
        <v>146</v>
      </c>
      <c r="J51" s="66" t="s">
        <v>108</v>
      </c>
      <c r="K51" s="66" t="s">
        <v>15</v>
      </c>
      <c r="L51" s="66" t="s">
        <v>205</v>
      </c>
      <c r="M51" s="66" t="s">
        <v>108</v>
      </c>
      <c r="N51" s="66" t="s">
        <v>206</v>
      </c>
      <c r="O51" s="66" t="s">
        <v>190</v>
      </c>
      <c r="P51" s="66" t="s">
        <v>108</v>
      </c>
      <c r="Q51" s="66" t="s">
        <v>191</v>
      </c>
      <c r="R51" s="66" t="s">
        <v>185</v>
      </c>
      <c r="S51" s="66" t="s">
        <v>154</v>
      </c>
      <c r="T51" s="285"/>
    </row>
    <row r="52" spans="1:29" s="63" customFormat="1" x14ac:dyDescent="0.25">
      <c r="A52" s="268" t="s">
        <v>226</v>
      </c>
      <c r="B52" s="256" t="s">
        <v>225</v>
      </c>
      <c r="C52" s="255" t="s">
        <v>227</v>
      </c>
      <c r="D52" s="257" t="s">
        <v>221</v>
      </c>
      <c r="E52" s="258" t="s">
        <v>221</v>
      </c>
      <c r="F52" s="269">
        <v>163.93881317433278</v>
      </c>
      <c r="G52" s="260">
        <f>+Perfils!$G$34</f>
        <v>70.44</v>
      </c>
      <c r="H52" s="271">
        <f>ROUND(F52*G52,2)</f>
        <v>11547.85</v>
      </c>
      <c r="I52" s="269">
        <v>382.52385008517888</v>
      </c>
      <c r="J52" s="260">
        <f>+Perfils!$G$49</f>
        <v>70.44</v>
      </c>
      <c r="K52" s="271">
        <f>ROUND(I52*J52,2)</f>
        <v>26944.98</v>
      </c>
      <c r="L52" s="269">
        <v>0</v>
      </c>
      <c r="M52" s="261">
        <f>+Perfils!$G$64</f>
        <v>70.44</v>
      </c>
      <c r="N52" s="271">
        <f>ROUND(L52*M52,2)</f>
        <v>0</v>
      </c>
      <c r="O52" s="269">
        <v>218.5850369108461</v>
      </c>
      <c r="P52" s="260">
        <f>+Perfils!$G$79</f>
        <v>70.44</v>
      </c>
      <c r="Q52" s="271">
        <f>ROUND(O52*P52,2)</f>
        <v>15397.13</v>
      </c>
      <c r="R52" s="271">
        <v>0</v>
      </c>
      <c r="S52" s="275">
        <f>+H52+K52+Q52+R52+N52</f>
        <v>53889.96</v>
      </c>
      <c r="T52" s="102"/>
    </row>
    <row r="53" spans="1:29" s="63" customFormat="1" x14ac:dyDescent="0.25">
      <c r="A53" s="268" t="s">
        <v>226</v>
      </c>
      <c r="B53" s="256" t="s">
        <v>231</v>
      </c>
      <c r="C53" s="255" t="s">
        <v>232</v>
      </c>
      <c r="D53" s="257" t="s">
        <v>221</v>
      </c>
      <c r="E53" s="258" t="s">
        <v>221</v>
      </c>
      <c r="F53" s="269">
        <v>320.97884724588306</v>
      </c>
      <c r="G53" s="260">
        <f>+Perfils!$G$34</f>
        <v>70.44</v>
      </c>
      <c r="H53" s="271">
        <f t="shared" ref="H53:H63" si="17">ROUND(F53*G53,2)</f>
        <v>22609.75</v>
      </c>
      <c r="I53" s="269">
        <v>748.95059625212957</v>
      </c>
      <c r="J53" s="260">
        <f>+Perfils!$G$49</f>
        <v>70.44</v>
      </c>
      <c r="K53" s="271">
        <f t="shared" ref="K53:K63" si="18">ROUND(I53*J53,2)</f>
        <v>52756.08</v>
      </c>
      <c r="L53" s="269">
        <v>0</v>
      </c>
      <c r="M53" s="261">
        <f>+Perfils!$G$64</f>
        <v>70.44</v>
      </c>
      <c r="N53" s="271">
        <f t="shared" ref="N53:N63" si="19">ROUND(L53*M53,2)</f>
        <v>0</v>
      </c>
      <c r="O53" s="269">
        <v>427.97174900624651</v>
      </c>
      <c r="P53" s="260">
        <f>+Perfils!$G$79</f>
        <v>70.44</v>
      </c>
      <c r="Q53" s="271">
        <f t="shared" ref="Q53:Q63" si="20">ROUND(O53*P53,2)</f>
        <v>30146.33</v>
      </c>
      <c r="R53" s="271">
        <v>0</v>
      </c>
      <c r="S53" s="275">
        <f t="shared" ref="S53:S63" si="21">+H53+K53+Q53+R53+N53</f>
        <v>105512.16</v>
      </c>
      <c r="T53" s="102"/>
    </row>
    <row r="54" spans="1:29" s="63" customFormat="1" x14ac:dyDescent="0.25">
      <c r="A54" s="268" t="s">
        <v>230</v>
      </c>
      <c r="B54" s="256" t="s">
        <v>228</v>
      </c>
      <c r="C54" s="255" t="s">
        <v>229</v>
      </c>
      <c r="D54" s="257" t="s">
        <v>221</v>
      </c>
      <c r="E54" s="258" t="s">
        <v>221</v>
      </c>
      <c r="F54" s="269">
        <v>23.002129471890971</v>
      </c>
      <c r="G54" s="260">
        <f>+Perfils!$G$34</f>
        <v>70.44</v>
      </c>
      <c r="H54" s="271">
        <f t="shared" si="17"/>
        <v>1620.27</v>
      </c>
      <c r="I54" s="269">
        <v>53.671635434412266</v>
      </c>
      <c r="J54" s="260">
        <f>+Perfils!$G$49</f>
        <v>70.44</v>
      </c>
      <c r="K54" s="271">
        <f t="shared" si="18"/>
        <v>3780.63</v>
      </c>
      <c r="L54" s="269">
        <v>0</v>
      </c>
      <c r="M54" s="261">
        <f>+Perfils!$G$64</f>
        <v>70.44</v>
      </c>
      <c r="N54" s="271">
        <f t="shared" si="19"/>
        <v>0</v>
      </c>
      <c r="O54" s="269">
        <v>30.669363997728563</v>
      </c>
      <c r="P54" s="260">
        <f>+Perfils!$G$79</f>
        <v>70.44</v>
      </c>
      <c r="Q54" s="271">
        <f t="shared" si="20"/>
        <v>2160.35</v>
      </c>
      <c r="R54" s="271">
        <v>0</v>
      </c>
      <c r="S54" s="275">
        <f t="shared" si="21"/>
        <v>7561.25</v>
      </c>
      <c r="T54" s="102"/>
    </row>
    <row r="55" spans="1:29" s="63" customFormat="1" x14ac:dyDescent="0.25">
      <c r="A55" s="268" t="s">
        <v>235</v>
      </c>
      <c r="B55" s="256" t="s">
        <v>251</v>
      </c>
      <c r="C55" s="255" t="s">
        <v>252</v>
      </c>
      <c r="D55" s="257"/>
      <c r="E55" s="258"/>
      <c r="F55" s="269">
        <v>139.49417944349801</v>
      </c>
      <c r="G55" s="260">
        <f>+Perfils!$G$34</f>
        <v>70.44</v>
      </c>
      <c r="H55" s="271">
        <f t="shared" si="17"/>
        <v>9825.9699999999993</v>
      </c>
      <c r="I55" s="269">
        <v>325.48622941510507</v>
      </c>
      <c r="J55" s="260">
        <f>+Perfils!$G$49</f>
        <v>70.44</v>
      </c>
      <c r="K55" s="271">
        <f t="shared" si="18"/>
        <v>22927.25</v>
      </c>
      <c r="L55" s="269">
        <v>0</v>
      </c>
      <c r="M55" s="261">
        <f>+Perfils!$G$64</f>
        <v>70.44</v>
      </c>
      <c r="N55" s="271">
        <f t="shared" si="19"/>
        <v>0</v>
      </c>
      <c r="O55" s="269">
        <v>185.99219193639979</v>
      </c>
      <c r="P55" s="260">
        <f>+Perfils!$G$79</f>
        <v>70.44</v>
      </c>
      <c r="Q55" s="271">
        <f t="shared" si="20"/>
        <v>13101.29</v>
      </c>
      <c r="R55" s="271">
        <v>0</v>
      </c>
      <c r="S55" s="275">
        <f t="shared" si="21"/>
        <v>45854.51</v>
      </c>
      <c r="T55" s="102"/>
    </row>
    <row r="56" spans="1:29" s="63" customFormat="1" x14ac:dyDescent="0.25">
      <c r="A56" s="268" t="s">
        <v>238</v>
      </c>
      <c r="B56" s="256" t="s">
        <v>233</v>
      </c>
      <c r="C56" s="255" t="s">
        <v>234</v>
      </c>
      <c r="D56" s="257" t="s">
        <v>221</v>
      </c>
      <c r="E56" s="258" t="s">
        <v>221</v>
      </c>
      <c r="F56" s="269">
        <v>422.50653038046568</v>
      </c>
      <c r="G56" s="260">
        <f>+Perfils!$G$34</f>
        <v>70.44</v>
      </c>
      <c r="H56" s="271">
        <f t="shared" si="17"/>
        <v>29761.360000000001</v>
      </c>
      <c r="I56" s="269">
        <v>985.84852356615556</v>
      </c>
      <c r="J56" s="260">
        <f>+Perfils!$G$49</f>
        <v>70.44</v>
      </c>
      <c r="K56" s="271">
        <f t="shared" si="18"/>
        <v>69443.17</v>
      </c>
      <c r="L56" s="269">
        <v>0</v>
      </c>
      <c r="M56" s="261">
        <f>+Perfils!$G$64</f>
        <v>70.44</v>
      </c>
      <c r="N56" s="271">
        <f t="shared" si="19"/>
        <v>0</v>
      </c>
      <c r="O56" s="269">
        <v>563.34199318568994</v>
      </c>
      <c r="P56" s="260">
        <f>+Perfils!$G$79</f>
        <v>70.44</v>
      </c>
      <c r="Q56" s="271">
        <f t="shared" si="20"/>
        <v>39681.81</v>
      </c>
      <c r="R56" s="271">
        <v>0</v>
      </c>
      <c r="S56" s="275">
        <f t="shared" si="21"/>
        <v>138886.34</v>
      </c>
      <c r="T56" s="102"/>
    </row>
    <row r="57" spans="1:29" s="63" customFormat="1" x14ac:dyDescent="0.25">
      <c r="A57" s="268" t="s">
        <v>238</v>
      </c>
      <c r="B57" s="256" t="s">
        <v>236</v>
      </c>
      <c r="C57" s="255" t="s">
        <v>237</v>
      </c>
      <c r="D57" s="257" t="s">
        <v>221</v>
      </c>
      <c r="E57" s="258" t="s">
        <v>221</v>
      </c>
      <c r="F57" s="269">
        <v>161.73850085178876</v>
      </c>
      <c r="G57" s="260">
        <f>+Perfils!$G$34</f>
        <v>70.44</v>
      </c>
      <c r="H57" s="271">
        <f t="shared" si="17"/>
        <v>11392.86</v>
      </c>
      <c r="I57" s="269">
        <v>377.38969335604776</v>
      </c>
      <c r="J57" s="260">
        <f>+Perfils!$G$49</f>
        <v>70.44</v>
      </c>
      <c r="K57" s="271">
        <f t="shared" si="18"/>
        <v>26583.33</v>
      </c>
      <c r="L57" s="269">
        <v>0</v>
      </c>
      <c r="M57" s="261">
        <f>+Perfils!$G$64</f>
        <v>70.44</v>
      </c>
      <c r="N57" s="271">
        <f t="shared" si="19"/>
        <v>0</v>
      </c>
      <c r="O57" s="269">
        <v>215.65119250425894</v>
      </c>
      <c r="P57" s="260">
        <f>+Perfils!$G$79</f>
        <v>70.44</v>
      </c>
      <c r="Q57" s="271">
        <f t="shared" si="20"/>
        <v>15190.47</v>
      </c>
      <c r="R57" s="271">
        <v>0</v>
      </c>
      <c r="S57" s="275">
        <f>+H57+K57+Q57+R57+N57</f>
        <v>53166.66</v>
      </c>
      <c r="T57" s="102"/>
    </row>
    <row r="58" spans="1:29" s="63" customFormat="1" x14ac:dyDescent="0.25">
      <c r="A58" s="268" t="s">
        <v>249</v>
      </c>
      <c r="B58" s="256" t="s">
        <v>239</v>
      </c>
      <c r="C58" s="255" t="s">
        <v>240</v>
      </c>
      <c r="D58" s="257" t="s">
        <v>221</v>
      </c>
      <c r="E58" s="258" t="s">
        <v>221</v>
      </c>
      <c r="F58" s="269">
        <v>140.08219761499149</v>
      </c>
      <c r="G58" s="260">
        <f>+Perfils!$G$34</f>
        <v>70.44</v>
      </c>
      <c r="H58" s="271">
        <f t="shared" si="17"/>
        <v>9867.39</v>
      </c>
      <c r="I58" s="269">
        <v>326.85846110164681</v>
      </c>
      <c r="J58" s="260">
        <f>+Perfils!$G$49</f>
        <v>70.44</v>
      </c>
      <c r="K58" s="271">
        <f t="shared" si="18"/>
        <v>23023.91</v>
      </c>
      <c r="L58" s="269">
        <v>0</v>
      </c>
      <c r="M58" s="261">
        <f>+Perfils!$G$64</f>
        <v>70.44</v>
      </c>
      <c r="N58" s="271">
        <f t="shared" si="19"/>
        <v>0</v>
      </c>
      <c r="O58" s="269">
        <v>186.77626348665532</v>
      </c>
      <c r="P58" s="260">
        <f>+Perfils!$G$79</f>
        <v>70.44</v>
      </c>
      <c r="Q58" s="271">
        <f t="shared" si="20"/>
        <v>13156.52</v>
      </c>
      <c r="R58" s="271">
        <v>0</v>
      </c>
      <c r="S58" s="275">
        <f t="shared" ref="S58:S61" si="22">+H58+K58+Q58+R58+N58</f>
        <v>46047.820000000007</v>
      </c>
      <c r="T58" s="102"/>
    </row>
    <row r="59" spans="1:29" s="63" customFormat="1" x14ac:dyDescent="0.25">
      <c r="A59" s="268" t="s">
        <v>242</v>
      </c>
      <c r="B59" s="256" t="s">
        <v>243</v>
      </c>
      <c r="C59" s="255" t="s">
        <v>244</v>
      </c>
      <c r="D59" s="257" t="s">
        <v>221</v>
      </c>
      <c r="E59" s="258" t="s">
        <v>221</v>
      </c>
      <c r="F59" s="269">
        <v>110.6179727427598</v>
      </c>
      <c r="G59" s="260">
        <f>+Perfils!$G$34</f>
        <v>70.44</v>
      </c>
      <c r="H59" s="271">
        <f t="shared" si="17"/>
        <v>7791.93</v>
      </c>
      <c r="I59" s="269">
        <v>258.10860306643951</v>
      </c>
      <c r="J59" s="260">
        <f>+Perfils!$G$49</f>
        <v>70.44</v>
      </c>
      <c r="K59" s="271">
        <f t="shared" si="18"/>
        <v>18181.169999999998</v>
      </c>
      <c r="L59" s="269">
        <v>0</v>
      </c>
      <c r="M59" s="261">
        <f>+Perfils!$G$64</f>
        <v>70.44</v>
      </c>
      <c r="N59" s="271">
        <f t="shared" si="19"/>
        <v>0</v>
      </c>
      <c r="O59" s="269">
        <v>147.49048835888701</v>
      </c>
      <c r="P59" s="260">
        <f>+Perfils!$G$79</f>
        <v>70.44</v>
      </c>
      <c r="Q59" s="271">
        <f t="shared" si="20"/>
        <v>10389.23</v>
      </c>
      <c r="R59" s="271">
        <v>0</v>
      </c>
      <c r="S59" s="275">
        <f t="shared" si="22"/>
        <v>36362.33</v>
      </c>
      <c r="T59" s="102"/>
    </row>
    <row r="60" spans="1:29" s="63" customFormat="1" x14ac:dyDescent="0.25">
      <c r="A60" s="268" t="s">
        <v>242</v>
      </c>
      <c r="B60" s="256" t="s">
        <v>253</v>
      </c>
      <c r="C60" s="255" t="s">
        <v>254</v>
      </c>
      <c r="D60" s="257"/>
      <c r="E60" s="258"/>
      <c r="F60" s="269">
        <v>110.6179727427598</v>
      </c>
      <c r="G60" s="260">
        <f>+Perfils!$G$34</f>
        <v>70.44</v>
      </c>
      <c r="H60" s="271">
        <f t="shared" si="17"/>
        <v>7791.93</v>
      </c>
      <c r="I60" s="269">
        <v>258.10860306643951</v>
      </c>
      <c r="J60" s="260">
        <f>+Perfils!$G$49</f>
        <v>70.44</v>
      </c>
      <c r="K60" s="271">
        <f t="shared" si="18"/>
        <v>18181.169999999998</v>
      </c>
      <c r="L60" s="269">
        <v>0</v>
      </c>
      <c r="M60" s="261">
        <f>+Perfils!$G$64</f>
        <v>70.44</v>
      </c>
      <c r="N60" s="271">
        <f t="shared" si="19"/>
        <v>0</v>
      </c>
      <c r="O60" s="269">
        <v>147.49048835888701</v>
      </c>
      <c r="P60" s="260">
        <f>+Perfils!$G$79</f>
        <v>70.44</v>
      </c>
      <c r="Q60" s="271">
        <f t="shared" si="20"/>
        <v>10389.23</v>
      </c>
      <c r="R60" s="271">
        <v>0</v>
      </c>
      <c r="S60" s="275">
        <f t="shared" si="22"/>
        <v>36362.33</v>
      </c>
      <c r="T60" s="102"/>
    </row>
    <row r="61" spans="1:29" s="63" customFormat="1" x14ac:dyDescent="0.25">
      <c r="A61" s="268" t="s">
        <v>242</v>
      </c>
      <c r="B61" s="256" t="s">
        <v>245</v>
      </c>
      <c r="C61" s="255" t="s">
        <v>246</v>
      </c>
      <c r="D61" s="257" t="s">
        <v>221</v>
      </c>
      <c r="E61" s="258" t="s">
        <v>221</v>
      </c>
      <c r="F61" s="269">
        <v>236.21124361158436</v>
      </c>
      <c r="G61" s="260">
        <f>+Perfils!$G$34</f>
        <v>70.44</v>
      </c>
      <c r="H61" s="271">
        <f t="shared" si="17"/>
        <v>16638.72</v>
      </c>
      <c r="I61" s="269">
        <v>551.15956842703008</v>
      </c>
      <c r="J61" s="260">
        <f>+Perfils!$G$49</f>
        <v>70.44</v>
      </c>
      <c r="K61" s="271">
        <f t="shared" si="18"/>
        <v>38823.68</v>
      </c>
      <c r="L61" s="269">
        <v>0</v>
      </c>
      <c r="M61" s="261">
        <f>+Perfils!$G$64</f>
        <v>70.44</v>
      </c>
      <c r="N61" s="271">
        <f t="shared" si="19"/>
        <v>0</v>
      </c>
      <c r="O61" s="269">
        <v>314.94832481544574</v>
      </c>
      <c r="P61" s="260">
        <f>+Perfils!$G$79</f>
        <v>70.44</v>
      </c>
      <c r="Q61" s="271">
        <f t="shared" si="20"/>
        <v>22184.959999999999</v>
      </c>
      <c r="R61" s="271">
        <v>0</v>
      </c>
      <c r="S61" s="275">
        <f t="shared" si="22"/>
        <v>77647.360000000001</v>
      </c>
      <c r="T61" s="102"/>
    </row>
    <row r="62" spans="1:29" s="63" customFormat="1" x14ac:dyDescent="0.25">
      <c r="A62" s="268" t="s">
        <v>242</v>
      </c>
      <c r="B62" s="256" t="s">
        <v>247</v>
      </c>
      <c r="C62" s="255" t="s">
        <v>248</v>
      </c>
      <c r="D62" s="257" t="s">
        <v>221</v>
      </c>
      <c r="E62" s="258" t="s">
        <v>221</v>
      </c>
      <c r="F62" s="269">
        <v>509.21110164679163</v>
      </c>
      <c r="G62" s="260">
        <f>+Perfils!$G$34</f>
        <v>70.44</v>
      </c>
      <c r="H62" s="271">
        <f t="shared" si="17"/>
        <v>35868.83</v>
      </c>
      <c r="I62" s="269">
        <v>1188.1594264622374</v>
      </c>
      <c r="J62" s="260">
        <f>+Perfils!$G$49</f>
        <v>70.44</v>
      </c>
      <c r="K62" s="271">
        <f t="shared" si="18"/>
        <v>83693.95</v>
      </c>
      <c r="L62" s="269">
        <v>0</v>
      </c>
      <c r="M62" s="261">
        <f>+Perfils!$G$64</f>
        <v>70.44</v>
      </c>
      <c r="N62" s="271">
        <f t="shared" si="19"/>
        <v>0</v>
      </c>
      <c r="O62" s="269">
        <v>678.9481828506531</v>
      </c>
      <c r="P62" s="260">
        <f>+Perfils!$G$79</f>
        <v>70.44</v>
      </c>
      <c r="Q62" s="271">
        <f t="shared" si="20"/>
        <v>47825.11</v>
      </c>
      <c r="R62" s="271">
        <v>0</v>
      </c>
      <c r="S62" s="275">
        <f t="shared" si="21"/>
        <v>167387.89000000001</v>
      </c>
      <c r="T62" s="102"/>
    </row>
    <row r="63" spans="1:29" s="63" customFormat="1" x14ac:dyDescent="0.25">
      <c r="A63" s="268" t="s">
        <v>242</v>
      </c>
      <c r="B63" s="258" t="s">
        <v>194</v>
      </c>
      <c r="C63" s="264" t="s">
        <v>195</v>
      </c>
      <c r="D63" s="257" t="s">
        <v>221</v>
      </c>
      <c r="E63" s="258" t="s">
        <v>221</v>
      </c>
      <c r="F63" s="269">
        <v>0</v>
      </c>
      <c r="G63" s="260">
        <f>+Perfils!$G$34</f>
        <v>70.44</v>
      </c>
      <c r="H63" s="271">
        <f t="shared" si="17"/>
        <v>0</v>
      </c>
      <c r="I63" s="269">
        <v>0</v>
      </c>
      <c r="J63" s="260">
        <f>+Perfils!$G$49</f>
        <v>70.44</v>
      </c>
      <c r="K63" s="271">
        <f t="shared" si="18"/>
        <v>0</v>
      </c>
      <c r="L63" s="269">
        <v>1916.5247018739353</v>
      </c>
      <c r="M63" s="261">
        <f>+Perfils!$G$64</f>
        <v>70.44</v>
      </c>
      <c r="N63" s="271">
        <f t="shared" si="19"/>
        <v>135000</v>
      </c>
      <c r="O63" s="269">
        <v>0</v>
      </c>
      <c r="P63" s="260">
        <f>+Perfils!$G$79</f>
        <v>70.44</v>
      </c>
      <c r="Q63" s="271">
        <f t="shared" si="20"/>
        <v>0</v>
      </c>
      <c r="R63" s="271">
        <f>ROUND(R45/12*$E$50,2)</f>
        <v>0</v>
      </c>
      <c r="S63" s="275">
        <f t="shared" si="21"/>
        <v>135000</v>
      </c>
      <c r="T63" s="102"/>
    </row>
    <row r="64" spans="1:29" s="63" customFormat="1" ht="15.75" x14ac:dyDescent="0.25">
      <c r="A64" s="276"/>
      <c r="B64" s="267" t="s">
        <v>116</v>
      </c>
      <c r="C64" s="277"/>
      <c r="D64" s="278"/>
      <c r="E64" s="279"/>
      <c r="F64" s="280">
        <f>SUM(F52:F63)</f>
        <v>2338.3994889267465</v>
      </c>
      <c r="G64" s="280"/>
      <c r="H64" s="281">
        <f>SUM(H52:H63)</f>
        <v>164716.85999999999</v>
      </c>
      <c r="I64" s="280">
        <f>SUM(I52:I63)</f>
        <v>5456.2651902328225</v>
      </c>
      <c r="J64" s="280"/>
      <c r="K64" s="281">
        <f>SUM(K52:K63)</f>
        <v>384339.32</v>
      </c>
      <c r="L64" s="222">
        <f>SUM(L52:L63)</f>
        <v>1916.5247018739353</v>
      </c>
      <c r="M64" s="281"/>
      <c r="N64" s="281">
        <f>SUM(N52:N63)</f>
        <v>135000</v>
      </c>
      <c r="O64" s="280">
        <f>SUM(O52:O63)</f>
        <v>3117.8652754116979</v>
      </c>
      <c r="P64" s="280"/>
      <c r="Q64" s="281">
        <f>SUM(Q52:Q63)</f>
        <v>219622.43</v>
      </c>
      <c r="R64" s="281">
        <f>SUM(R52:R63)</f>
        <v>0</v>
      </c>
      <c r="S64" s="281">
        <f>SUM(S52:S63)</f>
        <v>903678.6100000001</v>
      </c>
    </row>
    <row r="65" spans="1:29" s="63" customFormat="1" x14ac:dyDescent="0.25">
      <c r="A65" s="276"/>
      <c r="B65" s="282"/>
      <c r="C65" s="277"/>
      <c r="D65" s="278"/>
      <c r="E65" s="279"/>
      <c r="F65" s="270"/>
      <c r="G65" s="270"/>
      <c r="H65" s="271"/>
      <c r="I65" s="270"/>
      <c r="J65" s="270"/>
      <c r="K65" s="271"/>
      <c r="L65" s="271"/>
      <c r="M65" s="271"/>
      <c r="N65" s="271"/>
      <c r="O65" s="270"/>
      <c r="P65" s="270"/>
      <c r="Q65" s="271"/>
      <c r="R65" s="271"/>
      <c r="S65" s="276"/>
    </row>
    <row r="66" spans="1:29" s="63" customFormat="1" x14ac:dyDescent="0.25">
      <c r="A66" s="276"/>
      <c r="B66" s="282"/>
      <c r="C66" s="277"/>
      <c r="D66" s="278"/>
      <c r="E66" s="283" t="s">
        <v>197</v>
      </c>
      <c r="F66" s="280">
        <f>(F64/$E$50/8)/20</f>
        <v>1.8268746007240206</v>
      </c>
      <c r="G66" s="280"/>
      <c r="H66" s="280"/>
      <c r="I66" s="280">
        <f>(I64/$E$50/8)/20</f>
        <v>4.262707179869393</v>
      </c>
      <c r="J66" s="280"/>
      <c r="K66" s="284"/>
      <c r="L66" s="280"/>
      <c r="M66" s="284"/>
      <c r="N66" s="284"/>
      <c r="O66" s="280">
        <f>(O64/$E$14/8)/20</f>
        <v>9.7433289856615559</v>
      </c>
      <c r="P66" s="270"/>
      <c r="Q66" s="280"/>
      <c r="R66" s="270"/>
      <c r="S66" s="280">
        <f>SUM(F66:R66)</f>
        <v>15.832910766254969</v>
      </c>
    </row>
    <row r="67" spans="1:29" x14ac:dyDescent="0.25">
      <c r="A67" s="59"/>
      <c r="B67" s="204"/>
      <c r="C67" s="58"/>
      <c r="D67" s="57"/>
      <c r="E67" s="58"/>
      <c r="F67" s="209"/>
      <c r="H67" s="57"/>
      <c r="J67" s="223"/>
      <c r="K67" s="223"/>
      <c r="L67" s="223"/>
      <c r="N67" s="179"/>
      <c r="U67" s="60"/>
      <c r="V67" s="60"/>
      <c r="W67" s="99"/>
      <c r="Z67" s="60"/>
      <c r="AA67" s="59"/>
      <c r="AB67" s="59"/>
      <c r="AC67" s="59"/>
    </row>
    <row r="68" spans="1:29" x14ac:dyDescent="0.25">
      <c r="J68" s="223"/>
      <c r="K68" s="223"/>
      <c r="R68" s="73"/>
      <c r="T68" s="60"/>
      <c r="U68" s="60"/>
      <c r="V68" s="99"/>
      <c r="W68" s="60"/>
      <c r="Z68" s="59"/>
      <c r="AA68" s="59"/>
      <c r="AB68" s="59"/>
      <c r="AC68" s="59"/>
    </row>
    <row r="69" spans="1:29" x14ac:dyDescent="0.25">
      <c r="O69" s="223" t="s">
        <v>208</v>
      </c>
      <c r="T69" s="60"/>
      <c r="U69" s="60"/>
      <c r="V69" s="99"/>
      <c r="W69" s="60"/>
      <c r="Z69" s="59"/>
      <c r="AA69" s="59"/>
      <c r="AB69" s="59"/>
      <c r="AC69" s="59"/>
    </row>
    <row r="70" spans="1:29" x14ac:dyDescent="0.25">
      <c r="T70" s="60"/>
      <c r="U70" s="60"/>
      <c r="V70" s="99"/>
      <c r="W70" s="60"/>
      <c r="Z70" s="59"/>
      <c r="AA70" s="59"/>
      <c r="AB70" s="59"/>
      <c r="AC70" s="59"/>
    </row>
    <row r="71" spans="1:29" x14ac:dyDescent="0.25">
      <c r="T71" s="60"/>
      <c r="U71" s="60"/>
      <c r="V71" s="99"/>
      <c r="W71" s="60"/>
      <c r="Z71" s="59"/>
      <c r="AA71" s="59"/>
      <c r="AB71" s="59"/>
      <c r="AC71" s="59"/>
    </row>
    <row r="72" spans="1:29" x14ac:dyDescent="0.25">
      <c r="T72" s="60"/>
      <c r="U72" s="60"/>
      <c r="V72" s="99"/>
      <c r="W72" s="60"/>
      <c r="Z72" s="59"/>
      <c r="AA72" s="59"/>
      <c r="AB72" s="59"/>
      <c r="AC72" s="59"/>
    </row>
  </sheetData>
  <sheetProtection algorithmName="SHA-512" hashValue="QRklz10Xpefg0ERD2USt5JpBZqEyp7KIcx1Qrs7i7RO6+rtVqfmmoNuL/2ZrhgwNnK/hdUAdKvkFjQzw5oj54Q==" saltValue="InZpwAvEp1+AqOvOg35uWQ==" spinCount="100000" sheet="1" objects="1" scenarios="1" insertColumns="0" insertRows="0" sort="0" pivotTables="0"/>
  <autoFilter ref="B15:AD28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ntrol 5">
          <controlPr defaultSize="0" r:id="rId5">
            <anchor moveWithCells="1">
              <from>
                <xdr:col>1</xdr:col>
                <xdr:colOff>200025</xdr:colOff>
                <xdr:row>31</xdr:row>
                <xdr:rowOff>95250</xdr:rowOff>
              </from>
              <to>
                <xdr:col>2</xdr:col>
                <xdr:colOff>152400</xdr:colOff>
                <xdr:row>32</xdr:row>
                <xdr:rowOff>66675</xdr:rowOff>
              </to>
            </anchor>
          </controlPr>
        </control>
      </mc:Choice>
      <mc:Fallback>
        <control shapeId="2053" r:id="rId4" name="Control 5"/>
      </mc:Fallback>
    </mc:AlternateContent>
    <mc:AlternateContent xmlns:mc="http://schemas.openxmlformats.org/markup-compatibility/2006">
      <mc:Choice Requires="x14">
        <control shapeId="2052" r:id="rId6" name="Control 4">
          <controlPr defaultSize="0" r:id="rId7">
            <anchor moveWithCells="1">
              <from>
                <xdr:col>1</xdr:col>
                <xdr:colOff>200025</xdr:colOff>
                <xdr:row>31</xdr:row>
                <xdr:rowOff>95250</xdr:rowOff>
              </from>
              <to>
                <xdr:col>2</xdr:col>
                <xdr:colOff>152400</xdr:colOff>
                <xdr:row>32</xdr:row>
                <xdr:rowOff>66675</xdr:rowOff>
              </to>
            </anchor>
          </controlPr>
        </control>
      </mc:Choice>
      <mc:Fallback>
        <control shapeId="2052" r:id="rId6" name="Control 4"/>
      </mc:Fallback>
    </mc:AlternateContent>
    <mc:AlternateContent xmlns:mc="http://schemas.openxmlformats.org/markup-compatibility/2006">
      <mc:Choice Requires="x14">
        <control shapeId="2051" r:id="rId8" name="Control 3">
          <controlPr defaultSize="0" r:id="rId9">
            <anchor moveWithCells="1">
              <from>
                <xdr:col>1</xdr:col>
                <xdr:colOff>200025</xdr:colOff>
                <xdr:row>31</xdr:row>
                <xdr:rowOff>95250</xdr:rowOff>
              </from>
              <to>
                <xdr:col>2</xdr:col>
                <xdr:colOff>152400</xdr:colOff>
                <xdr:row>32</xdr:row>
                <xdr:rowOff>66675</xdr:rowOff>
              </to>
            </anchor>
          </controlPr>
        </control>
      </mc:Choice>
      <mc:Fallback>
        <control shapeId="2051" r:id="rId8" name="Control 3"/>
      </mc:Fallback>
    </mc:AlternateContent>
    <mc:AlternateContent xmlns:mc="http://schemas.openxmlformats.org/markup-compatibility/2006">
      <mc:Choice Requires="x14">
        <control shapeId="2050" r:id="rId10" name="Control 2">
          <controlPr defaultSize="0" r:id="rId11">
            <anchor moveWithCells="1">
              <from>
                <xdr:col>1</xdr:col>
                <xdr:colOff>200025</xdr:colOff>
                <xdr:row>31</xdr:row>
                <xdr:rowOff>95250</xdr:rowOff>
              </from>
              <to>
                <xdr:col>2</xdr:col>
                <xdr:colOff>152400</xdr:colOff>
                <xdr:row>32</xdr:row>
                <xdr:rowOff>66675</xdr:rowOff>
              </to>
            </anchor>
          </controlPr>
        </control>
      </mc:Choice>
      <mc:Fallback>
        <control shapeId="2050" r:id="rId10" name="Control 2"/>
      </mc:Fallback>
    </mc:AlternateContent>
    <mc:AlternateContent xmlns:mc="http://schemas.openxmlformats.org/markup-compatibility/2006">
      <mc:Choice Requires="x14">
        <control shapeId="2049" r:id="rId12" name="Control 1">
          <controlPr defaultSize="0" r:id="rId13">
            <anchor moveWithCells="1">
              <from>
                <xdr:col>1</xdr:col>
                <xdr:colOff>200025</xdr:colOff>
                <xdr:row>31</xdr:row>
                <xdr:rowOff>95250</xdr:rowOff>
              </from>
              <to>
                <xdr:col>2</xdr:col>
                <xdr:colOff>152400</xdr:colOff>
                <xdr:row>32</xdr:row>
                <xdr:rowOff>66675</xdr:rowOff>
              </to>
            </anchor>
          </controlPr>
        </control>
      </mc:Choice>
      <mc:Fallback>
        <control shapeId="2049" r:id="rId12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showGridLines="0" zoomScale="80" zoomScaleNormal="80" workbookViewId="0">
      <selection activeCell="D3" sqref="D3"/>
    </sheetView>
  </sheetViews>
  <sheetFormatPr baseColWidth="10" defaultColWidth="11.42578125" defaultRowHeight="15" x14ac:dyDescent="0.25"/>
  <cols>
    <col min="1" max="1" width="16.5703125" customWidth="1"/>
    <col min="2" max="2" width="28.28515625" customWidth="1"/>
    <col min="3" max="3" width="63.5703125" bestFit="1" customWidth="1"/>
    <col min="4" max="4" width="13.85546875" customWidth="1"/>
    <col min="5" max="5" width="13.28515625" customWidth="1"/>
    <col min="6" max="6" width="15.5703125" customWidth="1"/>
    <col min="7" max="7" width="17.28515625" customWidth="1"/>
    <col min="8" max="8" width="15.28515625" bestFit="1" customWidth="1"/>
    <col min="10" max="10" width="16" customWidth="1"/>
    <col min="11" max="11" width="15.85546875" customWidth="1"/>
  </cols>
  <sheetData>
    <row r="1" spans="3:11" ht="15.75" thickBot="1" x14ac:dyDescent="0.3"/>
    <row r="2" spans="3:11" ht="45" x14ac:dyDescent="0.35">
      <c r="C2" s="310" t="s">
        <v>5</v>
      </c>
      <c r="D2" s="253" t="s">
        <v>173</v>
      </c>
      <c r="E2" s="311" t="s">
        <v>172</v>
      </c>
      <c r="F2" s="309" t="s">
        <v>275</v>
      </c>
      <c r="G2" s="247"/>
      <c r="H2" s="245"/>
    </row>
    <row r="3" spans="3:11" ht="15.75" x14ac:dyDescent="0.25">
      <c r="C3" s="312" t="s">
        <v>256</v>
      </c>
      <c r="D3" s="254">
        <f>E3*0.21+E3</f>
        <v>86.986900000000006</v>
      </c>
      <c r="E3" s="318">
        <v>71.89</v>
      </c>
      <c r="F3" s="313">
        <f>71.89</f>
        <v>71.89</v>
      </c>
      <c r="G3" s="250"/>
      <c r="H3" s="246"/>
      <c r="I3" s="251"/>
      <c r="K3" s="39"/>
    </row>
    <row r="4" spans="3:11" ht="15.75" x14ac:dyDescent="0.25">
      <c r="C4" s="312" t="s">
        <v>260</v>
      </c>
      <c r="D4" s="254">
        <f t="shared" ref="D4:D16" si="0">E4*0.21+E4</f>
        <v>79.073499999999996</v>
      </c>
      <c r="E4" s="318">
        <v>65.349999999999994</v>
      </c>
      <c r="F4" s="313">
        <f>65.35</f>
        <v>65.349999999999994</v>
      </c>
      <c r="G4" s="250"/>
      <c r="H4" s="246"/>
      <c r="I4" s="251"/>
      <c r="K4" s="39"/>
    </row>
    <row r="5" spans="3:11" ht="15.75" x14ac:dyDescent="0.25">
      <c r="C5" s="312" t="s">
        <v>257</v>
      </c>
      <c r="D5" s="254">
        <f t="shared" si="0"/>
        <v>86.986900000000006</v>
      </c>
      <c r="E5" s="318">
        <v>71.89</v>
      </c>
      <c r="F5" s="313">
        <f>71.89</f>
        <v>71.89</v>
      </c>
      <c r="G5" s="250"/>
      <c r="H5" s="246"/>
      <c r="I5" s="251"/>
    </row>
    <row r="6" spans="3:11" ht="15.75" x14ac:dyDescent="0.25">
      <c r="C6" s="312" t="s">
        <v>261</v>
      </c>
      <c r="D6" s="254">
        <f t="shared" si="0"/>
        <v>68.316599999999994</v>
      </c>
      <c r="E6" s="318">
        <v>56.46</v>
      </c>
      <c r="F6" s="313">
        <v>56.46</v>
      </c>
      <c r="G6" s="250"/>
      <c r="H6" s="246"/>
      <c r="I6" s="251"/>
    </row>
    <row r="7" spans="3:11" ht="15.75" x14ac:dyDescent="0.25">
      <c r="C7" s="312" t="s">
        <v>262</v>
      </c>
      <c r="D7" s="254">
        <f t="shared" si="0"/>
        <v>61.056600000000003</v>
      </c>
      <c r="E7" s="318">
        <v>50.46</v>
      </c>
      <c r="F7" s="313">
        <v>50.46</v>
      </c>
      <c r="G7" s="250"/>
      <c r="H7" s="246"/>
      <c r="I7" s="251"/>
    </row>
    <row r="8" spans="3:11" ht="15.75" x14ac:dyDescent="0.25">
      <c r="C8" s="312" t="s">
        <v>263</v>
      </c>
      <c r="D8" s="254">
        <f t="shared" si="0"/>
        <v>68.316599999999994</v>
      </c>
      <c r="E8" s="318">
        <v>56.46</v>
      </c>
      <c r="F8" s="313">
        <v>56.46</v>
      </c>
      <c r="G8" s="250"/>
      <c r="H8" s="246"/>
      <c r="I8" s="251"/>
    </row>
    <row r="9" spans="3:11" ht="15.75" x14ac:dyDescent="0.25">
      <c r="C9" s="314" t="s">
        <v>264</v>
      </c>
      <c r="D9" s="254">
        <f t="shared" si="0"/>
        <v>68.316599999999994</v>
      </c>
      <c r="E9" s="318">
        <v>56.46</v>
      </c>
      <c r="F9" s="313">
        <v>56.46</v>
      </c>
      <c r="G9" s="250"/>
      <c r="H9" s="246"/>
      <c r="I9" s="251"/>
    </row>
    <row r="10" spans="3:11" ht="15.75" x14ac:dyDescent="0.25">
      <c r="C10" s="312" t="s">
        <v>265</v>
      </c>
      <c r="D10" s="254">
        <f t="shared" si="0"/>
        <v>67.481700000000004</v>
      </c>
      <c r="E10" s="318">
        <v>55.77</v>
      </c>
      <c r="F10" s="313">
        <v>55.77</v>
      </c>
      <c r="G10" s="250"/>
      <c r="H10" s="246"/>
      <c r="I10" s="251"/>
    </row>
    <row r="11" spans="3:11" ht="15.75" x14ac:dyDescent="0.25">
      <c r="C11" s="312" t="s">
        <v>266</v>
      </c>
      <c r="D11" s="254">
        <f t="shared" si="0"/>
        <v>86.986900000000006</v>
      </c>
      <c r="E11" s="318">
        <v>71.89</v>
      </c>
      <c r="F11" s="313">
        <f t="shared" ref="E11:F12" si="1">71.89</f>
        <v>71.89</v>
      </c>
      <c r="G11" s="250"/>
      <c r="H11" s="246"/>
      <c r="I11" s="251"/>
    </row>
    <row r="12" spans="3:11" ht="15.75" x14ac:dyDescent="0.25">
      <c r="C12" s="312" t="s">
        <v>267</v>
      </c>
      <c r="D12" s="254">
        <f t="shared" si="0"/>
        <v>86.986900000000006</v>
      </c>
      <c r="E12" s="318">
        <v>71.89</v>
      </c>
      <c r="F12" s="313">
        <f t="shared" si="1"/>
        <v>71.89</v>
      </c>
      <c r="G12" s="250"/>
      <c r="H12" s="246"/>
      <c r="I12" s="251"/>
    </row>
    <row r="13" spans="3:11" ht="15.75" x14ac:dyDescent="0.25">
      <c r="C13" s="312" t="s">
        <v>268</v>
      </c>
      <c r="D13" s="254">
        <f t="shared" si="0"/>
        <v>68.316599999999994</v>
      </c>
      <c r="E13" s="318">
        <v>56.46</v>
      </c>
      <c r="F13" s="313">
        <v>56.46</v>
      </c>
      <c r="G13" s="250"/>
      <c r="H13" s="246"/>
      <c r="I13" s="251"/>
    </row>
    <row r="14" spans="3:11" ht="15.75" x14ac:dyDescent="0.25">
      <c r="C14" s="312" t="s">
        <v>258</v>
      </c>
      <c r="D14" s="254">
        <f t="shared" si="0"/>
        <v>58.394599999999997</v>
      </c>
      <c r="E14" s="318">
        <v>48.26</v>
      </c>
      <c r="F14" s="313">
        <v>48.26</v>
      </c>
      <c r="G14" s="250"/>
      <c r="H14" s="246"/>
      <c r="I14" s="251"/>
    </row>
    <row r="15" spans="3:11" ht="15.75" x14ac:dyDescent="0.25">
      <c r="C15" s="312" t="s">
        <v>259</v>
      </c>
      <c r="D15" s="254">
        <f t="shared" si="0"/>
        <v>51.352399999999996</v>
      </c>
      <c r="E15" s="318">
        <v>42.44</v>
      </c>
      <c r="F15" s="313">
        <v>42.44</v>
      </c>
      <c r="G15" s="250"/>
      <c r="H15" s="246"/>
      <c r="I15" s="251"/>
    </row>
    <row r="16" spans="3:11" ht="16.5" thickBot="1" x14ac:dyDescent="0.3">
      <c r="C16" s="315" t="s">
        <v>222</v>
      </c>
      <c r="D16" s="316">
        <f t="shared" si="0"/>
        <v>89.769899999999993</v>
      </c>
      <c r="E16" s="319">
        <v>74.19</v>
      </c>
      <c r="F16" s="317">
        <v>74.19</v>
      </c>
      <c r="G16" s="250"/>
      <c r="H16" s="246"/>
      <c r="I16" s="251"/>
    </row>
    <row r="17" spans="1:9" x14ac:dyDescent="0.25">
      <c r="H17" s="250"/>
      <c r="I17" s="252"/>
    </row>
    <row r="19" spans="1:9" ht="30" x14ac:dyDescent="0.25">
      <c r="B19" s="67" t="s">
        <v>4</v>
      </c>
      <c r="C19" s="67" t="s">
        <v>5</v>
      </c>
      <c r="D19" s="67" t="s">
        <v>6</v>
      </c>
      <c r="E19" s="196" t="s">
        <v>186</v>
      </c>
      <c r="F19" s="196" t="s">
        <v>187</v>
      </c>
      <c r="G19" s="67" t="s">
        <v>203</v>
      </c>
    </row>
    <row r="20" spans="1:9" x14ac:dyDescent="0.25">
      <c r="A20" s="291"/>
      <c r="B20" s="297" t="s">
        <v>7</v>
      </c>
      <c r="C20" s="218" t="str">
        <f>$C$3</f>
        <v>Full Stack Developer en PYTHON</v>
      </c>
      <c r="D20" s="70">
        <v>0.13745704467353953</v>
      </c>
      <c r="E20" s="68">
        <f>$D$3</f>
        <v>86.986900000000006</v>
      </c>
      <c r="F20" s="68">
        <f>$E$3</f>
        <v>71.89</v>
      </c>
      <c r="G20" s="68">
        <f t="shared" ref="G20:G33" si="2">E20*D20</f>
        <v>11.956962199312716</v>
      </c>
    </row>
    <row r="21" spans="1:9" x14ac:dyDescent="0.25">
      <c r="B21" s="298"/>
      <c r="C21" s="219" t="str">
        <f>$C$4</f>
        <v>Consultor/a sènior Wordpress</v>
      </c>
      <c r="D21" s="70">
        <v>1.0309278350515464E-2</v>
      </c>
      <c r="E21" s="68">
        <f>$D$4</f>
        <v>79.073499999999996</v>
      </c>
      <c r="F21" s="68">
        <f>$E$4</f>
        <v>65.349999999999994</v>
      </c>
      <c r="G21" s="68">
        <f t="shared" si="2"/>
        <v>0.81519072164948447</v>
      </c>
    </row>
    <row r="22" spans="1:9" x14ac:dyDescent="0.25">
      <c r="B22" s="298"/>
      <c r="C22" s="219" t="str">
        <f>+$C$5</f>
        <v>Full Stack Developer en DRUPAL</v>
      </c>
      <c r="D22" s="70">
        <v>6.8728522336769765E-2</v>
      </c>
      <c r="E22" s="68">
        <f>$D$5</f>
        <v>86.986900000000006</v>
      </c>
      <c r="F22" s="68">
        <f>$E$5</f>
        <v>71.89</v>
      </c>
      <c r="G22" s="68">
        <f t="shared" si="2"/>
        <v>5.9784810996563582</v>
      </c>
    </row>
    <row r="23" spans="1:9" x14ac:dyDescent="0.25">
      <c r="B23" s="298"/>
      <c r="C23" s="219" t="str">
        <f>$C$6</f>
        <v>Consultor/a sènior DRUPAL</v>
      </c>
      <c r="D23" s="70">
        <v>6.8728522336769765E-2</v>
      </c>
      <c r="E23" s="68">
        <f>$D$6</f>
        <v>68.316599999999994</v>
      </c>
      <c r="F23" s="68">
        <f>$E$6</f>
        <v>56.46</v>
      </c>
      <c r="G23" s="68">
        <f t="shared" si="2"/>
        <v>4.6952989690721649</v>
      </c>
    </row>
    <row r="24" spans="1:9" x14ac:dyDescent="0.25">
      <c r="B24" s="298"/>
      <c r="C24" s="219" t="str">
        <f>$C$7</f>
        <v>Consultor/a júnior DRUPAL</v>
      </c>
      <c r="D24" s="70">
        <v>6.8728522336769765E-2</v>
      </c>
      <c r="E24" s="68">
        <f>$D$7</f>
        <v>61.056600000000003</v>
      </c>
      <c r="F24" s="68">
        <f>$E$7</f>
        <v>50.46</v>
      </c>
      <c r="G24" s="68">
        <f t="shared" si="2"/>
        <v>4.1963298969072174</v>
      </c>
    </row>
    <row r="25" spans="1:9" x14ac:dyDescent="0.25">
      <c r="B25" s="298"/>
      <c r="C25" s="219" t="str">
        <f>$C$8</f>
        <v>Consultor/a sènior JAVASCRIP</v>
      </c>
      <c r="D25" s="70">
        <v>3.4364261168384883E-2</v>
      </c>
      <c r="E25" s="68">
        <f>$D$8</f>
        <v>68.316599999999994</v>
      </c>
      <c r="F25" s="68">
        <f>$E$8</f>
        <v>56.46</v>
      </c>
      <c r="G25" s="68">
        <f t="shared" si="2"/>
        <v>2.3476494845360825</v>
      </c>
    </row>
    <row r="26" spans="1:9" x14ac:dyDescent="0.25">
      <c r="B26" s="298"/>
      <c r="C26" s="219" t="str">
        <f>$C$9</f>
        <v>Consultor/a sènior JAVASCRIP SPA</v>
      </c>
      <c r="D26" s="70">
        <v>3.4364261168384883E-2</v>
      </c>
      <c r="E26" s="68">
        <f>$D$9</f>
        <v>68.316599999999994</v>
      </c>
      <c r="F26" s="68">
        <f>$E$9</f>
        <v>56.46</v>
      </c>
      <c r="G26" s="68">
        <f t="shared" si="2"/>
        <v>2.3476494845360825</v>
      </c>
    </row>
    <row r="27" spans="1:9" x14ac:dyDescent="0.25">
      <c r="B27" s="298"/>
      <c r="C27" s="219" t="str">
        <f>$C$10</f>
        <v>Analista programador/a LIFERAY</v>
      </c>
      <c r="D27" s="70">
        <v>0.13745704467353953</v>
      </c>
      <c r="E27" s="68">
        <f>$D$10</f>
        <v>67.481700000000004</v>
      </c>
      <c r="F27" s="68">
        <f>$E$10</f>
        <v>55.77</v>
      </c>
      <c r="G27" s="68">
        <f t="shared" si="2"/>
        <v>9.2758350515463928</v>
      </c>
    </row>
    <row r="28" spans="1:9" x14ac:dyDescent="0.25">
      <c r="B28" s="298"/>
      <c r="C28" s="219" t="str">
        <f>$C$11</f>
        <v>Arquitecte/a LIFERAY</v>
      </c>
      <c r="D28" s="70">
        <v>1.3745704467353953E-2</v>
      </c>
      <c r="E28" s="68">
        <f>$D$11</f>
        <v>86.986900000000006</v>
      </c>
      <c r="F28" s="68">
        <f>$E$11</f>
        <v>71.89</v>
      </c>
      <c r="G28" s="68">
        <f t="shared" si="2"/>
        <v>1.1956962199312717</v>
      </c>
    </row>
    <row r="29" spans="1:9" x14ac:dyDescent="0.25">
      <c r="B29" s="298"/>
      <c r="C29" s="219" t="str">
        <f>$C$12</f>
        <v>Arquitecte/a DevOps</v>
      </c>
      <c r="D29" s="70">
        <v>1.3745704467353953E-2</v>
      </c>
      <c r="E29" s="68">
        <f>$D$12</f>
        <v>86.986900000000006</v>
      </c>
      <c r="F29" s="68">
        <f>$E$12</f>
        <v>71.89</v>
      </c>
      <c r="G29" s="68">
        <f t="shared" si="2"/>
        <v>1.1956962199312717</v>
      </c>
    </row>
    <row r="30" spans="1:9" x14ac:dyDescent="0.25">
      <c r="B30" s="298"/>
      <c r="C30" s="219" t="str">
        <f>$C$13</f>
        <v>Consultor/a referent Serveis Transversals</v>
      </c>
      <c r="D30" s="70">
        <v>6.8728522336769765E-2</v>
      </c>
      <c r="E30" s="68">
        <f>$D$13</f>
        <v>68.316599999999994</v>
      </c>
      <c r="F30" s="68">
        <f>$E$13</f>
        <v>56.46</v>
      </c>
      <c r="G30" s="68">
        <f t="shared" si="2"/>
        <v>4.6952989690721649</v>
      </c>
    </row>
    <row r="31" spans="1:9" x14ac:dyDescent="0.25">
      <c r="B31" s="298"/>
      <c r="C31" s="219" t="str">
        <f>$C$14</f>
        <v>Suport sènior Serveis Transversals</v>
      </c>
      <c r="D31" s="70">
        <v>0.2061855670103093</v>
      </c>
      <c r="E31" s="68">
        <f>$D$14</f>
        <v>58.394599999999997</v>
      </c>
      <c r="F31" s="68">
        <f>$E$14</f>
        <v>48.26</v>
      </c>
      <c r="G31" s="68">
        <f t="shared" si="2"/>
        <v>12.040123711340206</v>
      </c>
    </row>
    <row r="32" spans="1:9" x14ac:dyDescent="0.25">
      <c r="B32" s="298"/>
      <c r="C32" s="219" t="str">
        <f>$C$15</f>
        <v>Suport júnior Serveis Transversals</v>
      </c>
      <c r="D32" s="70">
        <v>6.8728522336769765E-2</v>
      </c>
      <c r="E32" s="68">
        <f>$D$15</f>
        <v>51.352399999999996</v>
      </c>
      <c r="F32" s="68">
        <f>$E$15</f>
        <v>42.44</v>
      </c>
      <c r="G32" s="68">
        <f t="shared" si="2"/>
        <v>3.5293745704467354</v>
      </c>
    </row>
    <row r="33" spans="2:9" x14ac:dyDescent="0.25">
      <c r="B33" s="298"/>
      <c r="C33" s="219" t="str">
        <f>$C$16</f>
        <v xml:space="preserve">Cap de projecte sènior </v>
      </c>
      <c r="D33" s="70">
        <v>6.8728522336769765E-2</v>
      </c>
      <c r="E33" s="68">
        <f>$D$16</f>
        <v>89.769899999999993</v>
      </c>
      <c r="F33" s="68">
        <f>$E$16</f>
        <v>74.19</v>
      </c>
      <c r="G33" s="68">
        <f t="shared" si="2"/>
        <v>6.1697525773195876</v>
      </c>
    </row>
    <row r="34" spans="2:9" x14ac:dyDescent="0.25">
      <c r="B34" s="299"/>
      <c r="C34" s="293" t="s">
        <v>117</v>
      </c>
      <c r="D34" s="293"/>
      <c r="E34" s="293"/>
      <c r="F34" s="69"/>
      <c r="G34" s="69">
        <f>ROUND(SUM(G20:G33),2)</f>
        <v>70.44</v>
      </c>
      <c r="H34" s="117">
        <f>SUM(D20:D33)</f>
        <v>0.99999999999999989</v>
      </c>
      <c r="I34" s="63"/>
    </row>
    <row r="35" spans="2:9" x14ac:dyDescent="0.25">
      <c r="B35" s="294" t="s">
        <v>13</v>
      </c>
      <c r="C35" s="218" t="str">
        <f>$C$3</f>
        <v>Full Stack Developer en PYTHON</v>
      </c>
      <c r="D35" s="70">
        <v>0.13745704467353953</v>
      </c>
      <c r="E35" s="68">
        <f>$D$3</f>
        <v>86.986900000000006</v>
      </c>
      <c r="F35" s="68">
        <f>$E$3</f>
        <v>71.89</v>
      </c>
      <c r="G35" s="68">
        <f t="shared" ref="G35:G48" si="3">E35*D35</f>
        <v>11.956962199312716</v>
      </c>
    </row>
    <row r="36" spans="2:9" ht="15" customHeight="1" x14ac:dyDescent="0.25">
      <c r="B36" s="295"/>
      <c r="C36" s="219" t="str">
        <f>$C$4</f>
        <v>Consultor/a sènior Wordpress</v>
      </c>
      <c r="D36" s="70">
        <v>1.0309278350515464E-2</v>
      </c>
      <c r="E36" s="68">
        <f>$D$4</f>
        <v>79.073499999999996</v>
      </c>
      <c r="F36" s="68">
        <f>$E$4</f>
        <v>65.349999999999994</v>
      </c>
      <c r="G36" s="68">
        <f t="shared" si="3"/>
        <v>0.81519072164948447</v>
      </c>
    </row>
    <row r="37" spans="2:9" x14ac:dyDescent="0.25">
      <c r="B37" s="295"/>
      <c r="C37" s="219" t="str">
        <f>+$C$5</f>
        <v>Full Stack Developer en DRUPAL</v>
      </c>
      <c r="D37" s="70">
        <v>6.8728522336769765E-2</v>
      </c>
      <c r="E37" s="68">
        <f>$D$5</f>
        <v>86.986900000000006</v>
      </c>
      <c r="F37" s="68">
        <f>$E$5</f>
        <v>71.89</v>
      </c>
      <c r="G37" s="68">
        <f t="shared" si="3"/>
        <v>5.9784810996563582</v>
      </c>
    </row>
    <row r="38" spans="2:9" x14ac:dyDescent="0.25">
      <c r="B38" s="295"/>
      <c r="C38" s="219" t="str">
        <f>$C$6</f>
        <v>Consultor/a sènior DRUPAL</v>
      </c>
      <c r="D38" s="70">
        <v>6.8728522336769765E-2</v>
      </c>
      <c r="E38" s="68">
        <f>$D$6</f>
        <v>68.316599999999994</v>
      </c>
      <c r="F38" s="68">
        <f>$E$6</f>
        <v>56.46</v>
      </c>
      <c r="G38" s="68">
        <f t="shared" si="3"/>
        <v>4.6952989690721649</v>
      </c>
    </row>
    <row r="39" spans="2:9" x14ac:dyDescent="0.25">
      <c r="B39" s="295"/>
      <c r="C39" s="219" t="str">
        <f>$C$7</f>
        <v>Consultor/a júnior DRUPAL</v>
      </c>
      <c r="D39" s="70">
        <v>6.8728522336769765E-2</v>
      </c>
      <c r="E39" s="68">
        <f>$D$7</f>
        <v>61.056600000000003</v>
      </c>
      <c r="F39" s="68">
        <f>$E$7</f>
        <v>50.46</v>
      </c>
      <c r="G39" s="68">
        <f t="shared" si="3"/>
        <v>4.1963298969072174</v>
      </c>
    </row>
    <row r="40" spans="2:9" x14ac:dyDescent="0.25">
      <c r="B40" s="295"/>
      <c r="C40" s="219" t="str">
        <f>$C$8</f>
        <v>Consultor/a sènior JAVASCRIP</v>
      </c>
      <c r="D40" s="70">
        <v>3.4364261168384883E-2</v>
      </c>
      <c r="E40" s="68">
        <f>$D$8</f>
        <v>68.316599999999994</v>
      </c>
      <c r="F40" s="68">
        <f>$E$8</f>
        <v>56.46</v>
      </c>
      <c r="G40" s="68">
        <f t="shared" si="3"/>
        <v>2.3476494845360825</v>
      </c>
    </row>
    <row r="41" spans="2:9" x14ac:dyDescent="0.25">
      <c r="B41" s="295"/>
      <c r="C41" s="219" t="str">
        <f>$C$9</f>
        <v>Consultor/a sènior JAVASCRIP SPA</v>
      </c>
      <c r="D41" s="70">
        <v>3.4364261168384883E-2</v>
      </c>
      <c r="E41" s="68">
        <f>$D$9</f>
        <v>68.316599999999994</v>
      </c>
      <c r="F41" s="68">
        <f>$E$9</f>
        <v>56.46</v>
      </c>
      <c r="G41" s="68">
        <f t="shared" si="3"/>
        <v>2.3476494845360825</v>
      </c>
    </row>
    <row r="42" spans="2:9" x14ac:dyDescent="0.25">
      <c r="B42" s="295"/>
      <c r="C42" s="219" t="str">
        <f>$C$10</f>
        <v>Analista programador/a LIFERAY</v>
      </c>
      <c r="D42" s="70">
        <v>0.13745704467353953</v>
      </c>
      <c r="E42" s="68">
        <f>$D$10</f>
        <v>67.481700000000004</v>
      </c>
      <c r="F42" s="68">
        <f>$E$10</f>
        <v>55.77</v>
      </c>
      <c r="G42" s="68">
        <f t="shared" si="3"/>
        <v>9.2758350515463928</v>
      </c>
    </row>
    <row r="43" spans="2:9" x14ac:dyDescent="0.25">
      <c r="B43" s="295"/>
      <c r="C43" s="219" t="str">
        <f>$C$11</f>
        <v>Arquitecte/a LIFERAY</v>
      </c>
      <c r="D43" s="70">
        <v>1.3745704467353953E-2</v>
      </c>
      <c r="E43" s="68">
        <f>$D$11</f>
        <v>86.986900000000006</v>
      </c>
      <c r="F43" s="68">
        <f>$E$11</f>
        <v>71.89</v>
      </c>
      <c r="G43" s="68">
        <f t="shared" si="3"/>
        <v>1.1956962199312717</v>
      </c>
    </row>
    <row r="44" spans="2:9" x14ac:dyDescent="0.25">
      <c r="B44" s="295"/>
      <c r="C44" s="219" t="str">
        <f>$C$12</f>
        <v>Arquitecte/a DevOps</v>
      </c>
      <c r="D44" s="70">
        <v>1.3745704467353953E-2</v>
      </c>
      <c r="E44" s="68">
        <f>$D$12</f>
        <v>86.986900000000006</v>
      </c>
      <c r="F44" s="68">
        <f>$E$12</f>
        <v>71.89</v>
      </c>
      <c r="G44" s="68">
        <f t="shared" si="3"/>
        <v>1.1956962199312717</v>
      </c>
    </row>
    <row r="45" spans="2:9" ht="15" customHeight="1" x14ac:dyDescent="0.25">
      <c r="B45" s="295"/>
      <c r="C45" s="219" t="str">
        <f>$C$13</f>
        <v>Consultor/a referent Serveis Transversals</v>
      </c>
      <c r="D45" s="70">
        <v>6.8728522336769765E-2</v>
      </c>
      <c r="E45" s="68">
        <f>$D$13</f>
        <v>68.316599999999994</v>
      </c>
      <c r="F45" s="68">
        <f>$E$13</f>
        <v>56.46</v>
      </c>
      <c r="G45" s="68">
        <f t="shared" si="3"/>
        <v>4.6952989690721649</v>
      </c>
    </row>
    <row r="46" spans="2:9" x14ac:dyDescent="0.25">
      <c r="B46" s="295"/>
      <c r="C46" s="219" t="str">
        <f>$C$14</f>
        <v>Suport sènior Serveis Transversals</v>
      </c>
      <c r="D46" s="70">
        <v>0.2061855670103093</v>
      </c>
      <c r="E46" s="68">
        <f>$D$14</f>
        <v>58.394599999999997</v>
      </c>
      <c r="F46" s="68">
        <f>$E$14</f>
        <v>48.26</v>
      </c>
      <c r="G46" s="68">
        <f t="shared" si="3"/>
        <v>12.040123711340206</v>
      </c>
    </row>
    <row r="47" spans="2:9" x14ac:dyDescent="0.25">
      <c r="B47" s="295"/>
      <c r="C47" s="219" t="str">
        <f>$C$15</f>
        <v>Suport júnior Serveis Transversals</v>
      </c>
      <c r="D47" s="70">
        <v>6.8728522336769765E-2</v>
      </c>
      <c r="E47" s="68">
        <f>$D$15</f>
        <v>51.352399999999996</v>
      </c>
      <c r="F47" s="68">
        <f>$E$15</f>
        <v>42.44</v>
      </c>
      <c r="G47" s="68">
        <f t="shared" si="3"/>
        <v>3.5293745704467354</v>
      </c>
    </row>
    <row r="48" spans="2:9" x14ac:dyDescent="0.25">
      <c r="B48" s="296"/>
      <c r="C48" s="219" t="str">
        <f>$C$16</f>
        <v xml:space="preserve">Cap de projecte sènior </v>
      </c>
      <c r="D48" s="70">
        <v>6.8728522336769765E-2</v>
      </c>
      <c r="E48" s="68">
        <f>$D$16</f>
        <v>89.769899999999993</v>
      </c>
      <c r="F48" s="68">
        <f>$E$16</f>
        <v>74.19</v>
      </c>
      <c r="G48" s="68">
        <f t="shared" si="3"/>
        <v>6.1697525773195876</v>
      </c>
    </row>
    <row r="49" spans="2:9" x14ac:dyDescent="0.25">
      <c r="B49" s="294" t="s">
        <v>204</v>
      </c>
      <c r="C49" s="293" t="s">
        <v>117</v>
      </c>
      <c r="D49" s="293"/>
      <c r="E49" s="293"/>
      <c r="F49" s="69"/>
      <c r="G49" s="69">
        <f>ROUND(SUM(G35:G48),2)</f>
        <v>70.44</v>
      </c>
      <c r="H49" s="117">
        <f>SUM(D35:D48)</f>
        <v>0.99999999999999989</v>
      </c>
      <c r="I49" s="63"/>
    </row>
    <row r="50" spans="2:9" x14ac:dyDescent="0.25">
      <c r="B50" s="295"/>
      <c r="C50" s="218" t="str">
        <f>$C$3</f>
        <v>Full Stack Developer en PYTHON</v>
      </c>
      <c r="D50" s="70">
        <v>0.13745704467353953</v>
      </c>
      <c r="E50" s="68">
        <f>$D$3</f>
        <v>86.986900000000006</v>
      </c>
      <c r="F50" s="68">
        <f>$E$3</f>
        <v>71.89</v>
      </c>
      <c r="G50" s="68">
        <f t="shared" ref="G50:G63" si="4">E50*D50</f>
        <v>11.956962199312716</v>
      </c>
    </row>
    <row r="51" spans="2:9" x14ac:dyDescent="0.25">
      <c r="B51" s="295"/>
      <c r="C51" s="219" t="str">
        <f>$C$4</f>
        <v>Consultor/a sènior Wordpress</v>
      </c>
      <c r="D51" s="70">
        <v>1.0309278350515464E-2</v>
      </c>
      <c r="E51" s="68">
        <f>$D$4</f>
        <v>79.073499999999996</v>
      </c>
      <c r="F51" s="68">
        <f>$E$4</f>
        <v>65.349999999999994</v>
      </c>
      <c r="G51" s="68">
        <f t="shared" si="4"/>
        <v>0.81519072164948447</v>
      </c>
    </row>
    <row r="52" spans="2:9" x14ac:dyDescent="0.25">
      <c r="B52" s="295"/>
      <c r="C52" s="219" t="str">
        <f>+$C$5</f>
        <v>Full Stack Developer en DRUPAL</v>
      </c>
      <c r="D52" s="70">
        <v>6.8728522336769765E-2</v>
      </c>
      <c r="E52" s="68">
        <f>$D$5</f>
        <v>86.986900000000006</v>
      </c>
      <c r="F52" s="68">
        <f>$E$5</f>
        <v>71.89</v>
      </c>
      <c r="G52" s="68">
        <f t="shared" si="4"/>
        <v>5.9784810996563582</v>
      </c>
    </row>
    <row r="53" spans="2:9" x14ac:dyDescent="0.25">
      <c r="B53" s="295"/>
      <c r="C53" s="219" t="str">
        <f>$C$6</f>
        <v>Consultor/a sènior DRUPAL</v>
      </c>
      <c r="D53" s="70">
        <v>6.8728522336769765E-2</v>
      </c>
      <c r="E53" s="68">
        <f>$D$6</f>
        <v>68.316599999999994</v>
      </c>
      <c r="F53" s="68">
        <f>$E$6</f>
        <v>56.46</v>
      </c>
      <c r="G53" s="68">
        <f t="shared" si="4"/>
        <v>4.6952989690721649</v>
      </c>
    </row>
    <row r="54" spans="2:9" x14ac:dyDescent="0.25">
      <c r="B54" s="295"/>
      <c r="C54" s="219" t="str">
        <f>$C$7</f>
        <v>Consultor/a júnior DRUPAL</v>
      </c>
      <c r="D54" s="70">
        <v>6.8728522336769765E-2</v>
      </c>
      <c r="E54" s="68">
        <f>$D$7</f>
        <v>61.056600000000003</v>
      </c>
      <c r="F54" s="68">
        <f>$E$7</f>
        <v>50.46</v>
      </c>
      <c r="G54" s="68">
        <f t="shared" si="4"/>
        <v>4.1963298969072174</v>
      </c>
    </row>
    <row r="55" spans="2:9" x14ac:dyDescent="0.25">
      <c r="B55" s="295"/>
      <c r="C55" s="219" t="str">
        <f>$C$8</f>
        <v>Consultor/a sènior JAVASCRIP</v>
      </c>
      <c r="D55" s="70">
        <v>3.4364261168384883E-2</v>
      </c>
      <c r="E55" s="68">
        <f>$D$8</f>
        <v>68.316599999999994</v>
      </c>
      <c r="F55" s="68">
        <f>$E$8</f>
        <v>56.46</v>
      </c>
      <c r="G55" s="68">
        <f t="shared" si="4"/>
        <v>2.3476494845360825</v>
      </c>
    </row>
    <row r="56" spans="2:9" x14ac:dyDescent="0.25">
      <c r="B56" s="295"/>
      <c r="C56" s="219" t="str">
        <f>$C$9</f>
        <v>Consultor/a sènior JAVASCRIP SPA</v>
      </c>
      <c r="D56" s="70">
        <v>3.4364261168384883E-2</v>
      </c>
      <c r="E56" s="68">
        <f>$D$9</f>
        <v>68.316599999999994</v>
      </c>
      <c r="F56" s="68">
        <f>$E$9</f>
        <v>56.46</v>
      </c>
      <c r="G56" s="68">
        <f t="shared" si="4"/>
        <v>2.3476494845360825</v>
      </c>
    </row>
    <row r="57" spans="2:9" x14ac:dyDescent="0.25">
      <c r="B57" s="295"/>
      <c r="C57" s="219" t="str">
        <f>$C$10</f>
        <v>Analista programador/a LIFERAY</v>
      </c>
      <c r="D57" s="70">
        <v>0.13745704467353953</v>
      </c>
      <c r="E57" s="68">
        <f>$D$10</f>
        <v>67.481700000000004</v>
      </c>
      <c r="F57" s="68">
        <f>$E$10</f>
        <v>55.77</v>
      </c>
      <c r="G57" s="68">
        <f t="shared" si="4"/>
        <v>9.2758350515463928</v>
      </c>
    </row>
    <row r="58" spans="2:9" x14ac:dyDescent="0.25">
      <c r="B58" s="295"/>
      <c r="C58" s="219" t="str">
        <f>$C$11</f>
        <v>Arquitecte/a LIFERAY</v>
      </c>
      <c r="D58" s="70">
        <v>1.3745704467353953E-2</v>
      </c>
      <c r="E58" s="68">
        <f>$D$11</f>
        <v>86.986900000000006</v>
      </c>
      <c r="F58" s="68">
        <f>$E$11</f>
        <v>71.89</v>
      </c>
      <c r="G58" s="68">
        <f t="shared" si="4"/>
        <v>1.1956962199312717</v>
      </c>
    </row>
    <row r="59" spans="2:9" ht="15" customHeight="1" x14ac:dyDescent="0.25">
      <c r="B59" s="295"/>
      <c r="C59" s="219" t="str">
        <f>$C$12</f>
        <v>Arquitecte/a DevOps</v>
      </c>
      <c r="D59" s="70">
        <v>1.3745704467353953E-2</v>
      </c>
      <c r="E59" s="68">
        <f>$D$12</f>
        <v>86.986900000000006</v>
      </c>
      <c r="F59" s="68">
        <f>$E$12</f>
        <v>71.89</v>
      </c>
      <c r="G59" s="68">
        <f t="shared" si="4"/>
        <v>1.1956962199312717</v>
      </c>
    </row>
    <row r="60" spans="2:9" x14ac:dyDescent="0.25">
      <c r="B60" s="295"/>
      <c r="C60" s="219" t="str">
        <f>$C$13</f>
        <v>Consultor/a referent Serveis Transversals</v>
      </c>
      <c r="D60" s="70">
        <v>6.8728522336769765E-2</v>
      </c>
      <c r="E60" s="68">
        <f>$D$13</f>
        <v>68.316599999999994</v>
      </c>
      <c r="F60" s="68">
        <f>$E$13</f>
        <v>56.46</v>
      </c>
      <c r="G60" s="68">
        <f t="shared" si="4"/>
        <v>4.6952989690721649</v>
      </c>
    </row>
    <row r="61" spans="2:9" x14ac:dyDescent="0.25">
      <c r="B61" s="295"/>
      <c r="C61" s="219" t="str">
        <f>$C$14</f>
        <v>Suport sènior Serveis Transversals</v>
      </c>
      <c r="D61" s="70">
        <v>0.2061855670103093</v>
      </c>
      <c r="E61" s="68">
        <f>$D$14</f>
        <v>58.394599999999997</v>
      </c>
      <c r="F61" s="68">
        <f>$E$14</f>
        <v>48.26</v>
      </c>
      <c r="G61" s="68">
        <f t="shared" si="4"/>
        <v>12.040123711340206</v>
      </c>
    </row>
    <row r="62" spans="2:9" x14ac:dyDescent="0.25">
      <c r="B62" s="295"/>
      <c r="C62" s="219" t="str">
        <f>$C$15</f>
        <v>Suport júnior Serveis Transversals</v>
      </c>
      <c r="D62" s="70">
        <v>6.8728522336769765E-2</v>
      </c>
      <c r="E62" s="68">
        <f>$D$15</f>
        <v>51.352399999999996</v>
      </c>
      <c r="F62" s="68">
        <f>$E$15</f>
        <v>42.44</v>
      </c>
      <c r="G62" s="68">
        <f t="shared" si="4"/>
        <v>3.5293745704467354</v>
      </c>
    </row>
    <row r="63" spans="2:9" x14ac:dyDescent="0.25">
      <c r="B63" s="295"/>
      <c r="C63" s="219" t="str">
        <f>$C$16</f>
        <v xml:space="preserve">Cap de projecte sènior </v>
      </c>
      <c r="D63" s="70">
        <v>6.8728522336769765E-2</v>
      </c>
      <c r="E63" s="68">
        <f>$D$16</f>
        <v>89.769899999999993</v>
      </c>
      <c r="F63" s="68">
        <f>$E$16</f>
        <v>74.19</v>
      </c>
      <c r="G63" s="68">
        <f t="shared" si="4"/>
        <v>6.1697525773195876</v>
      </c>
    </row>
    <row r="64" spans="2:9" x14ac:dyDescent="0.25">
      <c r="B64" s="296"/>
      <c r="C64" s="293" t="s">
        <v>117</v>
      </c>
      <c r="D64" s="293"/>
      <c r="E64" s="293"/>
      <c r="F64" s="69"/>
      <c r="G64" s="69">
        <f>ROUND(SUM(G50:G63),2)</f>
        <v>70.44</v>
      </c>
      <c r="H64" s="117">
        <f>SUM(D50:D63)</f>
        <v>0.99999999999999989</v>
      </c>
      <c r="I64" s="63"/>
    </row>
    <row r="65" spans="1:9" x14ac:dyDescent="0.25">
      <c r="A65" s="291"/>
      <c r="B65" s="294" t="s">
        <v>192</v>
      </c>
      <c r="C65" s="218" t="str">
        <f>$C$3</f>
        <v>Full Stack Developer en PYTHON</v>
      </c>
      <c r="D65" s="70">
        <v>0.13745704467353953</v>
      </c>
      <c r="E65" s="68">
        <f>$D$3</f>
        <v>86.986900000000006</v>
      </c>
      <c r="F65" s="68">
        <f>$E$3</f>
        <v>71.89</v>
      </c>
      <c r="G65" s="68">
        <f t="shared" ref="G65:G78" si="5">E65*D65</f>
        <v>11.956962199312716</v>
      </c>
    </row>
    <row r="66" spans="1:9" x14ac:dyDescent="0.25">
      <c r="B66" s="295"/>
      <c r="C66" s="219" t="str">
        <f>$C$4</f>
        <v>Consultor/a sènior Wordpress</v>
      </c>
      <c r="D66" s="70">
        <v>1.0309278350515464E-2</v>
      </c>
      <c r="E66" s="68">
        <f>$D$4</f>
        <v>79.073499999999996</v>
      </c>
      <c r="F66" s="68">
        <f>$E$4</f>
        <v>65.349999999999994</v>
      </c>
      <c r="G66" s="68">
        <f t="shared" si="5"/>
        <v>0.81519072164948447</v>
      </c>
    </row>
    <row r="67" spans="1:9" x14ac:dyDescent="0.25">
      <c r="B67" s="295"/>
      <c r="C67" s="219" t="str">
        <f>+$C$5</f>
        <v>Full Stack Developer en DRUPAL</v>
      </c>
      <c r="D67" s="70">
        <v>6.8728522336769765E-2</v>
      </c>
      <c r="E67" s="68">
        <f>$D$5</f>
        <v>86.986900000000006</v>
      </c>
      <c r="F67" s="68">
        <f>$E$5</f>
        <v>71.89</v>
      </c>
      <c r="G67" s="68">
        <f t="shared" si="5"/>
        <v>5.9784810996563582</v>
      </c>
    </row>
    <row r="68" spans="1:9" x14ac:dyDescent="0.25">
      <c r="B68" s="295"/>
      <c r="C68" s="219" t="str">
        <f>$C$6</f>
        <v>Consultor/a sènior DRUPAL</v>
      </c>
      <c r="D68" s="70">
        <v>6.8728522336769765E-2</v>
      </c>
      <c r="E68" s="68">
        <f>$D$6</f>
        <v>68.316599999999994</v>
      </c>
      <c r="F68" s="68">
        <f>$E$6</f>
        <v>56.46</v>
      </c>
      <c r="G68" s="68">
        <f t="shared" si="5"/>
        <v>4.6952989690721649</v>
      </c>
    </row>
    <row r="69" spans="1:9" x14ac:dyDescent="0.25">
      <c r="B69" s="295"/>
      <c r="C69" s="219" t="str">
        <f>$C$7</f>
        <v>Consultor/a júnior DRUPAL</v>
      </c>
      <c r="D69" s="70">
        <v>6.8728522336769765E-2</v>
      </c>
      <c r="E69" s="68">
        <f>$D$7</f>
        <v>61.056600000000003</v>
      </c>
      <c r="F69" s="68">
        <f>$E$7</f>
        <v>50.46</v>
      </c>
      <c r="G69" s="68">
        <f t="shared" si="5"/>
        <v>4.1963298969072174</v>
      </c>
    </row>
    <row r="70" spans="1:9" x14ac:dyDescent="0.25">
      <c r="B70" s="295"/>
      <c r="C70" s="219" t="str">
        <f>$C$8</f>
        <v>Consultor/a sènior JAVASCRIP</v>
      </c>
      <c r="D70" s="70">
        <v>3.4364261168384883E-2</v>
      </c>
      <c r="E70" s="68">
        <f>$D$8</f>
        <v>68.316599999999994</v>
      </c>
      <c r="F70" s="68">
        <f>$E$8</f>
        <v>56.46</v>
      </c>
      <c r="G70" s="68">
        <f t="shared" si="5"/>
        <v>2.3476494845360825</v>
      </c>
    </row>
    <row r="71" spans="1:9" x14ac:dyDescent="0.25">
      <c r="B71" s="295"/>
      <c r="C71" s="219" t="str">
        <f>$C$9</f>
        <v>Consultor/a sènior JAVASCRIP SPA</v>
      </c>
      <c r="D71" s="70">
        <v>3.4364261168384883E-2</v>
      </c>
      <c r="E71" s="68">
        <f>$D$9</f>
        <v>68.316599999999994</v>
      </c>
      <c r="F71" s="68">
        <f>$E$9</f>
        <v>56.46</v>
      </c>
      <c r="G71" s="68">
        <f t="shared" si="5"/>
        <v>2.3476494845360825</v>
      </c>
    </row>
    <row r="72" spans="1:9" x14ac:dyDescent="0.25">
      <c r="B72" s="295"/>
      <c r="C72" s="219" t="str">
        <f>$C$10</f>
        <v>Analista programador/a LIFERAY</v>
      </c>
      <c r="D72" s="70">
        <v>0.13745704467353953</v>
      </c>
      <c r="E72" s="68">
        <f>$D$10</f>
        <v>67.481700000000004</v>
      </c>
      <c r="F72" s="68">
        <f>$E$10</f>
        <v>55.77</v>
      </c>
      <c r="G72" s="68">
        <f t="shared" si="5"/>
        <v>9.2758350515463928</v>
      </c>
    </row>
    <row r="73" spans="1:9" x14ac:dyDescent="0.25">
      <c r="B73" s="295"/>
      <c r="C73" s="219" t="str">
        <f>$C$11</f>
        <v>Arquitecte/a LIFERAY</v>
      </c>
      <c r="D73" s="70">
        <v>1.3745704467353953E-2</v>
      </c>
      <c r="E73" s="68">
        <f>$D$11</f>
        <v>86.986900000000006</v>
      </c>
      <c r="F73" s="68">
        <f>$E$11</f>
        <v>71.89</v>
      </c>
      <c r="G73" s="68">
        <f t="shared" si="5"/>
        <v>1.1956962199312717</v>
      </c>
    </row>
    <row r="74" spans="1:9" x14ac:dyDescent="0.25">
      <c r="B74" s="295"/>
      <c r="C74" s="219" t="str">
        <f>$C$12</f>
        <v>Arquitecte/a DevOps</v>
      </c>
      <c r="D74" s="70">
        <v>1.3745704467353953E-2</v>
      </c>
      <c r="E74" s="68">
        <f>$D$12</f>
        <v>86.986900000000006</v>
      </c>
      <c r="F74" s="68">
        <f>$E$12</f>
        <v>71.89</v>
      </c>
      <c r="G74" s="68">
        <f t="shared" si="5"/>
        <v>1.1956962199312717</v>
      </c>
    </row>
    <row r="75" spans="1:9" x14ac:dyDescent="0.25">
      <c r="B75" s="295"/>
      <c r="C75" s="219" t="str">
        <f>$C$13</f>
        <v>Consultor/a referent Serveis Transversals</v>
      </c>
      <c r="D75" s="70">
        <v>6.8728522336769765E-2</v>
      </c>
      <c r="E75" s="68">
        <f>$D$13</f>
        <v>68.316599999999994</v>
      </c>
      <c r="F75" s="68">
        <f>$E$13</f>
        <v>56.46</v>
      </c>
      <c r="G75" s="68">
        <f t="shared" si="5"/>
        <v>4.6952989690721649</v>
      </c>
    </row>
    <row r="76" spans="1:9" x14ac:dyDescent="0.25">
      <c r="B76" s="295"/>
      <c r="C76" s="219" t="str">
        <f>$C$14</f>
        <v>Suport sènior Serveis Transversals</v>
      </c>
      <c r="D76" s="70">
        <v>0.2061855670103093</v>
      </c>
      <c r="E76" s="68">
        <f>$D$14</f>
        <v>58.394599999999997</v>
      </c>
      <c r="F76" s="68">
        <f>$E$14</f>
        <v>48.26</v>
      </c>
      <c r="G76" s="68">
        <f t="shared" si="5"/>
        <v>12.040123711340206</v>
      </c>
    </row>
    <row r="77" spans="1:9" x14ac:dyDescent="0.25">
      <c r="B77" s="295"/>
      <c r="C77" s="219" t="str">
        <f>$C$15</f>
        <v>Suport júnior Serveis Transversals</v>
      </c>
      <c r="D77" s="70">
        <v>6.8728522336769765E-2</v>
      </c>
      <c r="E77" s="68">
        <f>$D$15</f>
        <v>51.352399999999996</v>
      </c>
      <c r="F77" s="68">
        <f>$E$15</f>
        <v>42.44</v>
      </c>
      <c r="G77" s="68">
        <f t="shared" si="5"/>
        <v>3.5293745704467354</v>
      </c>
    </row>
    <row r="78" spans="1:9" x14ac:dyDescent="0.25">
      <c r="B78" s="295"/>
      <c r="C78" s="219" t="str">
        <f>$C$16</f>
        <v xml:space="preserve">Cap de projecte sènior </v>
      </c>
      <c r="D78" s="70">
        <v>6.8728522336769765E-2</v>
      </c>
      <c r="E78" s="68">
        <f>$D$16</f>
        <v>89.769899999999993</v>
      </c>
      <c r="F78" s="68">
        <f>$E$16</f>
        <v>74.19</v>
      </c>
      <c r="G78" s="68">
        <f t="shared" si="5"/>
        <v>6.1697525773195876</v>
      </c>
    </row>
    <row r="79" spans="1:9" x14ac:dyDescent="0.25">
      <c r="B79" s="295"/>
      <c r="C79" s="293" t="s">
        <v>117</v>
      </c>
      <c r="D79" s="293"/>
      <c r="E79" s="293"/>
      <c r="F79" s="69"/>
      <c r="G79" s="69">
        <f>ROUND(SUM(G65:G78),2)</f>
        <v>70.44</v>
      </c>
      <c r="H79" s="117">
        <f>SUM(D65:D78)</f>
        <v>0.99999999999999989</v>
      </c>
      <c r="I79" s="63"/>
    </row>
  </sheetData>
  <sheetProtection algorithmName="SHA-512" hashValue="O0+dH3dD5/Pu2Jf4MOyH6Fq8EPlgxEVjvvudoj6fzxGHdeqLjzMvek3cPXGIfkHYg6ktzJW+5Ev7+ZHXibhwrw==" saltValue="5pu5q1R01hrervKYVpNH9Q==" spinCount="100000" sheet="1" objects="1" scenarios="1"/>
  <mergeCells count="8">
    <mergeCell ref="C79:E79"/>
    <mergeCell ref="B65:B79"/>
    <mergeCell ref="B49:B64"/>
    <mergeCell ref="B20:B34"/>
    <mergeCell ref="C34:E34"/>
    <mergeCell ref="B35:B48"/>
    <mergeCell ref="C49:E49"/>
    <mergeCell ref="C64:E64"/>
  </mergeCells>
  <conditionalFormatting sqref="E3:E16">
    <cfRule type="expression" dxfId="1" priority="2">
      <formula>E3&lt;=F3</formula>
    </cfRule>
    <cfRule type="expression" dxfId="0" priority="1">
      <formula>E3&gt;F3</formula>
    </cfRule>
  </conditionalFormatting>
  <pageMargins left="0.7" right="0.7" top="0.75" bottom="0.75" header="0.3" footer="0.3"/>
  <pageSetup paperSize="9" orientation="portrait" r:id="rId1"/>
  <ignoredErrors>
    <ignoredError sqref="F4 G34 G49 G6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9"/>
  <sheetViews>
    <sheetView showGridLines="0" zoomScale="90" zoomScaleNormal="90" workbookViewId="0">
      <selection activeCell="B16" sqref="B16:D20"/>
    </sheetView>
  </sheetViews>
  <sheetFormatPr baseColWidth="10" defaultColWidth="10.85546875" defaultRowHeight="12.75" x14ac:dyDescent="0.2"/>
  <cols>
    <col min="1" max="1" width="29.140625" style="75" customWidth="1"/>
    <col min="2" max="2" width="16.42578125" style="75" customWidth="1"/>
    <col min="3" max="3" width="14" style="75" customWidth="1"/>
    <col min="4" max="5" width="13.85546875" style="75" customWidth="1"/>
    <col min="6" max="6" width="13.42578125" style="75" customWidth="1"/>
    <col min="7" max="7" width="14.28515625" style="75" customWidth="1"/>
    <col min="8" max="8" width="13.5703125" style="75" customWidth="1"/>
    <col min="9" max="9" width="12.5703125" style="75" customWidth="1"/>
    <col min="10" max="10" width="14" style="75" bestFit="1" customWidth="1"/>
    <col min="11" max="11" width="12.140625" style="75" customWidth="1"/>
    <col min="12" max="12" width="13.140625" style="75" customWidth="1"/>
    <col min="13" max="13" width="13.42578125" style="75" customWidth="1"/>
    <col min="14" max="14" width="13.42578125" style="75" bestFit="1" customWidth="1"/>
    <col min="15" max="15" width="12.42578125" style="75" customWidth="1"/>
    <col min="16" max="16" width="18.140625" style="75" customWidth="1"/>
    <col min="17" max="16384" width="10.85546875" style="75"/>
  </cols>
  <sheetData>
    <row r="2" spans="1:16" x14ac:dyDescent="0.2">
      <c r="A2" s="74" t="s">
        <v>129</v>
      </c>
    </row>
    <row r="4" spans="1:16" x14ac:dyDescent="0.2">
      <c r="A4" s="76"/>
      <c r="B4" s="304">
        <v>2023</v>
      </c>
      <c r="C4" s="305"/>
      <c r="D4" s="306"/>
      <c r="E4" s="304">
        <v>2024</v>
      </c>
      <c r="F4" s="305"/>
      <c r="G4" s="306"/>
      <c r="H4" s="304">
        <v>2025</v>
      </c>
      <c r="I4" s="305"/>
      <c r="J4" s="306"/>
      <c r="K4" s="304">
        <v>2026</v>
      </c>
      <c r="L4" s="305"/>
      <c r="M4" s="306"/>
    </row>
    <row r="5" spans="1:16" x14ac:dyDescent="0.2">
      <c r="A5" s="77" t="s">
        <v>131</v>
      </c>
      <c r="B5" s="78" t="s">
        <v>123</v>
      </c>
      <c r="C5" s="79" t="s">
        <v>124</v>
      </c>
      <c r="D5" s="79" t="s">
        <v>122</v>
      </c>
      <c r="E5" s="79" t="s">
        <v>123</v>
      </c>
      <c r="F5" s="79" t="s">
        <v>124</v>
      </c>
      <c r="G5" s="79" t="s">
        <v>122</v>
      </c>
      <c r="H5" s="79" t="s">
        <v>123</v>
      </c>
      <c r="I5" s="79" t="s">
        <v>124</v>
      </c>
      <c r="J5" s="79" t="s">
        <v>122</v>
      </c>
      <c r="K5" s="79" t="s">
        <v>123</v>
      </c>
      <c r="L5" s="79" t="s">
        <v>124</v>
      </c>
      <c r="M5" s="79" t="s">
        <v>122</v>
      </c>
      <c r="N5" s="79" t="s">
        <v>139</v>
      </c>
      <c r="O5" s="79" t="s">
        <v>140</v>
      </c>
      <c r="P5" s="79" t="s">
        <v>141</v>
      </c>
    </row>
    <row r="6" spans="1:16" x14ac:dyDescent="0.2">
      <c r="A6" s="80" t="s">
        <v>7</v>
      </c>
      <c r="B6" s="122">
        <f>ROUND('Càlcul pressupost'!F6/1.21,2)</f>
        <v>34032.410000000003</v>
      </c>
      <c r="C6" s="122">
        <f>ROUND(B6*0.21,2)</f>
        <v>7146.81</v>
      </c>
      <c r="D6" s="122">
        <f>+B6+C6</f>
        <v>41179.22</v>
      </c>
      <c r="E6" s="122">
        <f>ROUND('Càlcul pressupost'!G6/1.21,2)</f>
        <v>204194.44</v>
      </c>
      <c r="F6" s="122">
        <f t="shared" ref="F6:F7" si="0">ROUND(E6*0.21,2)</f>
        <v>42880.83</v>
      </c>
      <c r="G6" s="122">
        <f t="shared" ref="G6:G7" si="1">+E6+F6</f>
        <v>247075.27000000002</v>
      </c>
      <c r="H6" s="122">
        <f>ROUND('Càlcul pressupost'!H6/1.21,2)</f>
        <v>204194.44</v>
      </c>
      <c r="I6" s="122">
        <f t="shared" ref="I6:I7" si="2">ROUND(H6*0.21,2)</f>
        <v>42880.83</v>
      </c>
      <c r="J6" s="122">
        <f t="shared" ref="J6:J7" si="3">+H6+I6</f>
        <v>247075.27000000002</v>
      </c>
      <c r="K6" s="122">
        <f>ROUND('Càlcul pressupost'!I6/1.21,2)</f>
        <v>136129.64000000001</v>
      </c>
      <c r="L6" s="122">
        <f t="shared" ref="L6" si="4">ROUND(K6*0.21,2)</f>
        <v>28587.22</v>
      </c>
      <c r="M6" s="122">
        <f t="shared" ref="M6:M7" si="5">+K6+L6</f>
        <v>164716.86000000002</v>
      </c>
      <c r="N6" s="122">
        <f>+B6+E6+H6+K6</f>
        <v>578550.93000000005</v>
      </c>
      <c r="O6" s="122">
        <f>+C6+F6+I6+L6</f>
        <v>121495.69</v>
      </c>
      <c r="P6" s="122">
        <f>+D6+G6+J6+M6</f>
        <v>700046.62</v>
      </c>
    </row>
    <row r="7" spans="1:16" x14ac:dyDescent="0.2">
      <c r="A7" s="80" t="s">
        <v>13</v>
      </c>
      <c r="B7" s="122">
        <f>ROUND('Càlcul pressupost'!F7/1.21,2)</f>
        <v>119113.42</v>
      </c>
      <c r="C7" s="122">
        <f t="shared" ref="C7:C9" si="6">ROUND(B7*0.21,2)</f>
        <v>25013.82</v>
      </c>
      <c r="D7" s="122">
        <f t="shared" ref="D7" si="7">+B7+C7</f>
        <v>144127.24</v>
      </c>
      <c r="E7" s="122">
        <f>ROUND('Càlcul pressupost'!G7/1.21,2)</f>
        <v>476453.71</v>
      </c>
      <c r="F7" s="122">
        <f t="shared" si="0"/>
        <v>100055.28</v>
      </c>
      <c r="G7" s="122">
        <f t="shared" si="1"/>
        <v>576508.99</v>
      </c>
      <c r="H7" s="122">
        <f>ROUND('Càlcul pressupost'!H7/1.21,2)</f>
        <v>476453.71</v>
      </c>
      <c r="I7" s="122">
        <f t="shared" si="2"/>
        <v>100055.28</v>
      </c>
      <c r="J7" s="122">
        <f t="shared" si="3"/>
        <v>576508.99</v>
      </c>
      <c r="K7" s="122">
        <f>ROUND('Càlcul pressupost'!I7/1.21,2)</f>
        <v>317635.8</v>
      </c>
      <c r="L7" s="122">
        <f>ROUND(K7*0.21,2)</f>
        <v>66703.520000000004</v>
      </c>
      <c r="M7" s="122">
        <f t="shared" si="5"/>
        <v>384339.32</v>
      </c>
      <c r="N7" s="122">
        <f t="shared" ref="N7:N9" si="8">+B7+E7+H7+K7</f>
        <v>1389656.6400000001</v>
      </c>
      <c r="O7" s="122">
        <f t="shared" ref="O7:O9" si="9">+C7+F7+I7+L7</f>
        <v>291827.90000000002</v>
      </c>
      <c r="P7" s="122">
        <f t="shared" ref="P7:P9" si="10">+D7+G7+J7+M7</f>
        <v>1681484.54</v>
      </c>
    </row>
    <row r="8" spans="1:16" x14ac:dyDescent="0.2">
      <c r="A8" s="80" t="s">
        <v>204</v>
      </c>
      <c r="B8" s="122">
        <f>ROUND('Càlcul pressupost'!F8/1.21,2)</f>
        <v>41322.31</v>
      </c>
      <c r="C8" s="122">
        <f t="shared" ref="C8" si="11">ROUND(B8*0.21,2)</f>
        <v>8677.69</v>
      </c>
      <c r="D8" s="122">
        <f t="shared" ref="D8" si="12">+B8+C8</f>
        <v>50000</v>
      </c>
      <c r="E8" s="122">
        <f>ROUND('Càlcul pressupost'!G8/1.21,2)</f>
        <v>140495.87</v>
      </c>
      <c r="F8" s="122">
        <f t="shared" ref="F8" si="13">ROUND(E8*0.21,2)</f>
        <v>29504.13</v>
      </c>
      <c r="G8" s="122">
        <f t="shared" ref="G8" si="14">+E8+F8</f>
        <v>170000</v>
      </c>
      <c r="H8" s="122">
        <f>ROUND('Càlcul pressupost'!H8/1.21,2)</f>
        <v>140495.87</v>
      </c>
      <c r="I8" s="122">
        <f t="shared" ref="I8" si="15">ROUND(H8*0.21,2)</f>
        <v>29504.13</v>
      </c>
      <c r="J8" s="122">
        <f t="shared" ref="J8" si="16">+H8+I8</f>
        <v>170000</v>
      </c>
      <c r="K8" s="122">
        <f>ROUND('Càlcul pressupost'!I8/1.21,2)</f>
        <v>111570.25</v>
      </c>
      <c r="L8" s="122">
        <f t="shared" ref="L8" si="17">ROUND(K8*0.21,2)</f>
        <v>23429.75</v>
      </c>
      <c r="M8" s="122">
        <f t="shared" ref="M8" si="18">+K8+L8</f>
        <v>135000</v>
      </c>
      <c r="N8" s="122">
        <f t="shared" si="8"/>
        <v>433884.3</v>
      </c>
      <c r="O8" s="122">
        <f t="shared" si="9"/>
        <v>91115.7</v>
      </c>
      <c r="P8" s="122">
        <f t="shared" si="10"/>
        <v>525000</v>
      </c>
    </row>
    <row r="9" spans="1:16" x14ac:dyDescent="0.2">
      <c r="A9" s="81" t="s">
        <v>192</v>
      </c>
      <c r="B9" s="122">
        <f>ROUND('Càlcul pressupost'!F9/1.21,2)</f>
        <v>45376.54</v>
      </c>
      <c r="C9" s="122">
        <f t="shared" si="6"/>
        <v>9529.07</v>
      </c>
      <c r="D9" s="122">
        <f>+B9+C9</f>
        <v>54905.61</v>
      </c>
      <c r="E9" s="122">
        <f>ROUND('Càlcul pressupost'!G9/1.21,2)</f>
        <v>272259.21999999997</v>
      </c>
      <c r="F9" s="122">
        <f>ROUND(E9*0.21,2)</f>
        <v>57174.44</v>
      </c>
      <c r="G9" s="122">
        <f>+E9+F9</f>
        <v>329433.65999999997</v>
      </c>
      <c r="H9" s="122">
        <f>ROUND('Càlcul pressupost'!H9/1.21,2)</f>
        <v>272259.21999999997</v>
      </c>
      <c r="I9" s="122">
        <f>ROUND(H9*0.21,2)</f>
        <v>57174.44</v>
      </c>
      <c r="J9" s="122">
        <f>+H9+I9</f>
        <v>329433.65999999997</v>
      </c>
      <c r="K9" s="122">
        <f>ROUND('Càlcul pressupost'!I9/1.21,2)</f>
        <v>181506.14</v>
      </c>
      <c r="L9" s="122">
        <f>ROUND(K9*0.21,2)</f>
        <v>38116.29</v>
      </c>
      <c r="M9" s="122">
        <f>+K9+L9</f>
        <v>219622.43000000002</v>
      </c>
      <c r="N9" s="122">
        <f t="shared" si="8"/>
        <v>771401.12</v>
      </c>
      <c r="O9" s="122">
        <f t="shared" si="9"/>
        <v>161994.24000000002</v>
      </c>
      <c r="P9" s="122">
        <f t="shared" si="10"/>
        <v>933395.36</v>
      </c>
    </row>
    <row r="10" spans="1:16" x14ac:dyDescent="0.2">
      <c r="B10" s="118">
        <f t="shared" ref="B10:P10" si="19">SUM(B6:B9)</f>
        <v>239844.68000000002</v>
      </c>
      <c r="C10" s="118">
        <f t="shared" si="19"/>
        <v>50367.39</v>
      </c>
      <c r="D10" s="118">
        <f t="shared" si="19"/>
        <v>290212.07</v>
      </c>
      <c r="E10" s="118">
        <f t="shared" si="19"/>
        <v>1093403.24</v>
      </c>
      <c r="F10" s="118">
        <f t="shared" si="19"/>
        <v>229614.68</v>
      </c>
      <c r="G10" s="118">
        <f t="shared" si="19"/>
        <v>1323017.92</v>
      </c>
      <c r="H10" s="118">
        <f t="shared" si="19"/>
        <v>1093403.24</v>
      </c>
      <c r="I10" s="118">
        <f t="shared" si="19"/>
        <v>229614.68</v>
      </c>
      <c r="J10" s="118">
        <f t="shared" si="19"/>
        <v>1323017.92</v>
      </c>
      <c r="K10" s="118">
        <f t="shared" si="19"/>
        <v>746841.83</v>
      </c>
      <c r="L10" s="118">
        <f t="shared" si="19"/>
        <v>156836.78</v>
      </c>
      <c r="M10" s="118">
        <f t="shared" si="19"/>
        <v>903678.6100000001</v>
      </c>
      <c r="N10" s="118">
        <f t="shared" si="19"/>
        <v>3173492.99</v>
      </c>
      <c r="O10" s="118">
        <f t="shared" si="19"/>
        <v>666433.53</v>
      </c>
      <c r="P10" s="224">
        <f t="shared" si="19"/>
        <v>3839926.52</v>
      </c>
    </row>
    <row r="11" spans="1:16" x14ac:dyDescent="0.2">
      <c r="P11" s="98"/>
    </row>
    <row r="12" spans="1:16" x14ac:dyDescent="0.2">
      <c r="A12" s="82" t="s">
        <v>128</v>
      </c>
    </row>
    <row r="13" spans="1:16" x14ac:dyDescent="0.2">
      <c r="A13" s="82"/>
      <c r="N13" s="75" t="s">
        <v>208</v>
      </c>
      <c r="P13" s="75" t="s">
        <v>208</v>
      </c>
    </row>
    <row r="14" spans="1:16" ht="18" customHeight="1" x14ac:dyDescent="0.2">
      <c r="A14" s="83" t="s">
        <v>154</v>
      </c>
    </row>
    <row r="15" spans="1:16" ht="21" customHeight="1" x14ac:dyDescent="0.2">
      <c r="A15" s="83" t="s">
        <v>125</v>
      </c>
      <c r="B15" s="83" t="s">
        <v>126</v>
      </c>
      <c r="C15" s="83" t="s">
        <v>127</v>
      </c>
      <c r="D15" s="83" t="s">
        <v>122</v>
      </c>
    </row>
    <row r="16" spans="1:16" x14ac:dyDescent="0.2">
      <c r="A16" s="84">
        <v>2023</v>
      </c>
      <c r="B16" s="119">
        <f>+B10</f>
        <v>239844.68000000002</v>
      </c>
      <c r="C16" s="119">
        <f>+C10</f>
        <v>50367.39</v>
      </c>
      <c r="D16" s="119">
        <f t="shared" ref="D16" si="20">+B16+C16</f>
        <v>290212.07</v>
      </c>
      <c r="E16" s="307" t="s">
        <v>215</v>
      </c>
      <c r="F16" s="308"/>
      <c r="G16" s="308"/>
      <c r="H16" s="308"/>
      <c r="I16" s="308"/>
      <c r="J16" s="308"/>
      <c r="K16" s="308"/>
      <c r="L16" s="308"/>
      <c r="M16" s="308"/>
      <c r="N16" s="308"/>
    </row>
    <row r="17" spans="1:15" x14ac:dyDescent="0.2">
      <c r="A17" s="84">
        <v>2024</v>
      </c>
      <c r="B17" s="119">
        <f>+E10</f>
        <v>1093403.24</v>
      </c>
      <c r="C17" s="119">
        <f>+F10</f>
        <v>229614.68</v>
      </c>
      <c r="D17" s="119">
        <f>+G10</f>
        <v>1323017.92</v>
      </c>
      <c r="E17" s="307"/>
      <c r="F17" s="308"/>
      <c r="G17" s="308"/>
      <c r="H17" s="308"/>
      <c r="I17" s="308"/>
      <c r="J17" s="308"/>
      <c r="K17" s="308"/>
      <c r="L17" s="308"/>
      <c r="M17" s="308"/>
      <c r="N17" s="308"/>
    </row>
    <row r="18" spans="1:15" x14ac:dyDescent="0.2">
      <c r="A18" s="84">
        <v>2025</v>
      </c>
      <c r="B18" s="119">
        <f>+H10</f>
        <v>1093403.24</v>
      </c>
      <c r="C18" s="119">
        <f>+I10</f>
        <v>229614.68</v>
      </c>
      <c r="D18" s="119">
        <f>+J10</f>
        <v>1323017.92</v>
      </c>
      <c r="E18" s="307"/>
      <c r="F18" s="308"/>
      <c r="G18" s="308"/>
      <c r="H18" s="308"/>
      <c r="I18" s="308"/>
      <c r="J18" s="308"/>
      <c r="K18" s="308"/>
      <c r="L18" s="308"/>
      <c r="M18" s="308"/>
      <c r="N18" s="308"/>
    </row>
    <row r="19" spans="1:15" x14ac:dyDescent="0.2">
      <c r="A19" s="84">
        <v>2026</v>
      </c>
      <c r="B19" s="119">
        <f>+K10</f>
        <v>746841.83</v>
      </c>
      <c r="C19" s="119">
        <f>+L10</f>
        <v>156836.78</v>
      </c>
      <c r="D19" s="119">
        <f>+M10</f>
        <v>903678.6100000001</v>
      </c>
      <c r="E19" s="307"/>
      <c r="F19" s="308"/>
      <c r="G19" s="308"/>
      <c r="H19" s="308"/>
      <c r="I19" s="308"/>
      <c r="J19" s="308"/>
      <c r="K19" s="308"/>
      <c r="L19" s="308"/>
      <c r="M19" s="308"/>
      <c r="N19" s="308"/>
    </row>
    <row r="20" spans="1:15" x14ac:dyDescent="0.2">
      <c r="A20" s="84" t="s">
        <v>116</v>
      </c>
      <c r="B20" s="120">
        <f>SUM(B16:B19)</f>
        <v>3173492.99</v>
      </c>
      <c r="C20" s="120">
        <f>SUM(C16:C19)</f>
        <v>666433.53</v>
      </c>
      <c r="D20" s="120">
        <f>SUM(D16:D19)</f>
        <v>3839926.5200000005</v>
      </c>
      <c r="E20" s="307"/>
      <c r="F20" s="308"/>
      <c r="G20" s="308"/>
      <c r="H20" s="308"/>
      <c r="I20" s="308"/>
      <c r="J20" s="308"/>
      <c r="K20" s="308"/>
      <c r="L20" s="308"/>
      <c r="M20" s="308"/>
      <c r="N20" s="308"/>
    </row>
    <row r="21" spans="1:15" ht="21.75" customHeight="1" x14ac:dyDescent="0.2">
      <c r="D21" s="177">
        <f>+B20*1.21</f>
        <v>3839926.5179000003</v>
      </c>
      <c r="E21" s="307"/>
      <c r="F21" s="308"/>
      <c r="G21" s="308"/>
      <c r="H21" s="308"/>
      <c r="I21" s="308"/>
      <c r="J21" s="308"/>
      <c r="K21" s="308"/>
      <c r="L21" s="308"/>
      <c r="M21" s="308"/>
      <c r="N21" s="308"/>
    </row>
    <row r="22" spans="1:15" x14ac:dyDescent="0.2">
      <c r="A22" s="82" t="s">
        <v>128</v>
      </c>
      <c r="O22" s="225"/>
    </row>
    <row r="23" spans="1:15" ht="5.0999999999999996" customHeight="1" thickBot="1" x14ac:dyDescent="0.25">
      <c r="L23" s="226"/>
    </row>
    <row r="24" spans="1:15" ht="12.75" customHeight="1" thickBot="1" x14ac:dyDescent="0.25">
      <c r="A24" s="227" t="s">
        <v>125</v>
      </c>
      <c r="B24" s="228" t="s">
        <v>209</v>
      </c>
      <c r="C24" s="228" t="s">
        <v>122</v>
      </c>
      <c r="D24" s="228" t="s">
        <v>126</v>
      </c>
      <c r="E24" s="227" t="s">
        <v>127</v>
      </c>
      <c r="M24" s="226"/>
    </row>
    <row r="25" spans="1:15" ht="13.5" thickBot="1" x14ac:dyDescent="0.25">
      <c r="A25" s="229">
        <v>2023</v>
      </c>
      <c r="B25" s="230" t="s">
        <v>210</v>
      </c>
      <c r="C25" s="233">
        <f>D6+D7+D9</f>
        <v>240212.07</v>
      </c>
      <c r="D25" s="233">
        <f>B6+B7+B9</f>
        <v>198522.37000000002</v>
      </c>
      <c r="E25" s="234">
        <f>C6+C7+C9</f>
        <v>41689.699999999997</v>
      </c>
      <c r="F25" s="231"/>
      <c r="G25" s="231"/>
      <c r="H25" s="231"/>
      <c r="I25" s="231"/>
      <c r="J25" s="231"/>
      <c r="M25" s="226"/>
    </row>
    <row r="26" spans="1:15" ht="13.5" thickBot="1" x14ac:dyDescent="0.25">
      <c r="A26" s="229">
        <v>2023</v>
      </c>
      <c r="B26" s="230" t="s">
        <v>211</v>
      </c>
      <c r="C26" s="233">
        <f>D8</f>
        <v>50000</v>
      </c>
      <c r="D26" s="233">
        <f>B8</f>
        <v>41322.31</v>
      </c>
      <c r="E26" s="234">
        <f>C8</f>
        <v>8677.69</v>
      </c>
      <c r="F26" s="231"/>
      <c r="G26" s="231"/>
      <c r="H26" s="231"/>
      <c r="I26" s="231"/>
      <c r="J26" s="231"/>
      <c r="M26" s="226"/>
    </row>
    <row r="27" spans="1:15" ht="13.5" thickBot="1" x14ac:dyDescent="0.25">
      <c r="A27" s="229">
        <v>2024</v>
      </c>
      <c r="B27" s="230" t="s">
        <v>210</v>
      </c>
      <c r="C27" s="233">
        <f>G6+G7+G9</f>
        <v>1153017.92</v>
      </c>
      <c r="D27" s="233">
        <f>E6+E7+E9</f>
        <v>952907.37</v>
      </c>
      <c r="E27" s="233">
        <f>F6+F7+F9</f>
        <v>200110.55</v>
      </c>
      <c r="F27" s="231"/>
      <c r="G27" s="231"/>
      <c r="H27" s="231"/>
      <c r="I27" s="231"/>
      <c r="J27" s="231"/>
      <c r="M27" s="226"/>
    </row>
    <row r="28" spans="1:15" ht="13.5" thickBot="1" x14ac:dyDescent="0.25">
      <c r="A28" s="229">
        <v>2024</v>
      </c>
      <c r="B28" s="230" t="s">
        <v>211</v>
      </c>
      <c r="C28" s="233">
        <f>G8</f>
        <v>170000</v>
      </c>
      <c r="D28" s="233">
        <f>E8</f>
        <v>140495.87</v>
      </c>
      <c r="E28" s="233">
        <f>F8</f>
        <v>29504.13</v>
      </c>
      <c r="F28" s="231"/>
      <c r="G28" s="231"/>
      <c r="H28" s="231"/>
      <c r="I28" s="231"/>
      <c r="J28" s="231"/>
      <c r="M28" s="226"/>
    </row>
    <row r="29" spans="1:15" ht="13.5" thickBot="1" x14ac:dyDescent="0.25">
      <c r="A29" s="229">
        <v>2025</v>
      </c>
      <c r="B29" s="230" t="s">
        <v>210</v>
      </c>
      <c r="C29" s="233">
        <f>J6+J7+J9</f>
        <v>1153017.92</v>
      </c>
      <c r="D29" s="233">
        <f>H6+H7+H9</f>
        <v>952907.37</v>
      </c>
      <c r="E29" s="233">
        <f>I6+I7+I9</f>
        <v>200110.55</v>
      </c>
      <c r="F29" s="231"/>
      <c r="G29" s="231"/>
      <c r="H29" s="231"/>
      <c r="I29" s="231"/>
      <c r="J29" s="231"/>
      <c r="M29" s="226"/>
    </row>
    <row r="30" spans="1:15" ht="13.5" thickBot="1" x14ac:dyDescent="0.25">
      <c r="A30" s="229">
        <v>2025</v>
      </c>
      <c r="B30" s="230" t="s">
        <v>211</v>
      </c>
      <c r="C30" s="233">
        <f>J8</f>
        <v>170000</v>
      </c>
      <c r="D30" s="233">
        <f>H8</f>
        <v>140495.87</v>
      </c>
      <c r="E30" s="233">
        <f>I8</f>
        <v>29504.13</v>
      </c>
      <c r="F30" s="231"/>
      <c r="G30" s="231"/>
      <c r="H30" s="231"/>
      <c r="I30" s="231"/>
      <c r="J30" s="231"/>
      <c r="M30" s="226"/>
    </row>
    <row r="31" spans="1:15" ht="13.5" thickBot="1" x14ac:dyDescent="0.25">
      <c r="A31" s="229">
        <v>2026</v>
      </c>
      <c r="B31" s="230" t="s">
        <v>210</v>
      </c>
      <c r="C31" s="233">
        <f>M6+M7+M9</f>
        <v>768678.6100000001</v>
      </c>
      <c r="D31" s="233">
        <f>K6+K7+K9</f>
        <v>635271.58000000007</v>
      </c>
      <c r="E31" s="233">
        <f>L6+L7+L9</f>
        <v>133407.03</v>
      </c>
      <c r="F31" s="231"/>
      <c r="G31" s="231"/>
      <c r="H31" s="231"/>
      <c r="I31" s="231"/>
      <c r="J31" s="231"/>
      <c r="M31" s="226"/>
    </row>
    <row r="32" spans="1:15" ht="13.5" thickBot="1" x14ac:dyDescent="0.25">
      <c r="A32" s="229">
        <v>2026</v>
      </c>
      <c r="B32" s="230" t="s">
        <v>211</v>
      </c>
      <c r="C32" s="233">
        <f>+M8</f>
        <v>135000</v>
      </c>
      <c r="D32" s="233">
        <f>+K8</f>
        <v>111570.25</v>
      </c>
      <c r="E32" s="234">
        <f>+L8</f>
        <v>23429.75</v>
      </c>
      <c r="F32" s="231"/>
      <c r="G32" s="231"/>
      <c r="H32" s="231"/>
      <c r="I32" s="231"/>
      <c r="J32" s="231"/>
      <c r="M32" s="226"/>
    </row>
    <row r="33" spans="1:13" x14ac:dyDescent="0.2">
      <c r="A33" s="232" t="s">
        <v>116</v>
      </c>
      <c r="B33" s="232"/>
      <c r="C33" s="232">
        <f>SUM(C25:C32)</f>
        <v>3839926.5200000005</v>
      </c>
      <c r="D33" s="232">
        <f>SUM(D25:D32)</f>
        <v>3173492.99</v>
      </c>
      <c r="E33" s="232">
        <f>SUM(E25:E32)</f>
        <v>666433.53</v>
      </c>
      <c r="F33" s="231"/>
      <c r="G33" s="231"/>
      <c r="H33" s="231"/>
      <c r="I33" s="231"/>
      <c r="J33" s="231"/>
      <c r="M33" s="226"/>
    </row>
    <row r="34" spans="1:13" ht="21.75" customHeight="1" x14ac:dyDescent="0.2">
      <c r="D34" s="135"/>
      <c r="E34" s="121"/>
    </row>
    <row r="35" spans="1:13" x14ac:dyDescent="0.2">
      <c r="A35" s="82" t="s">
        <v>130</v>
      </c>
      <c r="E35" s="121"/>
    </row>
    <row r="36" spans="1:13" ht="38.25" x14ac:dyDescent="0.2">
      <c r="A36" s="85" t="s">
        <v>148</v>
      </c>
      <c r="B36" s="85" t="s">
        <v>149</v>
      </c>
      <c r="C36" s="85" t="s">
        <v>142</v>
      </c>
      <c r="D36" s="85" t="s">
        <v>120</v>
      </c>
      <c r="E36" s="85" t="s">
        <v>143</v>
      </c>
      <c r="F36" s="85" t="s">
        <v>121</v>
      </c>
    </row>
    <row r="37" spans="1:13" ht="38.25" x14ac:dyDescent="0.2">
      <c r="A37" s="136" t="s">
        <v>176</v>
      </c>
      <c r="B37" s="86">
        <f>$D$20</f>
        <v>3839926.5200000005</v>
      </c>
      <c r="C37" s="240">
        <v>0.2</v>
      </c>
      <c r="D37" s="87">
        <f>+ROUND(B37*C37,2)</f>
        <v>767985.3</v>
      </c>
      <c r="E37" s="240">
        <v>0.2</v>
      </c>
      <c r="F37" s="87">
        <f>+ROUND(B37*E37,2)</f>
        <v>767985.3</v>
      </c>
    </row>
    <row r="38" spans="1:13" x14ac:dyDescent="0.2">
      <c r="A38" s="88" t="s">
        <v>119</v>
      </c>
      <c r="B38" s="89">
        <f>SUM(B37:B37)</f>
        <v>3839926.5200000005</v>
      </c>
      <c r="C38" s="90">
        <f>SUM(C37:C37)</f>
        <v>0.2</v>
      </c>
      <c r="D38" s="91">
        <f>SUM(D37:D37)</f>
        <v>767985.3</v>
      </c>
      <c r="E38" s="90">
        <f>SUM(E37:E37)</f>
        <v>0.2</v>
      </c>
      <c r="F38" s="91">
        <f>SUM(F37:F37)</f>
        <v>767985.3</v>
      </c>
    </row>
    <row r="39" spans="1:13" x14ac:dyDescent="0.2">
      <c r="D39" s="127">
        <f>+ROUND(D38/1.21,2)</f>
        <v>634698.6</v>
      </c>
      <c r="F39" s="127">
        <f>+ROUND(F38/1.21,2)</f>
        <v>634698.6</v>
      </c>
    </row>
    <row r="40" spans="1:13" x14ac:dyDescent="0.2">
      <c r="D40" s="128" t="s">
        <v>145</v>
      </c>
      <c r="F40" s="128" t="s">
        <v>145</v>
      </c>
    </row>
    <row r="41" spans="1:13" x14ac:dyDescent="0.2">
      <c r="A41" s="82" t="s">
        <v>132</v>
      </c>
    </row>
    <row r="43" spans="1:13" ht="51" x14ac:dyDescent="0.2">
      <c r="A43" s="92"/>
      <c r="B43" s="129" t="s">
        <v>150</v>
      </c>
      <c r="C43" s="129" t="s">
        <v>118</v>
      </c>
      <c r="D43" s="129" t="s">
        <v>151</v>
      </c>
      <c r="E43" s="129" t="s">
        <v>152</v>
      </c>
      <c r="F43" s="129" t="s">
        <v>153</v>
      </c>
    </row>
    <row r="44" spans="1:13" x14ac:dyDescent="0.2">
      <c r="A44" s="92">
        <v>2023</v>
      </c>
      <c r="B44" s="123">
        <f>+B16</f>
        <v>239844.68000000002</v>
      </c>
      <c r="C44" s="87"/>
      <c r="D44" s="93">
        <f>ROUND(G44/$G$50*$D$39,2)</f>
        <v>28399.360000000001</v>
      </c>
      <c r="E44" s="93">
        <f>ROUND(-G44/$G$50*$F$39,2)</f>
        <v>-28399.360000000001</v>
      </c>
      <c r="F44" s="244">
        <f t="shared" ref="F44:F49" si="21">SUM(B44:D44)</f>
        <v>268244.04000000004</v>
      </c>
      <c r="G44" s="133">
        <f t="shared" ref="G44:G49" si="22">+B44+C44</f>
        <v>239844.68000000002</v>
      </c>
    </row>
    <row r="45" spans="1:13" x14ac:dyDescent="0.2">
      <c r="A45" s="92">
        <v>2024</v>
      </c>
      <c r="B45" s="123">
        <f>+B17</f>
        <v>1093403.24</v>
      </c>
      <c r="C45" s="87"/>
      <c r="D45" s="87">
        <f>ROUND(G45/$G$50*$D$39,2)</f>
        <v>129466.93</v>
      </c>
      <c r="E45" s="93">
        <f>ROUND(-G45/$G$50*$F$39,2)</f>
        <v>-129466.93</v>
      </c>
      <c r="F45" s="244">
        <f t="shared" si="21"/>
        <v>1222870.17</v>
      </c>
      <c r="G45" s="133">
        <f t="shared" si="22"/>
        <v>1093403.24</v>
      </c>
    </row>
    <row r="46" spans="1:13" x14ac:dyDescent="0.2">
      <c r="A46" s="92">
        <v>2025</v>
      </c>
      <c r="B46" s="123">
        <f>+B18</f>
        <v>1093403.24</v>
      </c>
      <c r="C46" s="87"/>
      <c r="D46" s="87">
        <f>ROUND(G46/$G$50*$D$39,2)</f>
        <v>129466.93</v>
      </c>
      <c r="E46" s="93">
        <f>ROUND(-G46/$G$50*$F$39,2)</f>
        <v>-129466.93</v>
      </c>
      <c r="F46" s="244">
        <f t="shared" si="21"/>
        <v>1222870.17</v>
      </c>
      <c r="G46" s="133">
        <f t="shared" si="22"/>
        <v>1093403.24</v>
      </c>
      <c r="H46" s="133"/>
    </row>
    <row r="47" spans="1:13" x14ac:dyDescent="0.2">
      <c r="A47" s="92">
        <v>2026</v>
      </c>
      <c r="B47" s="123">
        <f>+B19</f>
        <v>746841.83</v>
      </c>
      <c r="C47" s="123">
        <f>+B46-B47</f>
        <v>346561.41000000003</v>
      </c>
      <c r="D47" s="87">
        <f>ROUND(G47/$G$50*$D$39,2)</f>
        <v>129466.93</v>
      </c>
      <c r="E47" s="93">
        <f>ROUND(-G47/$G$50*$F$39,2)</f>
        <v>-129466.93</v>
      </c>
      <c r="F47" s="244">
        <f t="shared" si="21"/>
        <v>1222870.17</v>
      </c>
      <c r="G47" s="133">
        <f t="shared" si="22"/>
        <v>1093403.24</v>
      </c>
    </row>
    <row r="48" spans="1:13" x14ac:dyDescent="0.2">
      <c r="A48" s="92">
        <v>2027</v>
      </c>
      <c r="B48" s="123"/>
      <c r="C48" s="123">
        <f>+B46</f>
        <v>1093403.24</v>
      </c>
      <c r="D48" s="87">
        <f>ROUND(G48/$G$50*$D$39,2)</f>
        <v>129466.93</v>
      </c>
      <c r="E48" s="93">
        <f>ROUND(-G48/$G$50*$F$39,2)</f>
        <v>-129466.93</v>
      </c>
      <c r="F48" s="244">
        <f t="shared" si="21"/>
        <v>1222870.17</v>
      </c>
      <c r="G48" s="133">
        <f t="shared" si="22"/>
        <v>1093403.24</v>
      </c>
    </row>
    <row r="49" spans="1:8" x14ac:dyDescent="0.2">
      <c r="A49" s="92">
        <v>2028</v>
      </c>
      <c r="B49" s="123"/>
      <c r="C49" s="123">
        <f>+B47</f>
        <v>746841.83</v>
      </c>
      <c r="D49" s="87">
        <f>ROUND(G49/$G$50*$D$39,2)-0.01</f>
        <v>88431.52</v>
      </c>
      <c r="E49" s="93">
        <f>ROUND(-G49/$G$50*$F$39,2)+0.01</f>
        <v>-88431.52</v>
      </c>
      <c r="F49" s="244">
        <f t="shared" si="21"/>
        <v>835273.35</v>
      </c>
      <c r="G49" s="133">
        <f t="shared" si="22"/>
        <v>746841.83</v>
      </c>
    </row>
    <row r="50" spans="1:8" x14ac:dyDescent="0.2">
      <c r="A50" s="94" t="s">
        <v>116</v>
      </c>
      <c r="B50" s="183">
        <f t="shared" ref="B50:G50" si="23">SUM(B44:B49)</f>
        <v>3173492.99</v>
      </c>
      <c r="C50" s="183">
        <f t="shared" si="23"/>
        <v>2186806.48</v>
      </c>
      <c r="D50" s="183">
        <f t="shared" si="23"/>
        <v>634698.6</v>
      </c>
      <c r="E50" s="242">
        <f t="shared" si="23"/>
        <v>-634698.6</v>
      </c>
      <c r="F50" s="183">
        <f t="shared" si="23"/>
        <v>5994998.0699999994</v>
      </c>
      <c r="G50" s="183">
        <f t="shared" si="23"/>
        <v>5360299.4700000007</v>
      </c>
      <c r="H50" s="130"/>
    </row>
    <row r="51" spans="1:8" x14ac:dyDescent="0.2">
      <c r="A51" s="131"/>
      <c r="B51" s="132"/>
      <c r="C51" s="132"/>
      <c r="D51" s="132"/>
      <c r="E51" s="132"/>
      <c r="F51" s="130"/>
    </row>
    <row r="54" spans="1:8" ht="15" x14ac:dyDescent="0.25">
      <c r="A54" s="95"/>
      <c r="B54" s="95"/>
      <c r="C54" s="95"/>
    </row>
    <row r="55" spans="1:8" ht="15.75" x14ac:dyDescent="0.25">
      <c r="A55" s="184" t="s">
        <v>132</v>
      </c>
      <c r="B55" s="300" t="s">
        <v>177</v>
      </c>
      <c r="C55" s="301"/>
      <c r="D55" s="301"/>
      <c r="E55" s="301"/>
    </row>
    <row r="56" spans="1:8" ht="15" x14ac:dyDescent="0.2">
      <c r="A56" s="199">
        <f>+F50</f>
        <v>5994998.0699999994</v>
      </c>
      <c r="B56" s="302" t="s">
        <v>168</v>
      </c>
      <c r="C56" s="303"/>
      <c r="D56" s="302" t="s">
        <v>169</v>
      </c>
      <c r="E56" s="303"/>
    </row>
    <row r="57" spans="1:8" ht="15" x14ac:dyDescent="0.25">
      <c r="A57" s="184" t="s">
        <v>178</v>
      </c>
      <c r="B57" s="184" t="s">
        <v>179</v>
      </c>
      <c r="C57" s="184" t="s">
        <v>180</v>
      </c>
      <c r="D57" s="184" t="s">
        <v>181</v>
      </c>
      <c r="E57" s="184" t="s">
        <v>180</v>
      </c>
    </row>
    <row r="58" spans="1:8" x14ac:dyDescent="0.2">
      <c r="A58" s="200">
        <v>5</v>
      </c>
      <c r="B58" s="87">
        <f>+C58/A58</f>
        <v>1798499.4209999996</v>
      </c>
      <c r="C58" s="87">
        <f>1.5*A56</f>
        <v>8992497.1049999986</v>
      </c>
      <c r="D58" s="87">
        <f>ROUND(A56*2/3/A58,2)</f>
        <v>799333.08</v>
      </c>
      <c r="E58" s="87">
        <f>+C58</f>
        <v>8992497.1049999986</v>
      </c>
      <c r="F58" s="96"/>
    </row>
    <row r="59" spans="1:8" x14ac:dyDescent="0.2">
      <c r="B59" s="185" t="s">
        <v>182</v>
      </c>
      <c r="C59" s="185" t="s">
        <v>183</v>
      </c>
      <c r="D59" s="186" t="s">
        <v>184</v>
      </c>
      <c r="E59" s="185" t="s">
        <v>183</v>
      </c>
    </row>
    <row r="60" spans="1:8" ht="15" x14ac:dyDescent="0.25">
      <c r="D60" s="95"/>
    </row>
    <row r="61" spans="1:8" ht="15" x14ac:dyDescent="0.25">
      <c r="D61" s="95" t="s">
        <v>134</v>
      </c>
    </row>
    <row r="62" spans="1:8" ht="15" x14ac:dyDescent="0.25">
      <c r="D62" s="97"/>
    </row>
    <row r="63" spans="1:8" ht="15" x14ac:dyDescent="0.25">
      <c r="D63" s="97"/>
    </row>
    <row r="64" spans="1:8" ht="15" x14ac:dyDescent="0.25">
      <c r="D64" s="95"/>
    </row>
    <row r="65" spans="2:4" ht="15" x14ac:dyDescent="0.25">
      <c r="D65" s="95"/>
    </row>
    <row r="66" spans="2:4" ht="15" x14ac:dyDescent="0.25">
      <c r="D66" s="95"/>
    </row>
    <row r="67" spans="2:4" ht="15" x14ac:dyDescent="0.25">
      <c r="B67" s="98"/>
      <c r="D67" s="95"/>
    </row>
    <row r="68" spans="2:4" ht="15" x14ac:dyDescent="0.25">
      <c r="D68" s="95"/>
    </row>
    <row r="69" spans="2:4" ht="15" x14ac:dyDescent="0.25">
      <c r="D69" s="95"/>
    </row>
  </sheetData>
  <sheetProtection algorithmName="SHA-512" hashValue="sks5lcmGjsj9Qm/pfrdxJgx2aUSx0OlsgVB4e5Pd6MGLNtrE8yz1C3NNxwPjdcc/MiI5rETKId8yG//tCFRbeQ==" saltValue="YU+VNu4DihuikbI48TPpKg==" spinCount="100000" sheet="1" objects="1" scenarios="1"/>
  <mergeCells count="8">
    <mergeCell ref="B55:E55"/>
    <mergeCell ref="B56:C56"/>
    <mergeCell ref="D56:E56"/>
    <mergeCell ref="B4:D4"/>
    <mergeCell ref="H4:J4"/>
    <mergeCell ref="E4:G4"/>
    <mergeCell ref="E16:N21"/>
    <mergeCell ref="K4:M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D17" sqref="D17"/>
    </sheetView>
  </sheetViews>
  <sheetFormatPr baseColWidth="10" defaultColWidth="14.42578125" defaultRowHeight="15" x14ac:dyDescent="0.25"/>
  <cols>
    <col min="1" max="2" width="11.42578125" style="137" customWidth="1"/>
    <col min="3" max="3" width="46.28515625" style="137" bestFit="1" customWidth="1"/>
    <col min="4" max="4" width="28.85546875" style="137" customWidth="1"/>
    <col min="5" max="5" width="20.7109375" style="137" customWidth="1"/>
    <col min="6" max="7" width="15.85546875" style="137" customWidth="1"/>
    <col min="8" max="8" width="14.28515625" style="137" bestFit="1" customWidth="1"/>
    <col min="9" max="9" width="17" style="137" customWidth="1"/>
    <col min="10" max="10" width="28.140625" style="137" customWidth="1"/>
    <col min="11" max="11" width="19.7109375" style="137" bestFit="1" customWidth="1"/>
    <col min="12" max="12" width="17.7109375" style="137" customWidth="1"/>
    <col min="13" max="26" width="11.42578125" style="137" customWidth="1"/>
    <col min="27" max="16384" width="14.42578125" style="137"/>
  </cols>
  <sheetData>
    <row r="1" spans="1:11" x14ac:dyDescent="0.25">
      <c r="G1" s="138"/>
    </row>
    <row r="2" spans="1:11" x14ac:dyDescent="0.25">
      <c r="A2" s="139" t="s">
        <v>155</v>
      </c>
      <c r="B2" s="140"/>
      <c r="C2" s="140"/>
      <c r="D2" s="140"/>
      <c r="E2" s="140"/>
      <c r="F2" s="140"/>
      <c r="G2" s="141"/>
      <c r="H2" s="140"/>
      <c r="I2" s="140"/>
    </row>
    <row r="3" spans="1:11" ht="15.75" customHeight="1" x14ac:dyDescent="0.25">
      <c r="G3" s="138"/>
    </row>
    <row r="4" spans="1:11" s="134" customFormat="1" ht="44.25" customHeight="1" x14ac:dyDescent="0.25">
      <c r="A4" s="170"/>
      <c r="B4" s="171"/>
      <c r="C4" s="169" t="s">
        <v>156</v>
      </c>
      <c r="D4" s="172" t="s">
        <v>157</v>
      </c>
      <c r="E4" s="171" t="s">
        <v>158</v>
      </c>
      <c r="F4" s="172" t="s">
        <v>272</v>
      </c>
      <c r="G4" s="173" t="s">
        <v>159</v>
      </c>
      <c r="H4" s="171" t="s">
        <v>160</v>
      </c>
      <c r="I4" s="172" t="s">
        <v>161</v>
      </c>
      <c r="J4" s="172" t="s">
        <v>162</v>
      </c>
      <c r="K4" s="173" t="s">
        <v>174</v>
      </c>
    </row>
    <row r="5" spans="1:11" ht="15.75" customHeight="1" x14ac:dyDescent="0.25">
      <c r="A5" s="143"/>
      <c r="B5" s="142"/>
      <c r="C5" s="168">
        <f>'Taules IJ'!B20</f>
        <v>3173492.99</v>
      </c>
      <c r="D5" s="144">
        <f>ROUND(C5*0.2, 2)</f>
        <v>634698.6</v>
      </c>
      <c r="E5" s="145">
        <f>ROUND(C5-D5, 2)</f>
        <v>2538794.39</v>
      </c>
      <c r="F5" s="144">
        <f>ROUND(C5*0.064, 2)</f>
        <v>203103.55</v>
      </c>
      <c r="G5" s="146">
        <f>ROUND(D5+F5, 2)</f>
        <v>837802.15</v>
      </c>
      <c r="H5" s="145">
        <f>ROUND(E5-F5, 2)</f>
        <v>2335690.84</v>
      </c>
      <c r="I5" s="144">
        <f>ROUND(H5*(0.34/1.34), 2)</f>
        <v>592637.97</v>
      </c>
      <c r="J5" s="144">
        <f>ROUND(H5-I5, 2)</f>
        <v>1743052.87</v>
      </c>
      <c r="K5" s="146">
        <f>+H5</f>
        <v>2335690.84</v>
      </c>
    </row>
    <row r="6" spans="1:11" ht="15.75" customHeight="1" x14ac:dyDescent="0.25">
      <c r="A6" s="147"/>
      <c r="G6" s="138"/>
    </row>
    <row r="7" spans="1:11" ht="15.75" customHeight="1" x14ac:dyDescent="0.25">
      <c r="C7" s="187" t="s">
        <v>163</v>
      </c>
      <c r="D7" s="187"/>
      <c r="G7" s="138"/>
    </row>
    <row r="8" spans="1:11" ht="15.75" customHeight="1" x14ac:dyDescent="0.25">
      <c r="C8" s="189" t="s">
        <v>164</v>
      </c>
      <c r="D8" s="191">
        <f>J5</f>
        <v>1743052.87</v>
      </c>
      <c r="G8" s="138"/>
    </row>
    <row r="9" spans="1:11" ht="15.75" customHeight="1" x14ac:dyDescent="0.25">
      <c r="C9" s="189" t="s">
        <v>269</v>
      </c>
      <c r="D9" s="191">
        <f>I5</f>
        <v>592637.97</v>
      </c>
      <c r="G9" s="138"/>
    </row>
    <row r="10" spans="1:11" ht="15.75" customHeight="1" x14ac:dyDescent="0.25">
      <c r="C10" s="189" t="s">
        <v>165</v>
      </c>
      <c r="D10" s="192">
        <f>+K5</f>
        <v>2335690.84</v>
      </c>
      <c r="G10" s="138"/>
    </row>
    <row r="11" spans="1:11" ht="15.75" customHeight="1" x14ac:dyDescent="0.25">
      <c r="C11" s="148"/>
      <c r="D11" s="193"/>
      <c r="G11" s="138"/>
    </row>
    <row r="12" spans="1:11" ht="15.75" customHeight="1" x14ac:dyDescent="0.25">
      <c r="C12" s="187" t="s">
        <v>166</v>
      </c>
      <c r="D12" s="194"/>
      <c r="G12" s="138"/>
    </row>
    <row r="13" spans="1:11" ht="15.75" customHeight="1" x14ac:dyDescent="0.25">
      <c r="C13" s="190" t="s">
        <v>270</v>
      </c>
      <c r="D13" s="191">
        <f>F5</f>
        <v>203103.55</v>
      </c>
      <c r="G13" s="138"/>
    </row>
    <row r="14" spans="1:11" ht="15.75" customHeight="1" x14ac:dyDescent="0.25">
      <c r="C14" s="190" t="s">
        <v>271</v>
      </c>
      <c r="D14" s="191">
        <f>D5</f>
        <v>634698.6</v>
      </c>
      <c r="G14" s="138"/>
    </row>
    <row r="15" spans="1:11" ht="15.75" customHeight="1" x14ac:dyDescent="0.25">
      <c r="C15" s="190" t="s">
        <v>167</v>
      </c>
      <c r="D15" s="195">
        <f>G5</f>
        <v>837802.15</v>
      </c>
      <c r="G15" s="138"/>
    </row>
    <row r="16" spans="1:11" ht="15.75" customHeight="1" x14ac:dyDescent="0.25">
      <c r="C16" s="149"/>
      <c r="D16" s="149"/>
      <c r="G16" s="138"/>
    </row>
    <row r="17" spans="3:12" ht="15.75" customHeight="1" x14ac:dyDescent="0.25">
      <c r="C17" s="187" t="s">
        <v>170</v>
      </c>
      <c r="D17" s="188">
        <f>D10+D15</f>
        <v>3173492.9899999998</v>
      </c>
      <c r="G17" s="138"/>
      <c r="K17" s="150"/>
      <c r="L17" s="150"/>
    </row>
    <row r="18" spans="3:12" x14ac:dyDescent="0.25">
      <c r="C18" s="292" t="s">
        <v>273</v>
      </c>
      <c r="G18" s="138"/>
    </row>
    <row r="19" spans="3:12" x14ac:dyDescent="0.25">
      <c r="C19" s="292" t="s">
        <v>274</v>
      </c>
      <c r="G19" s="138"/>
    </row>
    <row r="20" spans="3:12" x14ac:dyDescent="0.25">
      <c r="G20" s="138"/>
    </row>
    <row r="21" spans="3:12" x14ac:dyDescent="0.25">
      <c r="G21" s="138"/>
    </row>
    <row r="22" spans="3:12" x14ac:dyDescent="0.25">
      <c r="G22" s="138"/>
    </row>
    <row r="23" spans="3:12" x14ac:dyDescent="0.25">
      <c r="G23" s="138"/>
    </row>
    <row r="24" spans="3:12" x14ac:dyDescent="0.25">
      <c r="G24" s="138"/>
    </row>
    <row r="25" spans="3:12" x14ac:dyDescent="0.25">
      <c r="G25" s="138"/>
    </row>
    <row r="26" spans="3:12" x14ac:dyDescent="0.25">
      <c r="G26" s="138"/>
    </row>
    <row r="27" spans="3:12" x14ac:dyDescent="0.25">
      <c r="G27" s="138"/>
    </row>
    <row r="28" spans="3:12" x14ac:dyDescent="0.25">
      <c r="G28" s="138"/>
    </row>
    <row r="29" spans="3:12" x14ac:dyDescent="0.25">
      <c r="G29" s="138"/>
    </row>
    <row r="30" spans="3:12" x14ac:dyDescent="0.25">
      <c r="G30" s="138"/>
    </row>
    <row r="31" spans="3:12" x14ac:dyDescent="0.25">
      <c r="G31" s="138"/>
    </row>
    <row r="32" spans="3:12" x14ac:dyDescent="0.25">
      <c r="G32" s="138"/>
    </row>
    <row r="33" spans="7:7" x14ac:dyDescent="0.25">
      <c r="G33" s="138"/>
    </row>
    <row r="34" spans="7:7" x14ac:dyDescent="0.25">
      <c r="G34" s="138"/>
    </row>
    <row r="35" spans="7:7" x14ac:dyDescent="0.25">
      <c r="G35" s="138"/>
    </row>
    <row r="36" spans="7:7" x14ac:dyDescent="0.25">
      <c r="G36" s="138"/>
    </row>
    <row r="37" spans="7:7" x14ac:dyDescent="0.25">
      <c r="G37" s="138"/>
    </row>
    <row r="38" spans="7:7" x14ac:dyDescent="0.25">
      <c r="G38" s="138"/>
    </row>
    <row r="39" spans="7:7" x14ac:dyDescent="0.25">
      <c r="G39" s="138"/>
    </row>
    <row r="40" spans="7:7" x14ac:dyDescent="0.25">
      <c r="G40" s="138"/>
    </row>
    <row r="41" spans="7:7" x14ac:dyDescent="0.25">
      <c r="G41" s="138"/>
    </row>
    <row r="42" spans="7:7" x14ac:dyDescent="0.25">
      <c r="G42" s="138"/>
    </row>
    <row r="43" spans="7:7" x14ac:dyDescent="0.25">
      <c r="G43" s="138"/>
    </row>
    <row r="44" spans="7:7" x14ac:dyDescent="0.25">
      <c r="G44" s="138"/>
    </row>
    <row r="45" spans="7:7" x14ac:dyDescent="0.25">
      <c r="G45" s="138"/>
    </row>
    <row r="46" spans="7:7" x14ac:dyDescent="0.25">
      <c r="G46" s="138"/>
    </row>
    <row r="47" spans="7:7" x14ac:dyDescent="0.25">
      <c r="G47" s="138"/>
    </row>
    <row r="48" spans="7:7" x14ac:dyDescent="0.25">
      <c r="G48" s="138"/>
    </row>
    <row r="49" spans="7:7" x14ac:dyDescent="0.25">
      <c r="G49" s="138"/>
    </row>
    <row r="50" spans="7:7" x14ac:dyDescent="0.25">
      <c r="G50" s="138"/>
    </row>
    <row r="51" spans="7:7" x14ac:dyDescent="0.25">
      <c r="G51" s="138"/>
    </row>
    <row r="52" spans="7:7" x14ac:dyDescent="0.25">
      <c r="G52" s="138"/>
    </row>
    <row r="53" spans="7:7" x14ac:dyDescent="0.25">
      <c r="G53" s="138"/>
    </row>
    <row r="54" spans="7:7" x14ac:dyDescent="0.25">
      <c r="G54" s="138"/>
    </row>
    <row r="55" spans="7:7" x14ac:dyDescent="0.25">
      <c r="G55" s="138"/>
    </row>
    <row r="56" spans="7:7" x14ac:dyDescent="0.25">
      <c r="G56" s="138"/>
    </row>
    <row r="57" spans="7:7" x14ac:dyDescent="0.25">
      <c r="G57" s="138"/>
    </row>
    <row r="58" spans="7:7" x14ac:dyDescent="0.25">
      <c r="G58" s="138"/>
    </row>
    <row r="59" spans="7:7" x14ac:dyDescent="0.25">
      <c r="G59" s="138"/>
    </row>
    <row r="60" spans="7:7" x14ac:dyDescent="0.25">
      <c r="G60" s="138"/>
    </row>
    <row r="61" spans="7:7" x14ac:dyDescent="0.25">
      <c r="G61" s="138"/>
    </row>
    <row r="62" spans="7:7" x14ac:dyDescent="0.25">
      <c r="G62" s="138"/>
    </row>
    <row r="63" spans="7:7" x14ac:dyDescent="0.25">
      <c r="G63" s="138"/>
    </row>
    <row r="64" spans="7:7" x14ac:dyDescent="0.25">
      <c r="G64" s="138"/>
    </row>
    <row r="65" spans="7:7" x14ac:dyDescent="0.25">
      <c r="G65" s="138"/>
    </row>
    <row r="66" spans="7:7" x14ac:dyDescent="0.25">
      <c r="G66" s="138"/>
    </row>
    <row r="67" spans="7:7" x14ac:dyDescent="0.25">
      <c r="G67" s="138"/>
    </row>
    <row r="68" spans="7:7" x14ac:dyDescent="0.25">
      <c r="G68" s="138"/>
    </row>
    <row r="69" spans="7:7" x14ac:dyDescent="0.25">
      <c r="G69" s="138"/>
    </row>
    <row r="70" spans="7:7" x14ac:dyDescent="0.25">
      <c r="G70" s="138"/>
    </row>
    <row r="71" spans="7:7" x14ac:dyDescent="0.25">
      <c r="G71" s="138"/>
    </row>
    <row r="72" spans="7:7" x14ac:dyDescent="0.25">
      <c r="G72" s="138"/>
    </row>
    <row r="73" spans="7:7" x14ac:dyDescent="0.25">
      <c r="G73" s="138"/>
    </row>
    <row r="74" spans="7:7" x14ac:dyDescent="0.25">
      <c r="G74" s="138"/>
    </row>
    <row r="75" spans="7:7" x14ac:dyDescent="0.25">
      <c r="G75" s="138"/>
    </row>
    <row r="76" spans="7:7" x14ac:dyDescent="0.25">
      <c r="G76" s="138"/>
    </row>
    <row r="77" spans="7:7" x14ac:dyDescent="0.25">
      <c r="G77" s="138"/>
    </row>
    <row r="78" spans="7:7" x14ac:dyDescent="0.25">
      <c r="G78" s="138"/>
    </row>
    <row r="79" spans="7:7" x14ac:dyDescent="0.25">
      <c r="G79" s="138"/>
    </row>
    <row r="80" spans="7:7" x14ac:dyDescent="0.25">
      <c r="G80" s="138"/>
    </row>
    <row r="81" spans="7:7" x14ac:dyDescent="0.25">
      <c r="G81" s="138"/>
    </row>
    <row r="82" spans="7:7" x14ac:dyDescent="0.25">
      <c r="G82" s="138"/>
    </row>
    <row r="83" spans="7:7" x14ac:dyDescent="0.25">
      <c r="G83" s="138"/>
    </row>
    <row r="84" spans="7:7" x14ac:dyDescent="0.25">
      <c r="G84" s="138"/>
    </row>
    <row r="85" spans="7:7" x14ac:dyDescent="0.25">
      <c r="G85" s="138"/>
    </row>
    <row r="86" spans="7:7" x14ac:dyDescent="0.25">
      <c r="G86" s="138"/>
    </row>
    <row r="87" spans="7:7" x14ac:dyDescent="0.25">
      <c r="G87" s="138"/>
    </row>
    <row r="88" spans="7:7" x14ac:dyDescent="0.25">
      <c r="G88" s="138"/>
    </row>
    <row r="89" spans="7:7" x14ac:dyDescent="0.25">
      <c r="G89" s="138"/>
    </row>
    <row r="90" spans="7:7" x14ac:dyDescent="0.25">
      <c r="G90" s="138"/>
    </row>
    <row r="91" spans="7:7" x14ac:dyDescent="0.25">
      <c r="G91" s="138"/>
    </row>
    <row r="92" spans="7:7" x14ac:dyDescent="0.25">
      <c r="G92" s="138"/>
    </row>
    <row r="93" spans="7:7" x14ac:dyDescent="0.25">
      <c r="G93" s="138"/>
    </row>
    <row r="94" spans="7:7" x14ac:dyDescent="0.25">
      <c r="G94" s="138"/>
    </row>
    <row r="95" spans="7:7" x14ac:dyDescent="0.25">
      <c r="G95" s="138"/>
    </row>
    <row r="96" spans="7:7" x14ac:dyDescent="0.25">
      <c r="G96" s="138"/>
    </row>
    <row r="97" spans="7:7" x14ac:dyDescent="0.25">
      <c r="G97" s="138"/>
    </row>
    <row r="98" spans="7:7" x14ac:dyDescent="0.25">
      <c r="G98" s="138"/>
    </row>
    <row r="99" spans="7:7" x14ac:dyDescent="0.25">
      <c r="G99" s="138"/>
    </row>
    <row r="100" spans="7:7" x14ac:dyDescent="0.25">
      <c r="G100" s="138"/>
    </row>
    <row r="101" spans="7:7" x14ac:dyDescent="0.25">
      <c r="G101" s="138"/>
    </row>
    <row r="102" spans="7:7" x14ac:dyDescent="0.25">
      <c r="G102" s="138"/>
    </row>
    <row r="103" spans="7:7" x14ac:dyDescent="0.25">
      <c r="G103" s="138"/>
    </row>
    <row r="104" spans="7:7" x14ac:dyDescent="0.25">
      <c r="G104" s="138"/>
    </row>
    <row r="105" spans="7:7" x14ac:dyDescent="0.25">
      <c r="G105" s="138"/>
    </row>
    <row r="106" spans="7:7" x14ac:dyDescent="0.25">
      <c r="G106" s="138"/>
    </row>
    <row r="107" spans="7:7" x14ac:dyDescent="0.25">
      <c r="G107" s="138"/>
    </row>
    <row r="108" spans="7:7" x14ac:dyDescent="0.25">
      <c r="G108" s="138"/>
    </row>
    <row r="109" spans="7:7" x14ac:dyDescent="0.25">
      <c r="G109" s="138"/>
    </row>
    <row r="110" spans="7:7" x14ac:dyDescent="0.25">
      <c r="G110" s="138"/>
    </row>
    <row r="111" spans="7:7" x14ac:dyDescent="0.25">
      <c r="G111" s="138"/>
    </row>
    <row r="112" spans="7:7" x14ac:dyDescent="0.25">
      <c r="G112" s="138"/>
    </row>
    <row r="113" spans="7:7" x14ac:dyDescent="0.25">
      <c r="G113" s="138"/>
    </row>
    <row r="114" spans="7:7" x14ac:dyDescent="0.25">
      <c r="G114" s="138"/>
    </row>
    <row r="115" spans="7:7" x14ac:dyDescent="0.25">
      <c r="G115" s="138"/>
    </row>
    <row r="116" spans="7:7" x14ac:dyDescent="0.25">
      <c r="G116" s="138"/>
    </row>
    <row r="117" spans="7:7" x14ac:dyDescent="0.25">
      <c r="G117" s="138"/>
    </row>
    <row r="118" spans="7:7" x14ac:dyDescent="0.25">
      <c r="G118" s="138"/>
    </row>
    <row r="119" spans="7:7" x14ac:dyDescent="0.25">
      <c r="G119" s="138"/>
    </row>
    <row r="120" spans="7:7" x14ac:dyDescent="0.25">
      <c r="G120" s="138"/>
    </row>
    <row r="121" spans="7:7" x14ac:dyDescent="0.25">
      <c r="G121" s="138"/>
    </row>
    <row r="122" spans="7:7" x14ac:dyDescent="0.25">
      <c r="G122" s="138"/>
    </row>
    <row r="123" spans="7:7" x14ac:dyDescent="0.25">
      <c r="G123" s="138"/>
    </row>
    <row r="124" spans="7:7" x14ac:dyDescent="0.25">
      <c r="G124" s="138"/>
    </row>
    <row r="125" spans="7:7" x14ac:dyDescent="0.25">
      <c r="G125" s="138"/>
    </row>
    <row r="126" spans="7:7" x14ac:dyDescent="0.25">
      <c r="G126" s="138"/>
    </row>
    <row r="127" spans="7:7" x14ac:dyDescent="0.25">
      <c r="G127" s="138"/>
    </row>
    <row r="128" spans="7:7" x14ac:dyDescent="0.25">
      <c r="G128" s="138"/>
    </row>
    <row r="129" spans="7:7" x14ac:dyDescent="0.25">
      <c r="G129" s="138"/>
    </row>
    <row r="130" spans="7:7" x14ac:dyDescent="0.25">
      <c r="G130" s="138"/>
    </row>
    <row r="131" spans="7:7" x14ac:dyDescent="0.25">
      <c r="G131" s="138"/>
    </row>
    <row r="132" spans="7:7" x14ac:dyDescent="0.25">
      <c r="G132" s="138"/>
    </row>
    <row r="133" spans="7:7" x14ac:dyDescent="0.25">
      <c r="G133" s="138"/>
    </row>
    <row r="134" spans="7:7" x14ac:dyDescent="0.25">
      <c r="G134" s="138"/>
    </row>
    <row r="135" spans="7:7" x14ac:dyDescent="0.25">
      <c r="G135" s="138"/>
    </row>
    <row r="136" spans="7:7" x14ac:dyDescent="0.25">
      <c r="G136" s="138"/>
    </row>
    <row r="137" spans="7:7" x14ac:dyDescent="0.25">
      <c r="G137" s="138"/>
    </row>
    <row r="138" spans="7:7" x14ac:dyDescent="0.25">
      <c r="G138" s="138"/>
    </row>
    <row r="139" spans="7:7" x14ac:dyDescent="0.25">
      <c r="G139" s="138"/>
    </row>
    <row r="140" spans="7:7" x14ac:dyDescent="0.25">
      <c r="G140" s="138"/>
    </row>
    <row r="141" spans="7:7" x14ac:dyDescent="0.25">
      <c r="G141" s="138"/>
    </row>
    <row r="142" spans="7:7" x14ac:dyDescent="0.25">
      <c r="G142" s="138"/>
    </row>
    <row r="143" spans="7:7" x14ac:dyDescent="0.25">
      <c r="G143" s="138"/>
    </row>
    <row r="144" spans="7:7" x14ac:dyDescent="0.25">
      <c r="G144" s="138"/>
    </row>
    <row r="145" spans="7:7" x14ac:dyDescent="0.25">
      <c r="G145" s="138"/>
    </row>
    <row r="146" spans="7:7" x14ac:dyDescent="0.25">
      <c r="G146" s="138"/>
    </row>
    <row r="147" spans="7:7" x14ac:dyDescent="0.25">
      <c r="G147" s="138"/>
    </row>
    <row r="148" spans="7:7" x14ac:dyDescent="0.25">
      <c r="G148" s="138"/>
    </row>
    <row r="149" spans="7:7" x14ac:dyDescent="0.25">
      <c r="G149" s="138"/>
    </row>
    <row r="150" spans="7:7" x14ac:dyDescent="0.25">
      <c r="G150" s="138"/>
    </row>
    <row r="151" spans="7:7" x14ac:dyDescent="0.25">
      <c r="G151" s="138"/>
    </row>
    <row r="152" spans="7:7" x14ac:dyDescent="0.25">
      <c r="G152" s="138"/>
    </row>
    <row r="153" spans="7:7" x14ac:dyDescent="0.25">
      <c r="G153" s="138"/>
    </row>
    <row r="154" spans="7:7" x14ac:dyDescent="0.25">
      <c r="G154" s="138"/>
    </row>
    <row r="155" spans="7:7" x14ac:dyDescent="0.25">
      <c r="G155" s="138"/>
    </row>
    <row r="156" spans="7:7" x14ac:dyDescent="0.25">
      <c r="G156" s="138"/>
    </row>
    <row r="157" spans="7:7" x14ac:dyDescent="0.25">
      <c r="G157" s="138"/>
    </row>
    <row r="158" spans="7:7" x14ac:dyDescent="0.25">
      <c r="G158" s="138"/>
    </row>
    <row r="159" spans="7:7" x14ac:dyDescent="0.25">
      <c r="G159" s="138"/>
    </row>
    <row r="160" spans="7:7" x14ac:dyDescent="0.25">
      <c r="G160" s="138"/>
    </row>
    <row r="161" spans="7:7" x14ac:dyDescent="0.25">
      <c r="G161" s="138"/>
    </row>
    <row r="162" spans="7:7" x14ac:dyDescent="0.25">
      <c r="G162" s="138"/>
    </row>
    <row r="163" spans="7:7" x14ac:dyDescent="0.25">
      <c r="G163" s="138"/>
    </row>
    <row r="164" spans="7:7" x14ac:dyDescent="0.25">
      <c r="G164" s="138"/>
    </row>
    <row r="165" spans="7:7" x14ac:dyDescent="0.25">
      <c r="G165" s="138"/>
    </row>
    <row r="166" spans="7:7" x14ac:dyDescent="0.25">
      <c r="G166" s="138"/>
    </row>
    <row r="167" spans="7:7" x14ac:dyDescent="0.25">
      <c r="G167" s="138"/>
    </row>
    <row r="168" spans="7:7" x14ac:dyDescent="0.25">
      <c r="G168" s="138"/>
    </row>
    <row r="169" spans="7:7" x14ac:dyDescent="0.25">
      <c r="G169" s="138"/>
    </row>
    <row r="170" spans="7:7" x14ac:dyDescent="0.25">
      <c r="G170" s="138"/>
    </row>
    <row r="171" spans="7:7" x14ac:dyDescent="0.25">
      <c r="G171" s="138"/>
    </row>
    <row r="172" spans="7:7" x14ac:dyDescent="0.25">
      <c r="G172" s="138"/>
    </row>
    <row r="173" spans="7:7" x14ac:dyDescent="0.25">
      <c r="G173" s="138"/>
    </row>
    <row r="174" spans="7:7" x14ac:dyDescent="0.25">
      <c r="G174" s="138"/>
    </row>
    <row r="175" spans="7:7" x14ac:dyDescent="0.25">
      <c r="G175" s="138"/>
    </row>
    <row r="176" spans="7:7" x14ac:dyDescent="0.25">
      <c r="G176" s="138"/>
    </row>
    <row r="177" spans="7:7" x14ac:dyDescent="0.25">
      <c r="G177" s="138"/>
    </row>
    <row r="178" spans="7:7" x14ac:dyDescent="0.25">
      <c r="G178" s="138"/>
    </row>
    <row r="179" spans="7:7" x14ac:dyDescent="0.25">
      <c r="G179" s="138"/>
    </row>
    <row r="180" spans="7:7" x14ac:dyDescent="0.25">
      <c r="G180" s="138"/>
    </row>
    <row r="181" spans="7:7" x14ac:dyDescent="0.25">
      <c r="G181" s="138"/>
    </row>
    <row r="182" spans="7:7" x14ac:dyDescent="0.25">
      <c r="G182" s="138"/>
    </row>
    <row r="183" spans="7:7" x14ac:dyDescent="0.25">
      <c r="G183" s="138"/>
    </row>
    <row r="184" spans="7:7" x14ac:dyDescent="0.25">
      <c r="G184" s="138"/>
    </row>
    <row r="185" spans="7:7" x14ac:dyDescent="0.25">
      <c r="G185" s="138"/>
    </row>
    <row r="186" spans="7:7" x14ac:dyDescent="0.25">
      <c r="G186" s="138"/>
    </row>
    <row r="187" spans="7:7" x14ac:dyDescent="0.25">
      <c r="G187" s="138"/>
    </row>
    <row r="188" spans="7:7" x14ac:dyDescent="0.25">
      <c r="G188" s="138"/>
    </row>
    <row r="189" spans="7:7" x14ac:dyDescent="0.25">
      <c r="G189" s="138"/>
    </row>
    <row r="190" spans="7:7" x14ac:dyDescent="0.25">
      <c r="G190" s="138"/>
    </row>
    <row r="191" spans="7:7" x14ac:dyDescent="0.25">
      <c r="G191" s="138"/>
    </row>
    <row r="192" spans="7:7" x14ac:dyDescent="0.25">
      <c r="G192" s="138"/>
    </row>
    <row r="193" spans="7:7" x14ac:dyDescent="0.25">
      <c r="G193" s="138"/>
    </row>
    <row r="194" spans="7:7" x14ac:dyDescent="0.25">
      <c r="G194" s="138"/>
    </row>
    <row r="195" spans="7:7" x14ac:dyDescent="0.25">
      <c r="G195" s="138"/>
    </row>
    <row r="196" spans="7:7" x14ac:dyDescent="0.25">
      <c r="G196" s="138"/>
    </row>
    <row r="197" spans="7:7" x14ac:dyDescent="0.25">
      <c r="G197" s="138"/>
    </row>
    <row r="198" spans="7:7" x14ac:dyDescent="0.25">
      <c r="G198" s="138"/>
    </row>
    <row r="199" spans="7:7" x14ac:dyDescent="0.25">
      <c r="G199" s="138"/>
    </row>
    <row r="200" spans="7:7" x14ac:dyDescent="0.25">
      <c r="G200" s="138"/>
    </row>
    <row r="201" spans="7:7" x14ac:dyDescent="0.25">
      <c r="G201" s="138"/>
    </row>
    <row r="202" spans="7:7" x14ac:dyDescent="0.25">
      <c r="G202" s="138"/>
    </row>
    <row r="203" spans="7:7" x14ac:dyDescent="0.25">
      <c r="G203" s="138"/>
    </row>
    <row r="204" spans="7:7" x14ac:dyDescent="0.25">
      <c r="G204" s="138"/>
    </row>
    <row r="205" spans="7:7" x14ac:dyDescent="0.25">
      <c r="G205" s="138"/>
    </row>
    <row r="206" spans="7:7" x14ac:dyDescent="0.25">
      <c r="G206" s="138"/>
    </row>
    <row r="207" spans="7:7" x14ac:dyDescent="0.25">
      <c r="G207" s="138"/>
    </row>
    <row r="208" spans="7:7" x14ac:dyDescent="0.25">
      <c r="G208" s="138"/>
    </row>
    <row r="209" spans="7:7" x14ac:dyDescent="0.25">
      <c r="G209" s="138"/>
    </row>
    <row r="210" spans="7:7" x14ac:dyDescent="0.25">
      <c r="G210" s="138"/>
    </row>
    <row r="211" spans="7:7" x14ac:dyDescent="0.25">
      <c r="G211" s="138"/>
    </row>
    <row r="212" spans="7:7" x14ac:dyDescent="0.25">
      <c r="G212" s="138"/>
    </row>
    <row r="213" spans="7:7" x14ac:dyDescent="0.25">
      <c r="G213" s="138"/>
    </row>
    <row r="214" spans="7:7" x14ac:dyDescent="0.25">
      <c r="G214" s="138"/>
    </row>
    <row r="215" spans="7:7" x14ac:dyDescent="0.25">
      <c r="G215" s="138"/>
    </row>
    <row r="216" spans="7:7" x14ac:dyDescent="0.25">
      <c r="G216" s="138"/>
    </row>
    <row r="217" spans="7:7" x14ac:dyDescent="0.25">
      <c r="G217" s="138"/>
    </row>
    <row r="218" spans="7:7" x14ac:dyDescent="0.25">
      <c r="G218" s="138"/>
    </row>
    <row r="219" spans="7:7" x14ac:dyDescent="0.25">
      <c r="G219" s="138"/>
    </row>
    <row r="220" spans="7:7" x14ac:dyDescent="0.25">
      <c r="G220" s="138"/>
    </row>
    <row r="221" spans="7:7" x14ac:dyDescent="0.25">
      <c r="G221" s="138"/>
    </row>
    <row r="222" spans="7:7" x14ac:dyDescent="0.25">
      <c r="G222" s="138"/>
    </row>
    <row r="223" spans="7:7" x14ac:dyDescent="0.25">
      <c r="G223" s="138"/>
    </row>
    <row r="224" spans="7:7" x14ac:dyDescent="0.25">
      <c r="G224" s="138"/>
    </row>
    <row r="225" spans="7:7" x14ac:dyDescent="0.25">
      <c r="G225" s="138"/>
    </row>
    <row r="226" spans="7:7" x14ac:dyDescent="0.25">
      <c r="G226" s="138"/>
    </row>
    <row r="227" spans="7:7" x14ac:dyDescent="0.25">
      <c r="G227" s="138"/>
    </row>
    <row r="228" spans="7:7" x14ac:dyDescent="0.25">
      <c r="G228" s="138"/>
    </row>
    <row r="229" spans="7:7" x14ac:dyDescent="0.25">
      <c r="G229" s="138"/>
    </row>
    <row r="230" spans="7:7" x14ac:dyDescent="0.25">
      <c r="G230" s="138"/>
    </row>
    <row r="231" spans="7:7" x14ac:dyDescent="0.25">
      <c r="G231" s="138"/>
    </row>
    <row r="232" spans="7:7" x14ac:dyDescent="0.25">
      <c r="G232" s="138"/>
    </row>
    <row r="233" spans="7:7" x14ac:dyDescent="0.25">
      <c r="G233" s="138"/>
    </row>
    <row r="234" spans="7:7" x14ac:dyDescent="0.25">
      <c r="G234" s="138"/>
    </row>
    <row r="235" spans="7:7" x14ac:dyDescent="0.25">
      <c r="G235" s="138"/>
    </row>
    <row r="236" spans="7:7" x14ac:dyDescent="0.25">
      <c r="G236" s="138"/>
    </row>
    <row r="237" spans="7:7" x14ac:dyDescent="0.25">
      <c r="G237" s="138"/>
    </row>
    <row r="238" spans="7:7" x14ac:dyDescent="0.25">
      <c r="G238" s="138"/>
    </row>
    <row r="239" spans="7:7" x14ac:dyDescent="0.25">
      <c r="G239" s="138"/>
    </row>
    <row r="240" spans="7:7" x14ac:dyDescent="0.25">
      <c r="G240" s="138"/>
    </row>
    <row r="241" spans="7:7" x14ac:dyDescent="0.25">
      <c r="G241" s="138"/>
    </row>
    <row r="242" spans="7:7" x14ac:dyDescent="0.25">
      <c r="G242" s="138"/>
    </row>
    <row r="243" spans="7:7" x14ac:dyDescent="0.25">
      <c r="G243" s="138"/>
    </row>
    <row r="244" spans="7:7" x14ac:dyDescent="0.25">
      <c r="G244" s="138"/>
    </row>
    <row r="245" spans="7:7" x14ac:dyDescent="0.25">
      <c r="G245" s="138"/>
    </row>
    <row r="246" spans="7:7" x14ac:dyDescent="0.25">
      <c r="G246" s="138"/>
    </row>
    <row r="247" spans="7:7" x14ac:dyDescent="0.25">
      <c r="G247" s="138"/>
    </row>
    <row r="248" spans="7:7" x14ac:dyDescent="0.25">
      <c r="G248" s="138"/>
    </row>
    <row r="249" spans="7:7" x14ac:dyDescent="0.25">
      <c r="G249" s="138"/>
    </row>
    <row r="250" spans="7:7" x14ac:dyDescent="0.25">
      <c r="G250" s="138"/>
    </row>
    <row r="251" spans="7:7" x14ac:dyDescent="0.25">
      <c r="G251" s="138"/>
    </row>
    <row r="252" spans="7:7" x14ac:dyDescent="0.25">
      <c r="G252" s="138"/>
    </row>
    <row r="253" spans="7:7" x14ac:dyDescent="0.25">
      <c r="G253" s="138"/>
    </row>
    <row r="254" spans="7:7" x14ac:dyDescent="0.25">
      <c r="G254" s="138"/>
    </row>
    <row r="255" spans="7:7" x14ac:dyDescent="0.25">
      <c r="G255" s="138"/>
    </row>
    <row r="256" spans="7:7" x14ac:dyDescent="0.25">
      <c r="G256" s="138"/>
    </row>
    <row r="257" spans="7:7" x14ac:dyDescent="0.25">
      <c r="G257" s="138"/>
    </row>
    <row r="258" spans="7:7" x14ac:dyDescent="0.25">
      <c r="G258" s="138"/>
    </row>
    <row r="259" spans="7:7" x14ac:dyDescent="0.25">
      <c r="G259" s="138"/>
    </row>
    <row r="260" spans="7:7" x14ac:dyDescent="0.25">
      <c r="G260" s="138"/>
    </row>
    <row r="261" spans="7:7" x14ac:dyDescent="0.25">
      <c r="G261" s="138"/>
    </row>
    <row r="262" spans="7:7" x14ac:dyDescent="0.25">
      <c r="G262" s="138"/>
    </row>
    <row r="263" spans="7:7" x14ac:dyDescent="0.25">
      <c r="G263" s="138"/>
    </row>
    <row r="264" spans="7:7" x14ac:dyDescent="0.25">
      <c r="G264" s="138"/>
    </row>
    <row r="265" spans="7:7" x14ac:dyDescent="0.25">
      <c r="G265" s="138"/>
    </row>
    <row r="266" spans="7:7" x14ac:dyDescent="0.25">
      <c r="G266" s="138"/>
    </row>
    <row r="267" spans="7:7" x14ac:dyDescent="0.25">
      <c r="G267" s="138"/>
    </row>
    <row r="268" spans="7:7" x14ac:dyDescent="0.25">
      <c r="G268" s="138"/>
    </row>
    <row r="269" spans="7:7" x14ac:dyDescent="0.25">
      <c r="G269" s="138"/>
    </row>
    <row r="270" spans="7:7" x14ac:dyDescent="0.25">
      <c r="G270" s="138"/>
    </row>
    <row r="271" spans="7:7" x14ac:dyDescent="0.25">
      <c r="G271" s="138"/>
    </row>
    <row r="272" spans="7:7" x14ac:dyDescent="0.25">
      <c r="G272" s="138"/>
    </row>
    <row r="273" spans="7:7" x14ac:dyDescent="0.25">
      <c r="G273" s="138"/>
    </row>
    <row r="274" spans="7:7" x14ac:dyDescent="0.25">
      <c r="G274" s="138"/>
    </row>
    <row r="275" spans="7:7" x14ac:dyDescent="0.25">
      <c r="G275" s="138"/>
    </row>
    <row r="276" spans="7:7" x14ac:dyDescent="0.25">
      <c r="G276" s="138"/>
    </row>
    <row r="277" spans="7:7" x14ac:dyDescent="0.25">
      <c r="G277" s="138"/>
    </row>
    <row r="278" spans="7:7" x14ac:dyDescent="0.25">
      <c r="G278" s="138"/>
    </row>
    <row r="279" spans="7:7" x14ac:dyDescent="0.25">
      <c r="G279" s="138"/>
    </row>
    <row r="280" spans="7:7" x14ac:dyDescent="0.25">
      <c r="G280" s="138"/>
    </row>
    <row r="281" spans="7:7" x14ac:dyDescent="0.25">
      <c r="G281" s="138"/>
    </row>
    <row r="282" spans="7:7" x14ac:dyDescent="0.25">
      <c r="G282" s="138"/>
    </row>
    <row r="283" spans="7:7" x14ac:dyDescent="0.25">
      <c r="G283" s="138"/>
    </row>
    <row r="284" spans="7:7" x14ac:dyDescent="0.25">
      <c r="G284" s="138"/>
    </row>
    <row r="285" spans="7:7" x14ac:dyDescent="0.25">
      <c r="G285" s="138"/>
    </row>
    <row r="286" spans="7:7" x14ac:dyDescent="0.25">
      <c r="G286" s="138"/>
    </row>
    <row r="287" spans="7:7" x14ac:dyDescent="0.25">
      <c r="G287" s="138"/>
    </row>
    <row r="288" spans="7:7" x14ac:dyDescent="0.25">
      <c r="G288" s="138"/>
    </row>
    <row r="289" spans="7:7" x14ac:dyDescent="0.25">
      <c r="G289" s="138"/>
    </row>
    <row r="290" spans="7:7" x14ac:dyDescent="0.25">
      <c r="G290" s="138"/>
    </row>
    <row r="291" spans="7:7" x14ac:dyDescent="0.25">
      <c r="G291" s="138"/>
    </row>
    <row r="292" spans="7:7" x14ac:dyDescent="0.25">
      <c r="G292" s="138"/>
    </row>
    <row r="293" spans="7:7" x14ac:dyDescent="0.25">
      <c r="G293" s="138"/>
    </row>
    <row r="294" spans="7:7" x14ac:dyDescent="0.25">
      <c r="G294" s="138"/>
    </row>
    <row r="295" spans="7:7" x14ac:dyDescent="0.25">
      <c r="G295" s="138"/>
    </row>
    <row r="296" spans="7:7" x14ac:dyDescent="0.25">
      <c r="G296" s="138"/>
    </row>
    <row r="297" spans="7:7" x14ac:dyDescent="0.25">
      <c r="G297" s="138"/>
    </row>
    <row r="298" spans="7:7" x14ac:dyDescent="0.25">
      <c r="G298" s="138"/>
    </row>
    <row r="299" spans="7:7" x14ac:dyDescent="0.25">
      <c r="G299" s="138"/>
    </row>
    <row r="300" spans="7:7" x14ac:dyDescent="0.25">
      <c r="G300" s="138"/>
    </row>
    <row r="301" spans="7:7" x14ac:dyDescent="0.25">
      <c r="G301" s="138"/>
    </row>
    <row r="302" spans="7:7" x14ac:dyDescent="0.25">
      <c r="G302" s="138"/>
    </row>
    <row r="303" spans="7:7" x14ac:dyDescent="0.25">
      <c r="G303" s="138"/>
    </row>
    <row r="304" spans="7:7" x14ac:dyDescent="0.25">
      <c r="G304" s="138"/>
    </row>
    <row r="305" spans="7:7" x14ac:dyDescent="0.25">
      <c r="G305" s="138"/>
    </row>
    <row r="306" spans="7:7" x14ac:dyDescent="0.25">
      <c r="G306" s="138"/>
    </row>
    <row r="307" spans="7:7" x14ac:dyDescent="0.25">
      <c r="G307" s="138"/>
    </row>
    <row r="308" spans="7:7" x14ac:dyDescent="0.25">
      <c r="G308" s="138"/>
    </row>
    <row r="309" spans="7:7" x14ac:dyDescent="0.25">
      <c r="G309" s="138"/>
    </row>
    <row r="310" spans="7:7" x14ac:dyDescent="0.25">
      <c r="G310" s="138"/>
    </row>
    <row r="311" spans="7:7" x14ac:dyDescent="0.25">
      <c r="G311" s="138"/>
    </row>
    <row r="312" spans="7:7" x14ac:dyDescent="0.25">
      <c r="G312" s="138"/>
    </row>
    <row r="313" spans="7:7" x14ac:dyDescent="0.25">
      <c r="G313" s="138"/>
    </row>
    <row r="314" spans="7:7" x14ac:dyDescent="0.25">
      <c r="G314" s="138"/>
    </row>
    <row r="315" spans="7:7" x14ac:dyDescent="0.25">
      <c r="G315" s="138"/>
    </row>
    <row r="316" spans="7:7" x14ac:dyDescent="0.25">
      <c r="G316" s="138"/>
    </row>
    <row r="317" spans="7:7" x14ac:dyDescent="0.25">
      <c r="G317" s="138"/>
    </row>
    <row r="318" spans="7:7" x14ac:dyDescent="0.25">
      <c r="G318" s="138"/>
    </row>
    <row r="319" spans="7:7" x14ac:dyDescent="0.25">
      <c r="G319" s="138"/>
    </row>
    <row r="320" spans="7:7" x14ac:dyDescent="0.25">
      <c r="G320" s="138"/>
    </row>
    <row r="321" spans="7:7" x14ac:dyDescent="0.25">
      <c r="G321" s="138"/>
    </row>
    <row r="322" spans="7:7" x14ac:dyDescent="0.25">
      <c r="G322" s="138"/>
    </row>
    <row r="323" spans="7:7" x14ac:dyDescent="0.25">
      <c r="G323" s="138"/>
    </row>
    <row r="324" spans="7:7" x14ac:dyDescent="0.25">
      <c r="G324" s="138"/>
    </row>
    <row r="325" spans="7:7" x14ac:dyDescent="0.25">
      <c r="G325" s="138"/>
    </row>
    <row r="326" spans="7:7" x14ac:dyDescent="0.25">
      <c r="G326" s="138"/>
    </row>
    <row r="327" spans="7:7" x14ac:dyDescent="0.25">
      <c r="G327" s="138"/>
    </row>
    <row r="328" spans="7:7" x14ac:dyDescent="0.25">
      <c r="G328" s="138"/>
    </row>
    <row r="329" spans="7:7" x14ac:dyDescent="0.25">
      <c r="G329" s="138"/>
    </row>
    <row r="330" spans="7:7" x14ac:dyDescent="0.25">
      <c r="G330" s="138"/>
    </row>
    <row r="331" spans="7:7" x14ac:dyDescent="0.25">
      <c r="G331" s="138"/>
    </row>
    <row r="332" spans="7:7" x14ac:dyDescent="0.25">
      <c r="G332" s="138"/>
    </row>
    <row r="333" spans="7:7" x14ac:dyDescent="0.25">
      <c r="G333" s="138"/>
    </row>
    <row r="334" spans="7:7" x14ac:dyDescent="0.25">
      <c r="G334" s="138"/>
    </row>
    <row r="335" spans="7:7" x14ac:dyDescent="0.25">
      <c r="G335" s="138"/>
    </row>
    <row r="336" spans="7:7" x14ac:dyDescent="0.25">
      <c r="G336" s="138"/>
    </row>
    <row r="337" spans="7:7" x14ac:dyDescent="0.25">
      <c r="G337" s="138"/>
    </row>
    <row r="338" spans="7:7" x14ac:dyDescent="0.25">
      <c r="G338" s="138"/>
    </row>
    <row r="339" spans="7:7" x14ac:dyDescent="0.25">
      <c r="G339" s="138"/>
    </row>
    <row r="340" spans="7:7" x14ac:dyDescent="0.25">
      <c r="G340" s="138"/>
    </row>
    <row r="341" spans="7:7" x14ac:dyDescent="0.25">
      <c r="G341" s="138"/>
    </row>
    <row r="342" spans="7:7" x14ac:dyDescent="0.25">
      <c r="G342" s="138"/>
    </row>
    <row r="343" spans="7:7" x14ac:dyDescent="0.25">
      <c r="G343" s="138"/>
    </row>
    <row r="344" spans="7:7" x14ac:dyDescent="0.25">
      <c r="G344" s="138"/>
    </row>
    <row r="345" spans="7:7" x14ac:dyDescent="0.25">
      <c r="G345" s="138"/>
    </row>
    <row r="346" spans="7:7" x14ac:dyDescent="0.25">
      <c r="G346" s="138"/>
    </row>
    <row r="347" spans="7:7" x14ac:dyDescent="0.25">
      <c r="G347" s="138"/>
    </row>
    <row r="348" spans="7:7" x14ac:dyDescent="0.25">
      <c r="G348" s="138"/>
    </row>
    <row r="349" spans="7:7" x14ac:dyDescent="0.25">
      <c r="G349" s="138"/>
    </row>
    <row r="350" spans="7:7" x14ac:dyDescent="0.25">
      <c r="G350" s="138"/>
    </row>
    <row r="351" spans="7:7" x14ac:dyDescent="0.25">
      <c r="G351" s="138"/>
    </row>
    <row r="352" spans="7:7" x14ac:dyDescent="0.25">
      <c r="G352" s="138"/>
    </row>
    <row r="353" spans="7:7" x14ac:dyDescent="0.25">
      <c r="G353" s="138"/>
    </row>
    <row r="354" spans="7:7" x14ac:dyDescent="0.25">
      <c r="G354" s="138"/>
    </row>
    <row r="355" spans="7:7" x14ac:dyDescent="0.25">
      <c r="G355" s="138"/>
    </row>
    <row r="356" spans="7:7" x14ac:dyDescent="0.25">
      <c r="G356" s="138"/>
    </row>
    <row r="357" spans="7:7" x14ac:dyDescent="0.25">
      <c r="G357" s="138"/>
    </row>
    <row r="358" spans="7:7" x14ac:dyDescent="0.25">
      <c r="G358" s="138"/>
    </row>
    <row r="359" spans="7:7" x14ac:dyDescent="0.25">
      <c r="G359" s="138"/>
    </row>
    <row r="360" spans="7:7" x14ac:dyDescent="0.25">
      <c r="G360" s="138"/>
    </row>
    <row r="361" spans="7:7" x14ac:dyDescent="0.25">
      <c r="G361" s="138"/>
    </row>
    <row r="362" spans="7:7" x14ac:dyDescent="0.25">
      <c r="G362" s="138"/>
    </row>
    <row r="363" spans="7:7" x14ac:dyDescent="0.25">
      <c r="G363" s="138"/>
    </row>
    <row r="364" spans="7:7" x14ac:dyDescent="0.25">
      <c r="G364" s="138"/>
    </row>
    <row r="365" spans="7:7" x14ac:dyDescent="0.25">
      <c r="G365" s="138"/>
    </row>
    <row r="366" spans="7:7" x14ac:dyDescent="0.25">
      <c r="G366" s="138"/>
    </row>
    <row r="367" spans="7:7" x14ac:dyDescent="0.25">
      <c r="G367" s="138"/>
    </row>
    <row r="368" spans="7:7" x14ac:dyDescent="0.25">
      <c r="G368" s="138"/>
    </row>
    <row r="369" spans="7:7" x14ac:dyDescent="0.25">
      <c r="G369" s="138"/>
    </row>
    <row r="370" spans="7:7" x14ac:dyDescent="0.25">
      <c r="G370" s="138"/>
    </row>
    <row r="371" spans="7:7" x14ac:dyDescent="0.25">
      <c r="G371" s="138"/>
    </row>
    <row r="372" spans="7:7" x14ac:dyDescent="0.25">
      <c r="G372" s="138"/>
    </row>
    <row r="373" spans="7:7" x14ac:dyDescent="0.25">
      <c r="G373" s="138"/>
    </row>
    <row r="374" spans="7:7" x14ac:dyDescent="0.25">
      <c r="G374" s="138"/>
    </row>
    <row r="375" spans="7:7" x14ac:dyDescent="0.25">
      <c r="G375" s="138"/>
    </row>
    <row r="376" spans="7:7" x14ac:dyDescent="0.25">
      <c r="G376" s="138"/>
    </row>
    <row r="377" spans="7:7" x14ac:dyDescent="0.25">
      <c r="G377" s="138"/>
    </row>
    <row r="378" spans="7:7" x14ac:dyDescent="0.25">
      <c r="G378" s="138"/>
    </row>
    <row r="379" spans="7:7" x14ac:dyDescent="0.25">
      <c r="G379" s="138"/>
    </row>
    <row r="380" spans="7:7" x14ac:dyDescent="0.25">
      <c r="G380" s="138"/>
    </row>
    <row r="381" spans="7:7" x14ac:dyDescent="0.25">
      <c r="G381" s="138"/>
    </row>
    <row r="382" spans="7:7" x14ac:dyDescent="0.25">
      <c r="G382" s="138"/>
    </row>
    <row r="383" spans="7:7" x14ac:dyDescent="0.25">
      <c r="G383" s="138"/>
    </row>
    <row r="384" spans="7:7" x14ac:dyDescent="0.25">
      <c r="G384" s="138"/>
    </row>
    <row r="385" spans="7:7" x14ac:dyDescent="0.25">
      <c r="G385" s="138"/>
    </row>
    <row r="386" spans="7:7" x14ac:dyDescent="0.25">
      <c r="G386" s="138"/>
    </row>
    <row r="387" spans="7:7" x14ac:dyDescent="0.25">
      <c r="G387" s="138"/>
    </row>
    <row r="388" spans="7:7" x14ac:dyDescent="0.25">
      <c r="G388" s="138"/>
    </row>
    <row r="389" spans="7:7" x14ac:dyDescent="0.25">
      <c r="G389" s="138"/>
    </row>
    <row r="390" spans="7:7" x14ac:dyDescent="0.25">
      <c r="G390" s="138"/>
    </row>
    <row r="391" spans="7:7" x14ac:dyDescent="0.25">
      <c r="G391" s="138"/>
    </row>
    <row r="392" spans="7:7" x14ac:dyDescent="0.25">
      <c r="G392" s="138"/>
    </row>
    <row r="393" spans="7:7" x14ac:dyDescent="0.25">
      <c r="G393" s="138"/>
    </row>
    <row r="394" spans="7:7" x14ac:dyDescent="0.25">
      <c r="G394" s="138"/>
    </row>
    <row r="395" spans="7:7" x14ac:dyDescent="0.25">
      <c r="G395" s="138"/>
    </row>
    <row r="396" spans="7:7" x14ac:dyDescent="0.25">
      <c r="G396" s="138"/>
    </row>
    <row r="397" spans="7:7" x14ac:dyDescent="0.25">
      <c r="G397" s="138"/>
    </row>
    <row r="398" spans="7:7" x14ac:dyDescent="0.25">
      <c r="G398" s="138"/>
    </row>
    <row r="399" spans="7:7" x14ac:dyDescent="0.25">
      <c r="G399" s="138"/>
    </row>
    <row r="400" spans="7:7" x14ac:dyDescent="0.25">
      <c r="G400" s="138"/>
    </row>
    <row r="401" spans="7:7" x14ac:dyDescent="0.25">
      <c r="G401" s="138"/>
    </row>
    <row r="402" spans="7:7" x14ac:dyDescent="0.25">
      <c r="G402" s="138"/>
    </row>
    <row r="403" spans="7:7" x14ac:dyDescent="0.25">
      <c r="G403" s="138"/>
    </row>
    <row r="404" spans="7:7" x14ac:dyDescent="0.25">
      <c r="G404" s="138"/>
    </row>
    <row r="405" spans="7:7" x14ac:dyDescent="0.25">
      <c r="G405" s="138"/>
    </row>
    <row r="406" spans="7:7" x14ac:dyDescent="0.25">
      <c r="G406" s="138"/>
    </row>
    <row r="407" spans="7:7" x14ac:dyDescent="0.25">
      <c r="G407" s="138"/>
    </row>
    <row r="408" spans="7:7" x14ac:dyDescent="0.25">
      <c r="G408" s="138"/>
    </row>
    <row r="409" spans="7:7" x14ac:dyDescent="0.25">
      <c r="G409" s="138"/>
    </row>
    <row r="410" spans="7:7" x14ac:dyDescent="0.25">
      <c r="G410" s="138"/>
    </row>
    <row r="411" spans="7:7" x14ac:dyDescent="0.25">
      <c r="G411" s="138"/>
    </row>
    <row r="412" spans="7:7" x14ac:dyDescent="0.25">
      <c r="G412" s="138"/>
    </row>
    <row r="413" spans="7:7" x14ac:dyDescent="0.25">
      <c r="G413" s="138"/>
    </row>
    <row r="414" spans="7:7" x14ac:dyDescent="0.25">
      <c r="G414" s="138"/>
    </row>
    <row r="415" spans="7:7" x14ac:dyDescent="0.25">
      <c r="G415" s="138"/>
    </row>
    <row r="416" spans="7:7" x14ac:dyDescent="0.25">
      <c r="G416" s="138"/>
    </row>
    <row r="417" spans="7:7" x14ac:dyDescent="0.25">
      <c r="G417" s="138"/>
    </row>
    <row r="418" spans="7:7" x14ac:dyDescent="0.25">
      <c r="G418" s="138"/>
    </row>
    <row r="419" spans="7:7" x14ac:dyDescent="0.25">
      <c r="G419" s="138"/>
    </row>
    <row r="420" spans="7:7" x14ac:dyDescent="0.25">
      <c r="G420" s="138"/>
    </row>
    <row r="421" spans="7:7" x14ac:dyDescent="0.25">
      <c r="G421" s="138"/>
    </row>
    <row r="422" spans="7:7" x14ac:dyDescent="0.25">
      <c r="G422" s="138"/>
    </row>
    <row r="423" spans="7:7" x14ac:dyDescent="0.25">
      <c r="G423" s="138"/>
    </row>
    <row r="424" spans="7:7" x14ac:dyDescent="0.25">
      <c r="G424" s="138"/>
    </row>
    <row r="425" spans="7:7" x14ac:dyDescent="0.25">
      <c r="G425" s="138"/>
    </row>
    <row r="426" spans="7:7" x14ac:dyDescent="0.25">
      <c r="G426" s="138"/>
    </row>
    <row r="427" spans="7:7" x14ac:dyDescent="0.25">
      <c r="G427" s="138"/>
    </row>
    <row r="428" spans="7:7" x14ac:dyDescent="0.25">
      <c r="G428" s="138"/>
    </row>
    <row r="429" spans="7:7" x14ac:dyDescent="0.25">
      <c r="G429" s="138"/>
    </row>
    <row r="430" spans="7:7" x14ac:dyDescent="0.25">
      <c r="G430" s="138"/>
    </row>
    <row r="431" spans="7:7" x14ac:dyDescent="0.25">
      <c r="G431" s="138"/>
    </row>
    <row r="432" spans="7:7" x14ac:dyDescent="0.25">
      <c r="G432" s="138"/>
    </row>
    <row r="433" spans="7:7" x14ac:dyDescent="0.25">
      <c r="G433" s="138"/>
    </row>
    <row r="434" spans="7:7" x14ac:dyDescent="0.25">
      <c r="G434" s="138"/>
    </row>
    <row r="435" spans="7:7" x14ac:dyDescent="0.25">
      <c r="G435" s="138"/>
    </row>
    <row r="436" spans="7:7" x14ac:dyDescent="0.25">
      <c r="G436" s="138"/>
    </row>
    <row r="437" spans="7:7" x14ac:dyDescent="0.25">
      <c r="G437" s="138"/>
    </row>
    <row r="438" spans="7:7" x14ac:dyDescent="0.25">
      <c r="G438" s="138"/>
    </row>
    <row r="439" spans="7:7" x14ac:dyDescent="0.25">
      <c r="G439" s="138"/>
    </row>
    <row r="440" spans="7:7" x14ac:dyDescent="0.25">
      <c r="G440" s="138"/>
    </row>
    <row r="441" spans="7:7" x14ac:dyDescent="0.25">
      <c r="G441" s="138"/>
    </row>
    <row r="442" spans="7:7" x14ac:dyDescent="0.25">
      <c r="G442" s="138"/>
    </row>
    <row r="443" spans="7:7" x14ac:dyDescent="0.25">
      <c r="G443" s="138"/>
    </row>
    <row r="444" spans="7:7" x14ac:dyDescent="0.25">
      <c r="G444" s="138"/>
    </row>
    <row r="445" spans="7:7" x14ac:dyDescent="0.25">
      <c r="G445" s="138"/>
    </row>
    <row r="446" spans="7:7" x14ac:dyDescent="0.25">
      <c r="G446" s="138"/>
    </row>
    <row r="447" spans="7:7" x14ac:dyDescent="0.25">
      <c r="G447" s="138"/>
    </row>
    <row r="448" spans="7:7" x14ac:dyDescent="0.25">
      <c r="G448" s="138"/>
    </row>
    <row r="449" spans="7:7" x14ac:dyDescent="0.25">
      <c r="G449" s="138"/>
    </row>
    <row r="450" spans="7:7" x14ac:dyDescent="0.25">
      <c r="G450" s="138"/>
    </row>
    <row r="451" spans="7:7" x14ac:dyDescent="0.25">
      <c r="G451" s="138"/>
    </row>
    <row r="452" spans="7:7" x14ac:dyDescent="0.25">
      <c r="G452" s="138"/>
    </row>
    <row r="453" spans="7:7" x14ac:dyDescent="0.25">
      <c r="G453" s="138"/>
    </row>
    <row r="454" spans="7:7" x14ac:dyDescent="0.25">
      <c r="G454" s="138"/>
    </row>
    <row r="455" spans="7:7" x14ac:dyDescent="0.25">
      <c r="G455" s="138"/>
    </row>
    <row r="456" spans="7:7" x14ac:dyDescent="0.25">
      <c r="G456" s="138"/>
    </row>
    <row r="457" spans="7:7" x14ac:dyDescent="0.25">
      <c r="G457" s="138"/>
    </row>
    <row r="458" spans="7:7" x14ac:dyDescent="0.25">
      <c r="G458" s="138"/>
    </row>
    <row r="459" spans="7:7" x14ac:dyDescent="0.25">
      <c r="G459" s="138"/>
    </row>
    <row r="460" spans="7:7" x14ac:dyDescent="0.25">
      <c r="G460" s="138"/>
    </row>
    <row r="461" spans="7:7" x14ac:dyDescent="0.25">
      <c r="G461" s="138"/>
    </row>
    <row r="462" spans="7:7" x14ac:dyDescent="0.25">
      <c r="G462" s="138"/>
    </row>
    <row r="463" spans="7:7" x14ac:dyDescent="0.25">
      <c r="G463" s="138"/>
    </row>
    <row r="464" spans="7:7" x14ac:dyDescent="0.25">
      <c r="G464" s="138"/>
    </row>
    <row r="465" spans="7:7" x14ac:dyDescent="0.25">
      <c r="G465" s="138"/>
    </row>
    <row r="466" spans="7:7" x14ac:dyDescent="0.25">
      <c r="G466" s="138"/>
    </row>
    <row r="467" spans="7:7" x14ac:dyDescent="0.25">
      <c r="G467" s="138"/>
    </row>
    <row r="468" spans="7:7" x14ac:dyDescent="0.25">
      <c r="G468" s="138"/>
    </row>
    <row r="469" spans="7:7" x14ac:dyDescent="0.25">
      <c r="G469" s="138"/>
    </row>
    <row r="470" spans="7:7" x14ac:dyDescent="0.25">
      <c r="G470" s="138"/>
    </row>
    <row r="471" spans="7:7" x14ac:dyDescent="0.25">
      <c r="G471" s="138"/>
    </row>
    <row r="472" spans="7:7" x14ac:dyDescent="0.25">
      <c r="G472" s="138"/>
    </row>
    <row r="473" spans="7:7" x14ac:dyDescent="0.25">
      <c r="G473" s="138"/>
    </row>
    <row r="474" spans="7:7" x14ac:dyDescent="0.25">
      <c r="G474" s="138"/>
    </row>
    <row r="475" spans="7:7" x14ac:dyDescent="0.25">
      <c r="G475" s="138"/>
    </row>
    <row r="476" spans="7:7" x14ac:dyDescent="0.25">
      <c r="G476" s="138"/>
    </row>
    <row r="477" spans="7:7" x14ac:dyDescent="0.25">
      <c r="G477" s="138"/>
    </row>
    <row r="478" spans="7:7" x14ac:dyDescent="0.25">
      <c r="G478" s="138"/>
    </row>
    <row r="479" spans="7:7" x14ac:dyDescent="0.25">
      <c r="G479" s="138"/>
    </row>
    <row r="480" spans="7:7" x14ac:dyDescent="0.25">
      <c r="G480" s="138"/>
    </row>
    <row r="481" spans="7:7" x14ac:dyDescent="0.25">
      <c r="G481" s="138"/>
    </row>
    <row r="482" spans="7:7" x14ac:dyDescent="0.25">
      <c r="G482" s="138"/>
    </row>
    <row r="483" spans="7:7" x14ac:dyDescent="0.25">
      <c r="G483" s="138"/>
    </row>
    <row r="484" spans="7:7" x14ac:dyDescent="0.25">
      <c r="G484" s="138"/>
    </row>
    <row r="485" spans="7:7" x14ac:dyDescent="0.25">
      <c r="G485" s="138"/>
    </row>
    <row r="486" spans="7:7" x14ac:dyDescent="0.25">
      <c r="G486" s="138"/>
    </row>
    <row r="487" spans="7:7" x14ac:dyDescent="0.25">
      <c r="G487" s="138"/>
    </row>
    <row r="488" spans="7:7" x14ac:dyDescent="0.25">
      <c r="G488" s="138"/>
    </row>
    <row r="489" spans="7:7" x14ac:dyDescent="0.25">
      <c r="G489" s="138"/>
    </row>
    <row r="490" spans="7:7" x14ac:dyDescent="0.25">
      <c r="G490" s="138"/>
    </row>
    <row r="491" spans="7:7" x14ac:dyDescent="0.25">
      <c r="G491" s="138"/>
    </row>
    <row r="492" spans="7:7" x14ac:dyDescent="0.25">
      <c r="G492" s="138"/>
    </row>
    <row r="493" spans="7:7" x14ac:dyDescent="0.25">
      <c r="G493" s="138"/>
    </row>
    <row r="494" spans="7:7" x14ac:dyDescent="0.25">
      <c r="G494" s="138"/>
    </row>
    <row r="495" spans="7:7" x14ac:dyDescent="0.25">
      <c r="G495" s="138"/>
    </row>
    <row r="496" spans="7:7" x14ac:dyDescent="0.25">
      <c r="G496" s="138"/>
    </row>
    <row r="497" spans="7:7" x14ac:dyDescent="0.25">
      <c r="G497" s="138"/>
    </row>
    <row r="498" spans="7:7" x14ac:dyDescent="0.25">
      <c r="G498" s="138"/>
    </row>
    <row r="499" spans="7:7" x14ac:dyDescent="0.25">
      <c r="G499" s="138"/>
    </row>
    <row r="500" spans="7:7" x14ac:dyDescent="0.25">
      <c r="G500" s="138"/>
    </row>
    <row r="501" spans="7:7" x14ac:dyDescent="0.25">
      <c r="G501" s="138"/>
    </row>
    <row r="502" spans="7:7" x14ac:dyDescent="0.25">
      <c r="G502" s="138"/>
    </row>
    <row r="503" spans="7:7" x14ac:dyDescent="0.25">
      <c r="G503" s="138"/>
    </row>
    <row r="504" spans="7:7" x14ac:dyDescent="0.25">
      <c r="G504" s="138"/>
    </row>
    <row r="505" spans="7:7" x14ac:dyDescent="0.25">
      <c r="G505" s="138"/>
    </row>
    <row r="506" spans="7:7" x14ac:dyDescent="0.25">
      <c r="G506" s="138"/>
    </row>
    <row r="507" spans="7:7" x14ac:dyDescent="0.25">
      <c r="G507" s="138"/>
    </row>
    <row r="508" spans="7:7" x14ac:dyDescent="0.25">
      <c r="G508" s="138"/>
    </row>
    <row r="509" spans="7:7" x14ac:dyDescent="0.25">
      <c r="G509" s="138"/>
    </row>
    <row r="510" spans="7:7" x14ac:dyDescent="0.25">
      <c r="G510" s="138"/>
    </row>
    <row r="511" spans="7:7" x14ac:dyDescent="0.25">
      <c r="G511" s="138"/>
    </row>
    <row r="512" spans="7:7" x14ac:dyDescent="0.25">
      <c r="G512" s="138"/>
    </row>
    <row r="513" spans="7:7" x14ac:dyDescent="0.25">
      <c r="G513" s="138"/>
    </row>
    <row r="514" spans="7:7" x14ac:dyDescent="0.25">
      <c r="G514" s="138"/>
    </row>
    <row r="515" spans="7:7" x14ac:dyDescent="0.25">
      <c r="G515" s="138"/>
    </row>
    <row r="516" spans="7:7" x14ac:dyDescent="0.25">
      <c r="G516" s="138"/>
    </row>
    <row r="517" spans="7:7" x14ac:dyDescent="0.25">
      <c r="G517" s="138"/>
    </row>
    <row r="518" spans="7:7" x14ac:dyDescent="0.25">
      <c r="G518" s="138"/>
    </row>
    <row r="519" spans="7:7" x14ac:dyDescent="0.25">
      <c r="G519" s="138"/>
    </row>
    <row r="520" spans="7:7" x14ac:dyDescent="0.25">
      <c r="G520" s="138"/>
    </row>
    <row r="521" spans="7:7" x14ac:dyDescent="0.25">
      <c r="G521" s="138"/>
    </row>
    <row r="522" spans="7:7" x14ac:dyDescent="0.25">
      <c r="G522" s="138"/>
    </row>
    <row r="523" spans="7:7" x14ac:dyDescent="0.25">
      <c r="G523" s="138"/>
    </row>
    <row r="524" spans="7:7" x14ac:dyDescent="0.25">
      <c r="G524" s="138"/>
    </row>
    <row r="525" spans="7:7" x14ac:dyDescent="0.25">
      <c r="G525" s="138"/>
    </row>
    <row r="526" spans="7:7" x14ac:dyDescent="0.25">
      <c r="G526" s="138"/>
    </row>
    <row r="527" spans="7:7" x14ac:dyDescent="0.25">
      <c r="G527" s="138"/>
    </row>
    <row r="528" spans="7:7" x14ac:dyDescent="0.25">
      <c r="G528" s="138"/>
    </row>
    <row r="529" spans="7:7" x14ac:dyDescent="0.25">
      <c r="G529" s="138"/>
    </row>
    <row r="530" spans="7:7" x14ac:dyDescent="0.25">
      <c r="G530" s="138"/>
    </row>
    <row r="531" spans="7:7" x14ac:dyDescent="0.25">
      <c r="G531" s="138"/>
    </row>
    <row r="532" spans="7:7" x14ac:dyDescent="0.25">
      <c r="G532" s="138"/>
    </row>
    <row r="533" spans="7:7" x14ac:dyDescent="0.25">
      <c r="G533" s="138"/>
    </row>
    <row r="534" spans="7:7" x14ac:dyDescent="0.25">
      <c r="G534" s="138"/>
    </row>
    <row r="535" spans="7:7" x14ac:dyDescent="0.25">
      <c r="G535" s="138"/>
    </row>
    <row r="536" spans="7:7" x14ac:dyDescent="0.25">
      <c r="G536" s="138"/>
    </row>
    <row r="537" spans="7:7" x14ac:dyDescent="0.25">
      <c r="G537" s="138"/>
    </row>
    <row r="538" spans="7:7" x14ac:dyDescent="0.25">
      <c r="G538" s="138"/>
    </row>
    <row r="539" spans="7:7" x14ac:dyDescent="0.25">
      <c r="G539" s="138"/>
    </row>
    <row r="540" spans="7:7" x14ac:dyDescent="0.25">
      <c r="G540" s="138"/>
    </row>
    <row r="541" spans="7:7" x14ac:dyDescent="0.25">
      <c r="G541" s="138"/>
    </row>
    <row r="542" spans="7:7" x14ac:dyDescent="0.25">
      <c r="G542" s="138"/>
    </row>
    <row r="543" spans="7:7" x14ac:dyDescent="0.25">
      <c r="G543" s="138"/>
    </row>
    <row r="544" spans="7:7" x14ac:dyDescent="0.25">
      <c r="G544" s="138"/>
    </row>
    <row r="545" spans="7:7" x14ac:dyDescent="0.25">
      <c r="G545" s="138"/>
    </row>
    <row r="546" spans="7:7" x14ac:dyDescent="0.25">
      <c r="G546" s="138"/>
    </row>
    <row r="547" spans="7:7" x14ac:dyDescent="0.25">
      <c r="G547" s="138"/>
    </row>
    <row r="548" spans="7:7" x14ac:dyDescent="0.25">
      <c r="G548" s="138"/>
    </row>
    <row r="549" spans="7:7" x14ac:dyDescent="0.25">
      <c r="G549" s="138"/>
    </row>
    <row r="550" spans="7:7" x14ac:dyDescent="0.25">
      <c r="G550" s="138"/>
    </row>
    <row r="551" spans="7:7" x14ac:dyDescent="0.25">
      <c r="G551" s="138"/>
    </row>
    <row r="552" spans="7:7" x14ac:dyDescent="0.25">
      <c r="G552" s="138"/>
    </row>
    <row r="553" spans="7:7" x14ac:dyDescent="0.25">
      <c r="G553" s="138"/>
    </row>
    <row r="554" spans="7:7" x14ac:dyDescent="0.25">
      <c r="G554" s="138"/>
    </row>
    <row r="555" spans="7:7" x14ac:dyDescent="0.25">
      <c r="G555" s="138"/>
    </row>
    <row r="556" spans="7:7" x14ac:dyDescent="0.25">
      <c r="G556" s="138"/>
    </row>
    <row r="557" spans="7:7" x14ac:dyDescent="0.25">
      <c r="G557" s="138"/>
    </row>
    <row r="558" spans="7:7" x14ac:dyDescent="0.25">
      <c r="G558" s="138"/>
    </row>
    <row r="559" spans="7:7" x14ac:dyDescent="0.25">
      <c r="G559" s="138"/>
    </row>
    <row r="560" spans="7:7" x14ac:dyDescent="0.25">
      <c r="G560" s="138"/>
    </row>
    <row r="561" spans="7:7" x14ac:dyDescent="0.25">
      <c r="G561" s="138"/>
    </row>
    <row r="562" spans="7:7" x14ac:dyDescent="0.25">
      <c r="G562" s="138"/>
    </row>
    <row r="563" spans="7:7" x14ac:dyDescent="0.25">
      <c r="G563" s="138"/>
    </row>
    <row r="564" spans="7:7" x14ac:dyDescent="0.25">
      <c r="G564" s="138"/>
    </row>
    <row r="565" spans="7:7" x14ac:dyDescent="0.25">
      <c r="G565" s="138"/>
    </row>
    <row r="566" spans="7:7" x14ac:dyDescent="0.25">
      <c r="G566" s="138"/>
    </row>
    <row r="567" spans="7:7" x14ac:dyDescent="0.25">
      <c r="G567" s="138"/>
    </row>
    <row r="568" spans="7:7" x14ac:dyDescent="0.25">
      <c r="G568" s="138"/>
    </row>
    <row r="569" spans="7:7" x14ac:dyDescent="0.25">
      <c r="G569" s="138"/>
    </row>
    <row r="570" spans="7:7" x14ac:dyDescent="0.25">
      <c r="G570" s="138"/>
    </row>
    <row r="571" spans="7:7" x14ac:dyDescent="0.25">
      <c r="G571" s="138"/>
    </row>
    <row r="572" spans="7:7" x14ac:dyDescent="0.25">
      <c r="G572" s="138"/>
    </row>
    <row r="573" spans="7:7" x14ac:dyDescent="0.25">
      <c r="G573" s="138"/>
    </row>
    <row r="574" spans="7:7" x14ac:dyDescent="0.25">
      <c r="G574" s="138"/>
    </row>
    <row r="575" spans="7:7" x14ac:dyDescent="0.25">
      <c r="G575" s="138"/>
    </row>
    <row r="576" spans="7:7" x14ac:dyDescent="0.25">
      <c r="G576" s="138"/>
    </row>
    <row r="577" spans="7:7" x14ac:dyDescent="0.25">
      <c r="G577" s="138"/>
    </row>
    <row r="578" spans="7:7" x14ac:dyDescent="0.25">
      <c r="G578" s="138"/>
    </row>
    <row r="579" spans="7:7" x14ac:dyDescent="0.25">
      <c r="G579" s="138"/>
    </row>
    <row r="580" spans="7:7" x14ac:dyDescent="0.25">
      <c r="G580" s="138"/>
    </row>
    <row r="581" spans="7:7" x14ac:dyDescent="0.25">
      <c r="G581" s="138"/>
    </row>
    <row r="582" spans="7:7" x14ac:dyDescent="0.25">
      <c r="G582" s="138"/>
    </row>
    <row r="583" spans="7:7" x14ac:dyDescent="0.25">
      <c r="G583" s="138"/>
    </row>
    <row r="584" spans="7:7" x14ac:dyDescent="0.25">
      <c r="G584" s="138"/>
    </row>
    <row r="585" spans="7:7" x14ac:dyDescent="0.25">
      <c r="G585" s="138"/>
    </row>
    <row r="586" spans="7:7" x14ac:dyDescent="0.25">
      <c r="G586" s="138"/>
    </row>
    <row r="587" spans="7:7" x14ac:dyDescent="0.25">
      <c r="G587" s="138"/>
    </row>
    <row r="588" spans="7:7" x14ac:dyDescent="0.25">
      <c r="G588" s="138"/>
    </row>
    <row r="589" spans="7:7" x14ac:dyDescent="0.25">
      <c r="G589" s="138"/>
    </row>
    <row r="590" spans="7:7" x14ac:dyDescent="0.25">
      <c r="G590" s="138"/>
    </row>
    <row r="591" spans="7:7" x14ac:dyDescent="0.25">
      <c r="G591" s="138"/>
    </row>
    <row r="592" spans="7:7" x14ac:dyDescent="0.25">
      <c r="G592" s="138"/>
    </row>
    <row r="593" spans="7:7" x14ac:dyDescent="0.25">
      <c r="G593" s="138"/>
    </row>
    <row r="594" spans="7:7" x14ac:dyDescent="0.25">
      <c r="G594" s="138"/>
    </row>
    <row r="595" spans="7:7" x14ac:dyDescent="0.25">
      <c r="G595" s="138"/>
    </row>
    <row r="596" spans="7:7" x14ac:dyDescent="0.25">
      <c r="G596" s="138"/>
    </row>
    <row r="597" spans="7:7" x14ac:dyDescent="0.25">
      <c r="G597" s="138"/>
    </row>
    <row r="598" spans="7:7" x14ac:dyDescent="0.25">
      <c r="G598" s="138"/>
    </row>
    <row r="599" spans="7:7" x14ac:dyDescent="0.25">
      <c r="G599" s="138"/>
    </row>
    <row r="600" spans="7:7" x14ac:dyDescent="0.25">
      <c r="G600" s="138"/>
    </row>
    <row r="601" spans="7:7" x14ac:dyDescent="0.25">
      <c r="G601" s="138"/>
    </row>
    <row r="602" spans="7:7" x14ac:dyDescent="0.25">
      <c r="G602" s="138"/>
    </row>
    <row r="603" spans="7:7" x14ac:dyDescent="0.25">
      <c r="G603" s="138"/>
    </row>
    <row r="604" spans="7:7" x14ac:dyDescent="0.25">
      <c r="G604" s="138"/>
    </row>
    <row r="605" spans="7:7" x14ac:dyDescent="0.25">
      <c r="G605" s="138"/>
    </row>
    <row r="606" spans="7:7" x14ac:dyDescent="0.25">
      <c r="G606" s="138"/>
    </row>
    <row r="607" spans="7:7" x14ac:dyDescent="0.25">
      <c r="G607" s="138"/>
    </row>
    <row r="608" spans="7:7" x14ac:dyDescent="0.25">
      <c r="G608" s="138"/>
    </row>
    <row r="609" spans="7:7" x14ac:dyDescent="0.25">
      <c r="G609" s="138"/>
    </row>
    <row r="610" spans="7:7" x14ac:dyDescent="0.25">
      <c r="G610" s="138"/>
    </row>
    <row r="611" spans="7:7" x14ac:dyDescent="0.25">
      <c r="G611" s="138"/>
    </row>
    <row r="612" spans="7:7" x14ac:dyDescent="0.25">
      <c r="G612" s="138"/>
    </row>
    <row r="613" spans="7:7" x14ac:dyDescent="0.25">
      <c r="G613" s="138"/>
    </row>
    <row r="614" spans="7:7" x14ac:dyDescent="0.25">
      <c r="G614" s="138"/>
    </row>
    <row r="615" spans="7:7" x14ac:dyDescent="0.25">
      <c r="G615" s="138"/>
    </row>
    <row r="616" spans="7:7" x14ac:dyDescent="0.25">
      <c r="G616" s="138"/>
    </row>
    <row r="617" spans="7:7" x14ac:dyDescent="0.25">
      <c r="G617" s="138"/>
    </row>
    <row r="618" spans="7:7" x14ac:dyDescent="0.25">
      <c r="G618" s="138"/>
    </row>
    <row r="619" spans="7:7" x14ac:dyDescent="0.25">
      <c r="G619" s="138"/>
    </row>
    <row r="620" spans="7:7" x14ac:dyDescent="0.25">
      <c r="G620" s="138"/>
    </row>
    <row r="621" spans="7:7" x14ac:dyDescent="0.25">
      <c r="G621" s="138"/>
    </row>
    <row r="622" spans="7:7" x14ac:dyDescent="0.25">
      <c r="G622" s="138"/>
    </row>
    <row r="623" spans="7:7" x14ac:dyDescent="0.25">
      <c r="G623" s="138"/>
    </row>
    <row r="624" spans="7:7" x14ac:dyDescent="0.25">
      <c r="G624" s="138"/>
    </row>
    <row r="625" spans="7:7" x14ac:dyDescent="0.25">
      <c r="G625" s="138"/>
    </row>
    <row r="626" spans="7:7" x14ac:dyDescent="0.25">
      <c r="G626" s="138"/>
    </row>
    <row r="627" spans="7:7" x14ac:dyDescent="0.25">
      <c r="G627" s="138"/>
    </row>
    <row r="628" spans="7:7" x14ac:dyDescent="0.25">
      <c r="G628" s="138"/>
    </row>
    <row r="629" spans="7:7" x14ac:dyDescent="0.25">
      <c r="G629" s="138"/>
    </row>
    <row r="630" spans="7:7" x14ac:dyDescent="0.25">
      <c r="G630" s="138"/>
    </row>
    <row r="631" spans="7:7" x14ac:dyDescent="0.25">
      <c r="G631" s="138"/>
    </row>
    <row r="632" spans="7:7" x14ac:dyDescent="0.25">
      <c r="G632" s="138"/>
    </row>
    <row r="633" spans="7:7" x14ac:dyDescent="0.25">
      <c r="G633" s="138"/>
    </row>
    <row r="634" spans="7:7" x14ac:dyDescent="0.25">
      <c r="G634" s="138"/>
    </row>
    <row r="635" spans="7:7" x14ac:dyDescent="0.25">
      <c r="G635" s="138"/>
    </row>
    <row r="636" spans="7:7" x14ac:dyDescent="0.25">
      <c r="G636" s="138"/>
    </row>
    <row r="637" spans="7:7" x14ac:dyDescent="0.25">
      <c r="G637" s="138"/>
    </row>
    <row r="638" spans="7:7" x14ac:dyDescent="0.25">
      <c r="G638" s="138"/>
    </row>
    <row r="639" spans="7:7" x14ac:dyDescent="0.25">
      <c r="G639" s="138"/>
    </row>
    <row r="640" spans="7:7" x14ac:dyDescent="0.25">
      <c r="G640" s="138"/>
    </row>
    <row r="641" spans="7:7" x14ac:dyDescent="0.25">
      <c r="G641" s="138"/>
    </row>
    <row r="642" spans="7:7" x14ac:dyDescent="0.25">
      <c r="G642" s="138"/>
    </row>
    <row r="643" spans="7:7" x14ac:dyDescent="0.25">
      <c r="G643" s="138"/>
    </row>
    <row r="644" spans="7:7" x14ac:dyDescent="0.25">
      <c r="G644" s="138"/>
    </row>
    <row r="645" spans="7:7" x14ac:dyDescent="0.25">
      <c r="G645" s="138"/>
    </row>
    <row r="646" spans="7:7" x14ac:dyDescent="0.25">
      <c r="G646" s="138"/>
    </row>
    <row r="647" spans="7:7" x14ac:dyDescent="0.25">
      <c r="G647" s="138"/>
    </row>
    <row r="648" spans="7:7" x14ac:dyDescent="0.25">
      <c r="G648" s="138"/>
    </row>
    <row r="649" spans="7:7" x14ac:dyDescent="0.25">
      <c r="G649" s="138"/>
    </row>
    <row r="650" spans="7:7" x14ac:dyDescent="0.25">
      <c r="G650" s="138"/>
    </row>
    <row r="651" spans="7:7" x14ac:dyDescent="0.25">
      <c r="G651" s="138"/>
    </row>
    <row r="652" spans="7:7" x14ac:dyDescent="0.25">
      <c r="G652" s="138"/>
    </row>
    <row r="653" spans="7:7" x14ac:dyDescent="0.25">
      <c r="G653" s="138"/>
    </row>
    <row r="654" spans="7:7" x14ac:dyDescent="0.25">
      <c r="G654" s="138"/>
    </row>
    <row r="655" spans="7:7" x14ac:dyDescent="0.25">
      <c r="G655" s="138"/>
    </row>
    <row r="656" spans="7:7" x14ac:dyDescent="0.25">
      <c r="G656" s="138"/>
    </row>
    <row r="657" spans="7:7" x14ac:dyDescent="0.25">
      <c r="G657" s="138"/>
    </row>
    <row r="658" spans="7:7" x14ac:dyDescent="0.25">
      <c r="G658" s="138"/>
    </row>
    <row r="659" spans="7:7" x14ac:dyDescent="0.25">
      <c r="G659" s="138"/>
    </row>
    <row r="660" spans="7:7" x14ac:dyDescent="0.25">
      <c r="G660" s="138"/>
    </row>
    <row r="661" spans="7:7" x14ac:dyDescent="0.25">
      <c r="G661" s="138"/>
    </row>
    <row r="662" spans="7:7" x14ac:dyDescent="0.25">
      <c r="G662" s="138"/>
    </row>
    <row r="663" spans="7:7" x14ac:dyDescent="0.25">
      <c r="G663" s="138"/>
    </row>
    <row r="664" spans="7:7" x14ac:dyDescent="0.25">
      <c r="G664" s="138"/>
    </row>
    <row r="665" spans="7:7" x14ac:dyDescent="0.25">
      <c r="G665" s="138"/>
    </row>
    <row r="666" spans="7:7" x14ac:dyDescent="0.25">
      <c r="G666" s="138"/>
    </row>
    <row r="667" spans="7:7" x14ac:dyDescent="0.25">
      <c r="G667" s="138"/>
    </row>
    <row r="668" spans="7:7" x14ac:dyDescent="0.25">
      <c r="G668" s="138"/>
    </row>
    <row r="669" spans="7:7" x14ac:dyDescent="0.25">
      <c r="G669" s="138"/>
    </row>
    <row r="670" spans="7:7" x14ac:dyDescent="0.25">
      <c r="G670" s="138"/>
    </row>
    <row r="671" spans="7:7" x14ac:dyDescent="0.25">
      <c r="G671" s="138"/>
    </row>
    <row r="672" spans="7:7" x14ac:dyDescent="0.25">
      <c r="G672" s="138"/>
    </row>
    <row r="673" spans="7:7" x14ac:dyDescent="0.25">
      <c r="G673" s="138"/>
    </row>
    <row r="674" spans="7:7" x14ac:dyDescent="0.25">
      <c r="G674" s="138"/>
    </row>
    <row r="675" spans="7:7" x14ac:dyDescent="0.25">
      <c r="G675" s="138"/>
    </row>
    <row r="676" spans="7:7" x14ac:dyDescent="0.25">
      <c r="G676" s="138"/>
    </row>
    <row r="677" spans="7:7" x14ac:dyDescent="0.25">
      <c r="G677" s="138"/>
    </row>
    <row r="678" spans="7:7" x14ac:dyDescent="0.25">
      <c r="G678" s="138"/>
    </row>
    <row r="679" spans="7:7" x14ac:dyDescent="0.25">
      <c r="G679" s="138"/>
    </row>
    <row r="680" spans="7:7" x14ac:dyDescent="0.25">
      <c r="G680" s="138"/>
    </row>
    <row r="681" spans="7:7" x14ac:dyDescent="0.25">
      <c r="G681" s="138"/>
    </row>
    <row r="682" spans="7:7" x14ac:dyDescent="0.25">
      <c r="G682" s="138"/>
    </row>
    <row r="683" spans="7:7" x14ac:dyDescent="0.25">
      <c r="G683" s="138"/>
    </row>
    <row r="684" spans="7:7" x14ac:dyDescent="0.25">
      <c r="G684" s="138"/>
    </row>
    <row r="685" spans="7:7" x14ac:dyDescent="0.25">
      <c r="G685" s="138"/>
    </row>
    <row r="686" spans="7:7" x14ac:dyDescent="0.25">
      <c r="G686" s="138"/>
    </row>
    <row r="687" spans="7:7" x14ac:dyDescent="0.25">
      <c r="G687" s="138"/>
    </row>
    <row r="688" spans="7:7" x14ac:dyDescent="0.25">
      <c r="G688" s="138"/>
    </row>
    <row r="689" spans="7:7" x14ac:dyDescent="0.25">
      <c r="G689" s="138"/>
    </row>
    <row r="690" spans="7:7" x14ac:dyDescent="0.25">
      <c r="G690" s="138"/>
    </row>
    <row r="691" spans="7:7" x14ac:dyDescent="0.25">
      <c r="G691" s="138"/>
    </row>
    <row r="692" spans="7:7" x14ac:dyDescent="0.25">
      <c r="G692" s="138"/>
    </row>
    <row r="693" spans="7:7" x14ac:dyDescent="0.25">
      <c r="G693" s="138"/>
    </row>
    <row r="694" spans="7:7" x14ac:dyDescent="0.25">
      <c r="G694" s="138"/>
    </row>
    <row r="695" spans="7:7" x14ac:dyDescent="0.25">
      <c r="G695" s="138"/>
    </row>
    <row r="696" spans="7:7" x14ac:dyDescent="0.25">
      <c r="G696" s="138"/>
    </row>
    <row r="697" spans="7:7" x14ac:dyDescent="0.25">
      <c r="G697" s="138"/>
    </row>
    <row r="698" spans="7:7" x14ac:dyDescent="0.25">
      <c r="G698" s="138"/>
    </row>
    <row r="699" spans="7:7" x14ac:dyDescent="0.25">
      <c r="G699" s="138"/>
    </row>
    <row r="700" spans="7:7" x14ac:dyDescent="0.25">
      <c r="G700" s="138"/>
    </row>
    <row r="701" spans="7:7" x14ac:dyDescent="0.25">
      <c r="G701" s="138"/>
    </row>
    <row r="702" spans="7:7" x14ac:dyDescent="0.25">
      <c r="G702" s="138"/>
    </row>
    <row r="703" spans="7:7" x14ac:dyDescent="0.25">
      <c r="G703" s="138"/>
    </row>
    <row r="704" spans="7:7" x14ac:dyDescent="0.25">
      <c r="G704" s="138"/>
    </row>
    <row r="705" spans="7:7" x14ac:dyDescent="0.25">
      <c r="G705" s="138"/>
    </row>
    <row r="706" spans="7:7" x14ac:dyDescent="0.25">
      <c r="G706" s="138"/>
    </row>
    <row r="707" spans="7:7" x14ac:dyDescent="0.25">
      <c r="G707" s="138"/>
    </row>
    <row r="708" spans="7:7" x14ac:dyDescent="0.25">
      <c r="G708" s="138"/>
    </row>
    <row r="709" spans="7:7" x14ac:dyDescent="0.25">
      <c r="G709" s="138"/>
    </row>
    <row r="710" spans="7:7" x14ac:dyDescent="0.25">
      <c r="G710" s="138"/>
    </row>
    <row r="711" spans="7:7" x14ac:dyDescent="0.25">
      <c r="G711" s="138"/>
    </row>
    <row r="712" spans="7:7" x14ac:dyDescent="0.25">
      <c r="G712" s="138"/>
    </row>
    <row r="713" spans="7:7" x14ac:dyDescent="0.25">
      <c r="G713" s="138"/>
    </row>
    <row r="714" spans="7:7" x14ac:dyDescent="0.25">
      <c r="G714" s="138"/>
    </row>
    <row r="715" spans="7:7" x14ac:dyDescent="0.25">
      <c r="G715" s="138"/>
    </row>
    <row r="716" spans="7:7" x14ac:dyDescent="0.25">
      <c r="G716" s="138"/>
    </row>
    <row r="717" spans="7:7" x14ac:dyDescent="0.25">
      <c r="G717" s="138"/>
    </row>
    <row r="718" spans="7:7" x14ac:dyDescent="0.25">
      <c r="G718" s="138"/>
    </row>
    <row r="719" spans="7:7" x14ac:dyDescent="0.25">
      <c r="G719" s="138"/>
    </row>
    <row r="720" spans="7:7" x14ac:dyDescent="0.25">
      <c r="G720" s="138"/>
    </row>
    <row r="721" spans="7:7" x14ac:dyDescent="0.25">
      <c r="G721" s="138"/>
    </row>
    <row r="722" spans="7:7" x14ac:dyDescent="0.25">
      <c r="G722" s="138"/>
    </row>
    <row r="723" spans="7:7" x14ac:dyDescent="0.25">
      <c r="G723" s="138"/>
    </row>
    <row r="724" spans="7:7" x14ac:dyDescent="0.25">
      <c r="G724" s="138"/>
    </row>
    <row r="725" spans="7:7" x14ac:dyDescent="0.25">
      <c r="G725" s="138"/>
    </row>
    <row r="726" spans="7:7" x14ac:dyDescent="0.25">
      <c r="G726" s="138"/>
    </row>
    <row r="727" spans="7:7" x14ac:dyDescent="0.25">
      <c r="G727" s="138"/>
    </row>
    <row r="728" spans="7:7" x14ac:dyDescent="0.25">
      <c r="G728" s="138"/>
    </row>
    <row r="729" spans="7:7" x14ac:dyDescent="0.25">
      <c r="G729" s="138"/>
    </row>
    <row r="730" spans="7:7" x14ac:dyDescent="0.25">
      <c r="G730" s="138"/>
    </row>
    <row r="731" spans="7:7" x14ac:dyDescent="0.25">
      <c r="G731" s="138"/>
    </row>
    <row r="732" spans="7:7" x14ac:dyDescent="0.25">
      <c r="G732" s="138"/>
    </row>
    <row r="733" spans="7:7" x14ac:dyDescent="0.25">
      <c r="G733" s="138"/>
    </row>
    <row r="734" spans="7:7" x14ac:dyDescent="0.25">
      <c r="G734" s="138"/>
    </row>
    <row r="735" spans="7:7" x14ac:dyDescent="0.25">
      <c r="G735" s="138"/>
    </row>
    <row r="736" spans="7:7" x14ac:dyDescent="0.25">
      <c r="G736" s="138"/>
    </row>
    <row r="737" spans="7:7" x14ac:dyDescent="0.25">
      <c r="G737" s="138"/>
    </row>
    <row r="738" spans="7:7" x14ac:dyDescent="0.25">
      <c r="G738" s="138"/>
    </row>
    <row r="739" spans="7:7" x14ac:dyDescent="0.25">
      <c r="G739" s="138"/>
    </row>
    <row r="740" spans="7:7" x14ac:dyDescent="0.25">
      <c r="G740" s="138"/>
    </row>
    <row r="741" spans="7:7" x14ac:dyDescent="0.25">
      <c r="G741" s="138"/>
    </row>
    <row r="742" spans="7:7" x14ac:dyDescent="0.25">
      <c r="G742" s="138"/>
    </row>
    <row r="743" spans="7:7" x14ac:dyDescent="0.25">
      <c r="G743" s="138"/>
    </row>
    <row r="744" spans="7:7" x14ac:dyDescent="0.25">
      <c r="G744" s="138"/>
    </row>
    <row r="745" spans="7:7" x14ac:dyDescent="0.25">
      <c r="G745" s="138"/>
    </row>
    <row r="746" spans="7:7" x14ac:dyDescent="0.25">
      <c r="G746" s="138"/>
    </row>
    <row r="747" spans="7:7" x14ac:dyDescent="0.25">
      <c r="G747" s="138"/>
    </row>
    <row r="748" spans="7:7" x14ac:dyDescent="0.25">
      <c r="G748" s="138"/>
    </row>
    <row r="749" spans="7:7" x14ac:dyDescent="0.25">
      <c r="G749" s="138"/>
    </row>
    <row r="750" spans="7:7" x14ac:dyDescent="0.25">
      <c r="G750" s="138"/>
    </row>
    <row r="751" spans="7:7" x14ac:dyDescent="0.25">
      <c r="G751" s="138"/>
    </row>
    <row r="752" spans="7:7" x14ac:dyDescent="0.25">
      <c r="G752" s="138"/>
    </row>
    <row r="753" spans="7:7" x14ac:dyDescent="0.25">
      <c r="G753" s="138"/>
    </row>
    <row r="754" spans="7:7" x14ac:dyDescent="0.25">
      <c r="G754" s="138"/>
    </row>
    <row r="755" spans="7:7" x14ac:dyDescent="0.25">
      <c r="G755" s="138"/>
    </row>
    <row r="756" spans="7:7" x14ac:dyDescent="0.25">
      <c r="G756" s="138"/>
    </row>
    <row r="757" spans="7:7" x14ac:dyDescent="0.25">
      <c r="G757" s="138"/>
    </row>
    <row r="758" spans="7:7" x14ac:dyDescent="0.25">
      <c r="G758" s="138"/>
    </row>
    <row r="759" spans="7:7" x14ac:dyDescent="0.25">
      <c r="G759" s="138"/>
    </row>
    <row r="760" spans="7:7" x14ac:dyDescent="0.25">
      <c r="G760" s="138"/>
    </row>
    <row r="761" spans="7:7" x14ac:dyDescent="0.25">
      <c r="G761" s="138"/>
    </row>
    <row r="762" spans="7:7" x14ac:dyDescent="0.25">
      <c r="G762" s="138"/>
    </row>
    <row r="763" spans="7:7" x14ac:dyDescent="0.25">
      <c r="G763" s="138"/>
    </row>
    <row r="764" spans="7:7" x14ac:dyDescent="0.25">
      <c r="G764" s="138"/>
    </row>
    <row r="765" spans="7:7" x14ac:dyDescent="0.25">
      <c r="G765" s="138"/>
    </row>
    <row r="766" spans="7:7" x14ac:dyDescent="0.25">
      <c r="G766" s="138"/>
    </row>
    <row r="767" spans="7:7" x14ac:dyDescent="0.25">
      <c r="G767" s="138"/>
    </row>
    <row r="768" spans="7:7" x14ac:dyDescent="0.25">
      <c r="G768" s="138"/>
    </row>
    <row r="769" spans="7:7" x14ac:dyDescent="0.25">
      <c r="G769" s="138"/>
    </row>
    <row r="770" spans="7:7" x14ac:dyDescent="0.25">
      <c r="G770" s="138"/>
    </row>
    <row r="771" spans="7:7" x14ac:dyDescent="0.25">
      <c r="G771" s="138"/>
    </row>
    <row r="772" spans="7:7" x14ac:dyDescent="0.25">
      <c r="G772" s="138"/>
    </row>
  </sheetData>
  <sheetProtection algorithmName="SHA-512" hashValue="De/ypD+LLu/LdJvj9aCI6jvX5gzVNAL6pQYHHateenNxf/PsLAJTQBiQBBs+sNi5ZAEsDiF7R+XwjxouPfBahw==" saltValue="/pyB+m1TSejkDAp4x8l4X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baseColWidth="10" defaultColWidth="11.42578125" defaultRowHeight="15" x14ac:dyDescent="0.25"/>
  <sheetData>
    <row r="1" spans="1:6" ht="15.75" thickBot="1" x14ac:dyDescent="0.3">
      <c r="A1" s="151"/>
      <c r="B1" s="152"/>
      <c r="C1" s="153"/>
      <c r="D1" s="154"/>
      <c r="E1" s="155"/>
      <c r="F1" s="155"/>
    </row>
    <row r="2" spans="1:6" ht="15.75" thickBot="1" x14ac:dyDescent="0.3">
      <c r="A2" s="156"/>
      <c r="B2" s="157"/>
      <c r="C2" s="158"/>
      <c r="D2" s="158"/>
      <c r="E2" s="157"/>
      <c r="F2" s="157"/>
    </row>
    <row r="3" spans="1:6" ht="15.75" thickBot="1" x14ac:dyDescent="0.3">
      <c r="A3" s="159"/>
      <c r="B3" s="160"/>
      <c r="C3" s="160"/>
      <c r="D3" s="162"/>
      <c r="E3" s="162"/>
      <c r="F3" s="162"/>
    </row>
    <row r="4" spans="1:6" ht="15.75" thickBot="1" x14ac:dyDescent="0.3">
      <c r="A4" s="159"/>
      <c r="B4" s="160"/>
      <c r="C4" s="160"/>
      <c r="D4" s="162"/>
      <c r="E4" s="162"/>
      <c r="F4" s="162"/>
    </row>
    <row r="5" spans="1:6" ht="15.75" thickBot="1" x14ac:dyDescent="0.3">
      <c r="A5" s="159"/>
      <c r="B5" s="160"/>
      <c r="C5" s="160"/>
      <c r="D5" s="162"/>
      <c r="E5" s="162"/>
      <c r="F5" s="162"/>
    </row>
    <row r="6" spans="1:6" ht="15.75" thickBot="1" x14ac:dyDescent="0.3">
      <c r="A6" s="159"/>
      <c r="B6" s="160"/>
      <c r="C6" s="160"/>
      <c r="D6" s="162"/>
      <c r="E6" s="162"/>
      <c r="F6" s="162"/>
    </row>
    <row r="7" spans="1:6" ht="15.75" thickBot="1" x14ac:dyDescent="0.3">
      <c r="A7" s="159"/>
      <c r="B7" s="160"/>
      <c r="C7" s="160"/>
      <c r="D7" s="162"/>
      <c r="E7" s="162"/>
      <c r="F7" s="162"/>
    </row>
    <row r="8" spans="1:6" ht="15.75" thickBot="1" x14ac:dyDescent="0.3">
      <c r="A8" s="159"/>
      <c r="B8" s="163"/>
      <c r="C8" s="163"/>
      <c r="D8" s="164"/>
      <c r="E8" s="165"/>
      <c r="F8" s="166"/>
    </row>
    <row r="9" spans="1:6" x14ac:dyDescent="0.25">
      <c r="A9" s="167"/>
    </row>
    <row r="10" spans="1:6" x14ac:dyDescent="0.25">
      <c r="D10" s="161"/>
      <c r="E10" s="161"/>
      <c r="F10" s="16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Càlcul pressupost</vt:lpstr>
      <vt:lpstr>Perfils</vt:lpstr>
      <vt:lpstr>Taules IJ</vt:lpstr>
      <vt:lpstr>Costos Indirectes</vt:lpstr>
      <vt:lpstr>Taula LOT-SERV-APP</vt:lpstr>
      <vt:lpstr>Taula Estimació de dades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2023-03-22T07:16:22Z</dcterms:modified>
</cp:coreProperties>
</file>