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alon\ownCloud2\ComiteDireccioDSV\_SUPORT DSV\CONTRATOS\2023\N0176 Dispositius DSIAP\"/>
    </mc:Choice>
  </mc:AlternateContent>
  <bookViews>
    <workbookView xWindow="0" yWindow="0" windowWidth="28800" windowHeight="11835" tabRatio="589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  <sheet name="Càlcul imports quioscos" sheetId="19" r:id="rId8"/>
    <sheet name="Evol identificats" sheetId="20" r:id="rId9"/>
  </sheets>
  <externalReferences>
    <externalReference r:id="rId10"/>
    <externalReference r:id="rId11"/>
  </externalReferences>
  <definedNames>
    <definedName name="_xlnm._FilterDatabase" localSheetId="0" hidden="1">'Càlcul pressupost '!$14:$34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1" l="1"/>
  <c r="F10" i="14"/>
  <c r="F9" i="14"/>
  <c r="F8" i="14"/>
  <c r="F7" i="14"/>
  <c r="F6" i="14"/>
  <c r="P22" i="14" l="1"/>
  <c r="P16" i="14"/>
  <c r="C36" i="4" l="1"/>
  <c r="C30" i="4"/>
  <c r="C24" i="4"/>
  <c r="C37" i="4"/>
  <c r="C31" i="4"/>
  <c r="C25" i="4"/>
  <c r="C19" i="4"/>
  <c r="C35" i="4"/>
  <c r="C29" i="4"/>
  <c r="C23" i="4"/>
  <c r="C18" i="4"/>
  <c r="C34" i="4"/>
  <c r="C28" i="4"/>
  <c r="C22" i="4"/>
  <c r="C17" i="4"/>
  <c r="C33" i="4"/>
  <c r="C27" i="4"/>
  <c r="C21" i="4"/>
  <c r="C16" i="4"/>
  <c r="A7" i="11" l="1"/>
  <c r="A8" i="11"/>
  <c r="A9" i="11"/>
  <c r="A10" i="11"/>
  <c r="A6" i="11"/>
  <c r="F43" i="4" l="1"/>
  <c r="F42" i="4"/>
  <c r="F41" i="4"/>
  <c r="D12" i="4"/>
  <c r="C21" i="20" s="1"/>
  <c r="D11" i="4"/>
  <c r="E42" i="4" s="1"/>
  <c r="D10" i="4"/>
  <c r="O15" i="14" s="1"/>
  <c r="P15" i="14" s="1"/>
  <c r="D43" i="4"/>
  <c r="D42" i="4"/>
  <c r="D41" i="4"/>
  <c r="H42" i="4" l="1"/>
  <c r="E43" i="4"/>
  <c r="G43" i="4" s="1"/>
  <c r="C15" i="20"/>
  <c r="C16" i="20" s="1"/>
  <c r="O16" i="14"/>
  <c r="O22" i="14"/>
  <c r="H41" i="4"/>
  <c r="G42" i="4"/>
  <c r="E41" i="4"/>
  <c r="G41" i="4" s="1"/>
  <c r="H43" i="4"/>
  <c r="C7" i="20"/>
  <c r="C8" i="20" s="1"/>
  <c r="C22" i="20"/>
  <c r="I44" i="4"/>
  <c r="P40" i="14"/>
  <c r="G9" i="14" s="1"/>
  <c r="E9" i="11" s="1"/>
  <c r="P68" i="14"/>
  <c r="I9" i="14" s="1"/>
  <c r="K9" i="11" s="1"/>
  <c r="P54" i="14"/>
  <c r="H9" i="14" s="1"/>
  <c r="H9" i="11" s="1"/>
  <c r="B4" i="14"/>
  <c r="U17" i="14"/>
  <c r="V17" i="14"/>
  <c r="U18" i="14"/>
  <c r="V18" i="14"/>
  <c r="U19" i="14"/>
  <c r="V19" i="14"/>
  <c r="U20" i="14"/>
  <c r="V20" i="14"/>
  <c r="U21" i="14"/>
  <c r="V21" i="14"/>
  <c r="U22" i="14"/>
  <c r="V22" i="14"/>
  <c r="U23" i="14"/>
  <c r="V23" i="14"/>
  <c r="U24" i="14"/>
  <c r="V24" i="14"/>
  <c r="U25" i="14"/>
  <c r="V25" i="14"/>
  <c r="N26" i="14" l="1"/>
  <c r="G44" i="4"/>
  <c r="I9" i="11"/>
  <c r="F9" i="11"/>
  <c r="L9" i="11"/>
  <c r="H44" i="4"/>
  <c r="P26" i="14"/>
  <c r="N54" i="14"/>
  <c r="N68" i="14"/>
  <c r="N40" i="14"/>
  <c r="F33" i="4"/>
  <c r="F27" i="4"/>
  <c r="F21" i="4"/>
  <c r="F16" i="4"/>
  <c r="H32" i="4"/>
  <c r="M9" i="11" l="1"/>
  <c r="G9" i="11"/>
  <c r="J9" i="11"/>
  <c r="J9" i="14"/>
  <c r="K9" i="14" s="1"/>
  <c r="B9" i="11"/>
  <c r="F17" i="19"/>
  <c r="F16" i="19"/>
  <c r="F15" i="19"/>
  <c r="F14" i="19"/>
  <c r="F13" i="19"/>
  <c r="F12" i="19"/>
  <c r="F11" i="19"/>
  <c r="F10" i="19"/>
  <c r="F9" i="19"/>
  <c r="F8" i="19"/>
  <c r="F7" i="19"/>
  <c r="F6" i="19"/>
  <c r="I16" i="19" l="1"/>
  <c r="I12" i="19"/>
  <c r="N9" i="11"/>
  <c r="C9" i="11"/>
  <c r="I6" i="19"/>
  <c r="I8" i="19"/>
  <c r="F19" i="19"/>
  <c r="O9" i="11" l="1"/>
  <c r="D9" i="11"/>
  <c r="B7" i="19"/>
  <c r="P9" i="11" l="1"/>
  <c r="F28" i="4"/>
  <c r="F22" i="4"/>
  <c r="F17" i="4"/>
  <c r="F34" i="4"/>
  <c r="F36" i="4"/>
  <c r="F30" i="4"/>
  <c r="F24" i="4"/>
  <c r="F37" i="4"/>
  <c r="F31" i="4"/>
  <c r="F25" i="4"/>
  <c r="F19" i="4"/>
  <c r="F23" i="4"/>
  <c r="F18" i="4"/>
  <c r="F35" i="4"/>
  <c r="F29" i="4"/>
  <c r="B8" i="19"/>
  <c r="B9" i="19" l="1"/>
  <c r="T68" i="14"/>
  <c r="T54" i="14"/>
  <c r="T40" i="14"/>
  <c r="T26" i="14"/>
  <c r="B10" i="19" l="1"/>
  <c r="B5" i="14"/>
  <c r="B11" i="19" l="1"/>
  <c r="F1" i="19"/>
  <c r="E11" i="19" l="1"/>
  <c r="E10" i="19"/>
  <c r="E6" i="19"/>
  <c r="E9" i="19"/>
  <c r="E8" i="19"/>
  <c r="E7" i="19"/>
  <c r="I1" i="19"/>
  <c r="B12" i="19"/>
  <c r="E12" i="19" s="1"/>
  <c r="H8" i="19" l="1"/>
  <c r="H6" i="19"/>
  <c r="G6" i="19"/>
  <c r="G8" i="19"/>
  <c r="B13" i="19"/>
  <c r="E13" i="19" s="1"/>
  <c r="B14" i="19" l="1"/>
  <c r="D3" i="4"/>
  <c r="D4" i="4"/>
  <c r="D6" i="4"/>
  <c r="D7" i="4"/>
  <c r="D5" i="4"/>
  <c r="E37" i="4" l="1"/>
  <c r="E31" i="4"/>
  <c r="E19" i="4"/>
  <c r="E25" i="4"/>
  <c r="E28" i="4"/>
  <c r="E22" i="4"/>
  <c r="E17" i="4"/>
  <c r="E34" i="4"/>
  <c r="E33" i="4"/>
  <c r="E27" i="4"/>
  <c r="E21" i="4"/>
  <c r="E16" i="4"/>
  <c r="E23" i="4"/>
  <c r="E18" i="4"/>
  <c r="E35" i="4"/>
  <c r="E29" i="4"/>
  <c r="E36" i="4"/>
  <c r="E30" i="4"/>
  <c r="E24" i="4"/>
  <c r="E14" i="19"/>
  <c r="B15" i="19"/>
  <c r="E15" i="19"/>
  <c r="I3" i="14"/>
  <c r="I4" i="14" s="1"/>
  <c r="F2" i="14"/>
  <c r="F4" i="14" s="1"/>
  <c r="H38" i="4"/>
  <c r="G30" i="4" l="1"/>
  <c r="G27" i="4"/>
  <c r="G31" i="4"/>
  <c r="G29" i="4"/>
  <c r="G28" i="4"/>
  <c r="H12" i="19"/>
  <c r="G12" i="19"/>
  <c r="B16" i="19"/>
  <c r="E16" i="19" s="1"/>
  <c r="G36" i="4"/>
  <c r="G24" i="4"/>
  <c r="G32" i="4" l="1"/>
  <c r="B17" i="19"/>
  <c r="E17" i="19" s="1"/>
  <c r="E19" i="19" s="1"/>
  <c r="G35" i="4"/>
  <c r="L66" i="14" l="1"/>
  <c r="M66" i="14" s="1"/>
  <c r="L62" i="14"/>
  <c r="M62" i="14" s="1"/>
  <c r="L58" i="14"/>
  <c r="M58" i="14" s="1"/>
  <c r="L51" i="14"/>
  <c r="M51" i="14" s="1"/>
  <c r="L47" i="14"/>
  <c r="M47" i="14" s="1"/>
  <c r="L43" i="14"/>
  <c r="M43" i="14" s="1"/>
  <c r="L38" i="14"/>
  <c r="M38" i="14" s="1"/>
  <c r="L34" i="14"/>
  <c r="M34" i="14" s="1"/>
  <c r="L30" i="14"/>
  <c r="M30" i="14" s="1"/>
  <c r="L17" i="14"/>
  <c r="M17" i="14" s="1"/>
  <c r="L21" i="14"/>
  <c r="M21" i="14" s="1"/>
  <c r="L65" i="14"/>
  <c r="M65" i="14" s="1"/>
  <c r="L61" i="14"/>
  <c r="M61" i="14" s="1"/>
  <c r="L57" i="14"/>
  <c r="M57" i="14" s="1"/>
  <c r="L50" i="14"/>
  <c r="M50" i="14" s="1"/>
  <c r="L46" i="14"/>
  <c r="M46" i="14" s="1"/>
  <c r="L37" i="14"/>
  <c r="M37" i="14" s="1"/>
  <c r="L33" i="14"/>
  <c r="M33" i="14" s="1"/>
  <c r="L29" i="14"/>
  <c r="M29" i="14" s="1"/>
  <c r="L18" i="14"/>
  <c r="M18" i="14" s="1"/>
  <c r="L22" i="14"/>
  <c r="M22" i="14" s="1"/>
  <c r="L64" i="14"/>
  <c r="M64" i="14" s="1"/>
  <c r="L60" i="14"/>
  <c r="M60" i="14" s="1"/>
  <c r="L53" i="14"/>
  <c r="M53" i="14" s="1"/>
  <c r="L49" i="14"/>
  <c r="M49" i="14" s="1"/>
  <c r="L45" i="14"/>
  <c r="M45" i="14" s="1"/>
  <c r="L36" i="14"/>
  <c r="M36" i="14" s="1"/>
  <c r="L32" i="14"/>
  <c r="M32" i="14" s="1"/>
  <c r="L15" i="14"/>
  <c r="M15" i="14" s="1"/>
  <c r="L19" i="14"/>
  <c r="M19" i="14" s="1"/>
  <c r="L23" i="14"/>
  <c r="M23" i="14" s="1"/>
  <c r="L67" i="14"/>
  <c r="M67" i="14" s="1"/>
  <c r="L63" i="14"/>
  <c r="M63" i="14" s="1"/>
  <c r="L59" i="14"/>
  <c r="M59" i="14" s="1"/>
  <c r="L52" i="14"/>
  <c r="M52" i="14" s="1"/>
  <c r="L48" i="14"/>
  <c r="M48" i="14" s="1"/>
  <c r="L44" i="14"/>
  <c r="M44" i="14" s="1"/>
  <c r="L39" i="14"/>
  <c r="M39" i="14" s="1"/>
  <c r="L35" i="14"/>
  <c r="M35" i="14" s="1"/>
  <c r="L31" i="14"/>
  <c r="M31" i="14" s="1"/>
  <c r="L16" i="14"/>
  <c r="M16" i="14" s="1"/>
  <c r="L20" i="14"/>
  <c r="M20" i="14" s="1"/>
  <c r="L24" i="14"/>
  <c r="M24" i="14" s="1"/>
  <c r="L25" i="14"/>
  <c r="M25" i="14" s="1"/>
  <c r="H16" i="19"/>
  <c r="G16" i="19"/>
  <c r="G19" i="19" s="1"/>
  <c r="G19" i="4"/>
  <c r="G18" i="4"/>
  <c r="K54" i="14" l="1"/>
  <c r="K68" i="14"/>
  <c r="K40" i="14"/>
  <c r="M40" i="14"/>
  <c r="G8" i="14" s="1"/>
  <c r="E8" i="11" s="1"/>
  <c r="E30" i="11" s="1"/>
  <c r="M68" i="14"/>
  <c r="I8" i="14" s="1"/>
  <c r="K8" i="11" s="1"/>
  <c r="E34" i="11" s="1"/>
  <c r="M54" i="14"/>
  <c r="H8" i="14" s="1"/>
  <c r="H8" i="11" s="1"/>
  <c r="E32" i="11" s="1"/>
  <c r="G25" i="4"/>
  <c r="H26" i="4"/>
  <c r="G23" i="4"/>
  <c r="G22" i="4"/>
  <c r="G21" i="4"/>
  <c r="H20" i="4"/>
  <c r="I8" i="11" l="1"/>
  <c r="L8" i="11"/>
  <c r="F8" i="11"/>
  <c r="G26" i="4"/>
  <c r="G8" i="11" l="1"/>
  <c r="D30" i="11" s="1"/>
  <c r="J30" i="11" s="1"/>
  <c r="F30" i="11"/>
  <c r="M8" i="11"/>
  <c r="D34" i="11" s="1"/>
  <c r="J34" i="11" s="1"/>
  <c r="F34" i="11"/>
  <c r="J8" i="11"/>
  <c r="D32" i="11" s="1"/>
  <c r="J32" i="11" s="1"/>
  <c r="F32" i="11"/>
  <c r="I64" i="14"/>
  <c r="J64" i="14" s="1"/>
  <c r="I60" i="14"/>
  <c r="J60" i="14" s="1"/>
  <c r="I53" i="14"/>
  <c r="J53" i="14" s="1"/>
  <c r="I49" i="14"/>
  <c r="J49" i="14" s="1"/>
  <c r="I45" i="14"/>
  <c r="J45" i="14" s="1"/>
  <c r="I33" i="14"/>
  <c r="J33" i="14" s="1"/>
  <c r="I37" i="14"/>
  <c r="J37" i="14" s="1"/>
  <c r="I17" i="14"/>
  <c r="J17" i="14" s="1"/>
  <c r="I21" i="14"/>
  <c r="J21" i="14" s="1"/>
  <c r="I25" i="14"/>
  <c r="J25" i="14" s="1"/>
  <c r="I67" i="14"/>
  <c r="J67" i="14" s="1"/>
  <c r="I63" i="14"/>
  <c r="J63" i="14" s="1"/>
  <c r="I59" i="14"/>
  <c r="J59" i="14" s="1"/>
  <c r="I52" i="14"/>
  <c r="J52" i="14" s="1"/>
  <c r="I48" i="14"/>
  <c r="J48" i="14" s="1"/>
  <c r="I44" i="14"/>
  <c r="J44" i="14" s="1"/>
  <c r="I34" i="14"/>
  <c r="J34" i="14" s="1"/>
  <c r="I38" i="14"/>
  <c r="J38" i="14" s="1"/>
  <c r="I18" i="14"/>
  <c r="J18" i="14" s="1"/>
  <c r="I22" i="14"/>
  <c r="J22" i="14" s="1"/>
  <c r="I66" i="14"/>
  <c r="J66" i="14" s="1"/>
  <c r="I62" i="14"/>
  <c r="J62" i="14" s="1"/>
  <c r="I58" i="14"/>
  <c r="J58" i="14" s="1"/>
  <c r="I51" i="14"/>
  <c r="J51" i="14" s="1"/>
  <c r="I47" i="14"/>
  <c r="J47" i="14" s="1"/>
  <c r="I43" i="14"/>
  <c r="J43" i="14" s="1"/>
  <c r="I31" i="14"/>
  <c r="J31" i="14" s="1"/>
  <c r="I35" i="14"/>
  <c r="J35" i="14" s="1"/>
  <c r="I39" i="14"/>
  <c r="J39" i="14" s="1"/>
  <c r="I19" i="14"/>
  <c r="J19" i="14" s="1"/>
  <c r="I23" i="14"/>
  <c r="J23" i="14" s="1"/>
  <c r="I65" i="14"/>
  <c r="J65" i="14" s="1"/>
  <c r="I61" i="14"/>
  <c r="J61" i="14" s="1"/>
  <c r="I57" i="14"/>
  <c r="J57" i="14" s="1"/>
  <c r="I50" i="14"/>
  <c r="J50" i="14" s="1"/>
  <c r="I46" i="14"/>
  <c r="J46" i="14" s="1"/>
  <c r="I32" i="14"/>
  <c r="J32" i="14" s="1"/>
  <c r="I36" i="14"/>
  <c r="J36" i="14" s="1"/>
  <c r="I16" i="14"/>
  <c r="J16" i="14" s="1"/>
  <c r="I20" i="14"/>
  <c r="J20" i="14" s="1"/>
  <c r="I24" i="14"/>
  <c r="J24" i="14" s="1"/>
  <c r="J6" i="19"/>
  <c r="K6" i="19" s="1"/>
  <c r="I29" i="14"/>
  <c r="J29" i="14" s="1"/>
  <c r="I30" i="14"/>
  <c r="J30" i="14" s="1"/>
  <c r="H68" i="14" l="1"/>
  <c r="H54" i="14"/>
  <c r="H40" i="14"/>
  <c r="J68" i="14"/>
  <c r="I7" i="14" s="1"/>
  <c r="K7" i="11" s="1"/>
  <c r="J54" i="14"/>
  <c r="H7" i="14" s="1"/>
  <c r="H7" i="11" s="1"/>
  <c r="J40" i="14"/>
  <c r="G7" i="14" s="1"/>
  <c r="E7" i="11" s="1"/>
  <c r="V16" i="14"/>
  <c r="U16" i="14"/>
  <c r="V15" i="14"/>
  <c r="U15" i="14"/>
  <c r="L7" i="11" l="1"/>
  <c r="I7" i="11"/>
  <c r="F7" i="11"/>
  <c r="G7" i="11" s="1"/>
  <c r="G16" i="4"/>
  <c r="J7" i="11" l="1"/>
  <c r="M7" i="11"/>
  <c r="C41" i="11"/>
  <c r="E41" i="11"/>
  <c r="G34" i="4" l="1"/>
  <c r="G37" i="4"/>
  <c r="G17" i="4"/>
  <c r="G20" i="4" s="1"/>
  <c r="F66" i="14" l="1"/>
  <c r="G66" i="14" s="1"/>
  <c r="F62" i="14"/>
  <c r="G62" i="14" s="1"/>
  <c r="F58" i="14"/>
  <c r="G58" i="14" s="1"/>
  <c r="F51" i="14"/>
  <c r="G51" i="14" s="1"/>
  <c r="F47" i="14"/>
  <c r="G47" i="14" s="1"/>
  <c r="F43" i="14"/>
  <c r="G43" i="14" s="1"/>
  <c r="F34" i="14"/>
  <c r="G34" i="14" s="1"/>
  <c r="F38" i="14"/>
  <c r="G38" i="14" s="1"/>
  <c r="F22" i="14"/>
  <c r="G22" i="14" s="1"/>
  <c r="F65" i="14"/>
  <c r="G65" i="14" s="1"/>
  <c r="F61" i="14"/>
  <c r="G61" i="14" s="1"/>
  <c r="F57" i="14"/>
  <c r="G57" i="14" s="1"/>
  <c r="F50" i="14"/>
  <c r="G50" i="14" s="1"/>
  <c r="F46" i="14"/>
  <c r="G46" i="14" s="1"/>
  <c r="F35" i="14"/>
  <c r="G35" i="14" s="1"/>
  <c r="F39" i="14"/>
  <c r="G39" i="14" s="1"/>
  <c r="F23" i="14"/>
  <c r="G23" i="14" s="1"/>
  <c r="F64" i="14"/>
  <c r="G64" i="14" s="1"/>
  <c r="F60" i="14"/>
  <c r="G60" i="14" s="1"/>
  <c r="F53" i="14"/>
  <c r="G53" i="14" s="1"/>
  <c r="F49" i="14"/>
  <c r="G49" i="14" s="1"/>
  <c r="F45" i="14"/>
  <c r="G45" i="14" s="1"/>
  <c r="F36" i="14"/>
  <c r="G36" i="14" s="1"/>
  <c r="F24" i="14"/>
  <c r="G24" i="14" s="1"/>
  <c r="F25" i="14"/>
  <c r="G25" i="14" s="1"/>
  <c r="F67" i="14"/>
  <c r="G67" i="14" s="1"/>
  <c r="F63" i="14"/>
  <c r="G63" i="14" s="1"/>
  <c r="F59" i="14"/>
  <c r="G59" i="14" s="1"/>
  <c r="F52" i="14"/>
  <c r="G52" i="14" s="1"/>
  <c r="F48" i="14"/>
  <c r="G48" i="14" s="1"/>
  <c r="F44" i="14"/>
  <c r="G44" i="14" s="1"/>
  <c r="F33" i="14"/>
  <c r="G33" i="14" s="1"/>
  <c r="F37" i="14"/>
  <c r="G37" i="14" s="1"/>
  <c r="F19" i="14"/>
  <c r="G19" i="14" s="1"/>
  <c r="F29" i="14"/>
  <c r="G29" i="14" s="1"/>
  <c r="F31" i="14"/>
  <c r="G31" i="14" s="1"/>
  <c r="F32" i="14"/>
  <c r="G32" i="14" s="1"/>
  <c r="F30" i="14"/>
  <c r="G30" i="14" s="1"/>
  <c r="F21" i="14"/>
  <c r="G21" i="14" s="1"/>
  <c r="F20" i="14"/>
  <c r="G20" i="14" s="1"/>
  <c r="F17" i="14"/>
  <c r="G17" i="14" s="1"/>
  <c r="F18" i="14"/>
  <c r="G18" i="14" s="1"/>
  <c r="I15" i="14"/>
  <c r="J15" i="14" s="1"/>
  <c r="E40" i="14" l="1"/>
  <c r="E54" i="14"/>
  <c r="J26" i="14"/>
  <c r="H26" i="14"/>
  <c r="G40" i="14"/>
  <c r="G6" i="14" s="1"/>
  <c r="G54" i="14"/>
  <c r="H6" i="14" s="1"/>
  <c r="G33" i="4"/>
  <c r="G38" i="4" l="1"/>
  <c r="R64" i="14" l="1"/>
  <c r="S64" i="14" s="1"/>
  <c r="R60" i="14"/>
  <c r="S60" i="14" s="1"/>
  <c r="R53" i="14"/>
  <c r="S53" i="14" s="1"/>
  <c r="R49" i="14"/>
  <c r="S49" i="14" s="1"/>
  <c r="R45" i="14"/>
  <c r="S45" i="14" s="1"/>
  <c r="R33" i="14"/>
  <c r="S33" i="14" s="1"/>
  <c r="R37" i="14"/>
  <c r="S37" i="14" s="1"/>
  <c r="R20" i="14"/>
  <c r="S20" i="14" s="1"/>
  <c r="R24" i="14"/>
  <c r="S24" i="14" s="1"/>
  <c r="R67" i="14"/>
  <c r="S67" i="14" s="1"/>
  <c r="R63" i="14"/>
  <c r="S63" i="14" s="1"/>
  <c r="R59" i="14"/>
  <c r="S59" i="14" s="1"/>
  <c r="R52" i="14"/>
  <c r="S52" i="14" s="1"/>
  <c r="R48" i="14"/>
  <c r="S48" i="14" s="1"/>
  <c r="R44" i="14"/>
  <c r="S44" i="14" s="1"/>
  <c r="R34" i="14"/>
  <c r="S34" i="14" s="1"/>
  <c r="R38" i="14"/>
  <c r="S38" i="14" s="1"/>
  <c r="R17" i="14"/>
  <c r="S17" i="14" s="1"/>
  <c r="R21" i="14"/>
  <c r="S21" i="14" s="1"/>
  <c r="R25" i="14"/>
  <c r="S25" i="14" s="1"/>
  <c r="R66" i="14"/>
  <c r="S66" i="14" s="1"/>
  <c r="R62" i="14"/>
  <c r="S62" i="14" s="1"/>
  <c r="R58" i="14"/>
  <c r="S58" i="14" s="1"/>
  <c r="R51" i="14"/>
  <c r="S51" i="14" s="1"/>
  <c r="R47" i="14"/>
  <c r="S47" i="14" s="1"/>
  <c r="R43" i="14"/>
  <c r="S43" i="14" s="1"/>
  <c r="R35" i="14"/>
  <c r="S35" i="14" s="1"/>
  <c r="R39" i="14"/>
  <c r="S39" i="14" s="1"/>
  <c r="R18" i="14"/>
  <c r="S18" i="14" s="1"/>
  <c r="R22" i="14"/>
  <c r="S22" i="14" s="1"/>
  <c r="R65" i="14"/>
  <c r="S65" i="14" s="1"/>
  <c r="R61" i="14"/>
  <c r="S61" i="14" s="1"/>
  <c r="R57" i="14"/>
  <c r="S57" i="14" s="1"/>
  <c r="R50" i="14"/>
  <c r="S50" i="14" s="1"/>
  <c r="R46" i="14"/>
  <c r="S46" i="14" s="1"/>
  <c r="R32" i="14"/>
  <c r="S32" i="14" s="1"/>
  <c r="R36" i="14"/>
  <c r="S36" i="14" s="1"/>
  <c r="R19" i="14"/>
  <c r="S19" i="14" s="1"/>
  <c r="R23" i="14"/>
  <c r="S23" i="14" s="1"/>
  <c r="R31" i="14"/>
  <c r="S31" i="14" s="1"/>
  <c r="R15" i="14"/>
  <c r="S15" i="14" s="1"/>
  <c r="R30" i="14"/>
  <c r="S30" i="14" s="1"/>
  <c r="R29" i="14"/>
  <c r="S29" i="14" s="1"/>
  <c r="R16" i="14"/>
  <c r="S16" i="14" s="1"/>
  <c r="F16" i="14"/>
  <c r="G16" i="14" s="1"/>
  <c r="F15" i="14"/>
  <c r="G15" i="14" s="1"/>
  <c r="Q54" i="14" l="1"/>
  <c r="E26" i="14"/>
  <c r="Q68" i="14"/>
  <c r="Q40" i="14"/>
  <c r="Q26" i="14"/>
  <c r="S26" i="14"/>
  <c r="S68" i="14"/>
  <c r="I10" i="14" s="1"/>
  <c r="K10" i="11" s="1"/>
  <c r="S54" i="14"/>
  <c r="H10" i="14" s="1"/>
  <c r="H10" i="11" s="1"/>
  <c r="S40" i="14"/>
  <c r="G10" i="14" s="1"/>
  <c r="B10" i="11"/>
  <c r="C10" i="11" l="1"/>
  <c r="D10" i="11" s="1"/>
  <c r="G11" i="14"/>
  <c r="E10" i="11"/>
  <c r="N10" i="11" s="1"/>
  <c r="I10" i="11"/>
  <c r="L10" i="11"/>
  <c r="H11" i="14"/>
  <c r="I18" i="2"/>
  <c r="M18" i="2"/>
  <c r="E18" i="2"/>
  <c r="G18" i="2" s="1"/>
  <c r="J10" i="11" l="1"/>
  <c r="F10" i="11"/>
  <c r="M10" i="11"/>
  <c r="J10" i="14"/>
  <c r="K10" i="14" s="1"/>
  <c r="F6" i="2"/>
  <c r="G10" i="11" l="1"/>
  <c r="P10" i="11" s="1"/>
  <c r="O10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G26" i="14" l="1"/>
  <c r="X26" i="14" l="1"/>
  <c r="E6" i="11"/>
  <c r="E11" i="11" l="1"/>
  <c r="B18" i="11" s="1"/>
  <c r="E29" i="11"/>
  <c r="J7" i="14"/>
  <c r="K7" i="14" s="1"/>
  <c r="B7" i="11"/>
  <c r="F6" i="11"/>
  <c r="F11" i="11" l="1"/>
  <c r="C18" i="11" s="1"/>
  <c r="F29" i="11"/>
  <c r="N7" i="11"/>
  <c r="C7" i="11"/>
  <c r="G6" i="11"/>
  <c r="H6" i="11"/>
  <c r="H11" i="11" l="1"/>
  <c r="B19" i="11" s="1"/>
  <c r="E31" i="11"/>
  <c r="G11" i="11"/>
  <c r="D18" i="11" s="1"/>
  <c r="D29" i="11"/>
  <c r="I29" i="11" s="1"/>
  <c r="O7" i="11"/>
  <c r="D7" i="11"/>
  <c r="I6" i="11"/>
  <c r="F31" i="11" s="1"/>
  <c r="P7" i="11" l="1"/>
  <c r="I11" i="11"/>
  <c r="C19" i="11" s="1"/>
  <c r="J6" i="11"/>
  <c r="D31" i="11" s="1"/>
  <c r="I31" i="11" s="1"/>
  <c r="J11" i="11" l="1"/>
  <c r="D19" i="11" s="1"/>
  <c r="B6" i="11" l="1"/>
  <c r="E27" i="11" s="1"/>
  <c r="C6" i="11" l="1"/>
  <c r="F27" i="11" s="1"/>
  <c r="D6" i="11" l="1"/>
  <c r="D27" i="11" s="1"/>
  <c r="M26" i="14" l="1"/>
  <c r="B8" i="11" s="1"/>
  <c r="E28" i="11" l="1"/>
  <c r="N8" i="11"/>
  <c r="C8" i="11"/>
  <c r="B11" i="11"/>
  <c r="B17" i="11" s="1"/>
  <c r="K26" i="14"/>
  <c r="F11" i="14"/>
  <c r="J8" i="14"/>
  <c r="F28" i="11" l="1"/>
  <c r="O8" i="11"/>
  <c r="C11" i="11"/>
  <c r="C17" i="11" s="1"/>
  <c r="D17" i="11" s="1"/>
  <c r="D8" i="11"/>
  <c r="D28" i="11" s="1"/>
  <c r="J28" i="11" s="1"/>
  <c r="J35" i="11" s="1"/>
  <c r="K8" i="14"/>
  <c r="E68" i="14"/>
  <c r="G68" i="14"/>
  <c r="I6" i="14" s="1"/>
  <c r="I27" i="11" l="1"/>
  <c r="P8" i="11"/>
  <c r="D11" i="11"/>
  <c r="J6" i="14"/>
  <c r="I11" i="14"/>
  <c r="K6" i="11"/>
  <c r="F33" i="11" l="1"/>
  <c r="F35" i="11" s="1"/>
  <c r="E33" i="11"/>
  <c r="E35" i="11" s="1"/>
  <c r="K11" i="11"/>
  <c r="B20" i="11" s="1"/>
  <c r="N6" i="11"/>
  <c r="N11" i="11" s="1"/>
  <c r="K6" i="14"/>
  <c r="K11" i="14" s="1"/>
  <c r="J11" i="14"/>
  <c r="M6" i="11" l="1"/>
  <c r="D33" i="11" s="1"/>
  <c r="I33" i="11" s="1"/>
  <c r="I35" i="11" s="1"/>
  <c r="K35" i="11" s="1"/>
  <c r="B21" i="11"/>
  <c r="L11" i="11"/>
  <c r="C20" i="11" s="1"/>
  <c r="C21" i="11" s="1"/>
  <c r="O6" i="11"/>
  <c r="O11" i="11" s="1"/>
  <c r="P6" i="11" l="1"/>
  <c r="P11" i="11" s="1"/>
  <c r="D35" i="11"/>
  <c r="M11" i="11"/>
  <c r="D20" i="11" s="1"/>
  <c r="D21" i="11" s="1"/>
  <c r="F41" i="11"/>
  <c r="F42" i="11" s="1"/>
  <c r="D41" i="11"/>
  <c r="D42" i="11" s="1"/>
  <c r="B41" i="11"/>
  <c r="D22" i="11"/>
  <c r="C5" i="17"/>
  <c r="F5" i="17" s="1"/>
  <c r="D5" i="17" l="1"/>
  <c r="E5" i="17" s="1"/>
  <c r="H5" i="17" l="1"/>
  <c r="D13" i="17"/>
  <c r="D14" i="17"/>
  <c r="G5" i="17"/>
  <c r="D15" i="17" s="1"/>
  <c r="A59" i="11" l="1"/>
  <c r="D61" i="11" s="1"/>
  <c r="K5" i="17"/>
  <c r="D10" i="17" s="1"/>
  <c r="D17" i="17" s="1"/>
  <c r="I5" i="17"/>
  <c r="D9" i="17" s="1"/>
  <c r="C61" i="11" l="1"/>
  <c r="B61" i="11" s="1"/>
  <c r="J5" i="17"/>
  <c r="D8" i="17" s="1"/>
  <c r="E61" i="11" l="1"/>
</calcChain>
</file>

<file path=xl/sharedStrings.xml><?xml version="1.0" encoding="utf-8"?>
<sst xmlns="http://schemas.openxmlformats.org/spreadsheetml/2006/main" count="967" uniqueCount="305">
  <si>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</si>
  <si>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</si>
  <si>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</si>
  <si>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</si>
  <si>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</si>
  <si>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</si>
  <si>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</si>
  <si>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</si>
  <si>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</si>
  <si>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</si>
  <si>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</si>
  <si>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</si>
  <si>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</si>
  <si>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</si>
  <si>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</si>
  <si>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</si>
  <si>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</si>
  <si>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</si>
  <si>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</si>
  <si>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</si>
  <si>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</si>
  <si>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</si>
  <si>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</si>
  <si>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</si>
  <si>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</si>
  <si>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</si>
  <si>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</si>
  <si>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</si>
  <si>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</si>
  <si>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</si>
  <si>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</si>
  <si>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</si>
  <si>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</si>
  <si>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</si>
  <si>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</si>
  <si>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</si>
  <si>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</si>
  <si>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</si>
  <si>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</si>
  <si>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</si>
  <si>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</si>
  <si>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</si>
  <si>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</si>
  <si>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</si>
  <si>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</si>
  <si>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</si>
  <si>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</si>
  <si>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</si>
  <si>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</si>
  <si>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</si>
  <si>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</si>
  <si>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</si>
  <si>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</si>
  <si>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</si>
  <si>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</si>
  <si>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</si>
  <si>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</si>
  <si>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</si>
  <si>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</si>
  <si>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</si>
  <si>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</si>
  <si>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</si>
  <si>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</si>
  <si>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</si>
  <si>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</si>
  <si>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</si>
  <si>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</si>
  <si>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</si>
  <si>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</si>
  <si>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</si>
  <si>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</si>
  <si>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</si>
  <si>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</si>
  <si>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</si>
  <si>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</si>
  <si>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</si>
  <si>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</si>
  <si>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</si>
  <si>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</si>
  <si>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</si>
  <si>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</si>
  <si>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</si>
  <si>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</si>
  <si>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</si>
  <si>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</si>
  <si>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</si>
  <si>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</si>
  <si>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</si>
  <si>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</si>
  <si>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</si>
  <si>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</si>
  <si>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</si>
  <si>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</si>
  <si>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</si>
  <si>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</si>
  <si>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</si>
  <si>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</si>
  <si>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</si>
  <si>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</si>
  <si>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</si>
  <si>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</si>
  <si>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</si>
  <si>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</si>
  <si>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</si>
  <si>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</si>
  <si>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</si>
  <si>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</si>
  <si>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</si>
  <si>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</si>
  <si>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</si>
  <si>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</si>
  <si>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</si>
  <si>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</si>
  <si>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</si>
  <si>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</si>
  <si>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</si>
  <si>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</si>
  <si>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</si>
  <si>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</si>
  <si>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</si>
  <si>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</si>
  <si>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</si>
  <si>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</si>
  <si>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</si>
  <si>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</si>
  <si>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</si>
  <si>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</si>
  <si>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</si>
  <si>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</si>
  <si>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</si>
  <si>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</si>
  <si>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</si>
  <si>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</si>
  <si>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</si>
  <si>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</si>
  <si>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</si>
  <si>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</si>
  <si>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</si>
  <si>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</si>
  <si>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</si>
  <si>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</si>
  <si>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</si>
  <si>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</si>
  <si>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</si>
  <si>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</si>
  <si>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</si>
  <si>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€ Transició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</si>
  <si>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</si>
  <si>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</si>
  <si>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</si>
  <si>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</si>
  <si>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</si>
  <si>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</si>
  <si>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</si>
  <si>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</si>
  <si>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</si>
  <si>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</si>
  <si>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</si>
  <si>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</si>
  <si>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</si>
  <si>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</si>
  <si>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</si>
  <si>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</si>
  <si>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</si>
  <si>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</si>
  <si>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</si>
  <si>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</si>
  <si>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</si>
  <si>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</si>
  <si>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</si>
  <si>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</si>
  <si>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</si>
  <si>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</si>
  <si>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</si>
  <si>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</si>
  <si>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</si>
  <si>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</si>
  <si>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</si>
  <si>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</si>
  <si>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</si>
  <si>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</si>
  <si>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</si>
  <si>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</si>
  <si>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</si>
  <si>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€ Llicències</t>
  </si>
  <si>
    <t>Preu perfil IVA inclòs</t>
  </si>
  <si>
    <t>Preu perfil IVA exclòs</t>
  </si>
  <si>
    <t>Import Total IVA exclòs</t>
  </si>
  <si>
    <t>Import Total IVA inclòs</t>
  </si>
  <si>
    <t>Preu / hora /perfil  IVA inclòs</t>
  </si>
  <si>
    <t>SER0003</t>
  </si>
  <si>
    <t>Ajuts econòmics Serveis Socials</t>
  </si>
  <si>
    <t>APP00XX</t>
  </si>
  <si>
    <t>SER0008</t>
  </si>
  <si>
    <t>Gestió de cites</t>
  </si>
  <si>
    <t>Dispenador OficiaPrestacions</t>
  </si>
  <si>
    <t>Mesos transició</t>
  </si>
  <si>
    <t xml:space="preserve">AM Sistema Gestió Cues de l'Oficina Prestacions, Centres de Socials i Saier </t>
  </si>
  <si>
    <t>APP0329</t>
  </si>
  <si>
    <t>Oficina Virtual d'Atenció Ciutadana (OVAC)</t>
  </si>
  <si>
    <t>SER0259</t>
  </si>
  <si>
    <t>Quioscs d'autoservei</t>
  </si>
  <si>
    <t>Gestor de continguts de pantalles de Serveis Socials</t>
  </si>
  <si>
    <t>Dispositiu</t>
  </si>
  <si>
    <t>Desinstal·lació</t>
  </si>
  <si>
    <t>SER0163</t>
  </si>
  <si>
    <t xml:space="preserve"> SER0162</t>
  </si>
  <si>
    <t>Quioscos multiserveis</t>
  </si>
  <si>
    <t>APP0053</t>
  </si>
  <si>
    <t>Aplicació de tràmits de Quioscos</t>
  </si>
  <si>
    <t>Total 2023</t>
  </si>
  <si>
    <t>Total 2024</t>
  </si>
  <si>
    <t>Total 2025</t>
  </si>
  <si>
    <t>Import 2023</t>
  </si>
  <si>
    <t>Import 2024</t>
  </si>
  <si>
    <t>Import 2025</t>
  </si>
  <si>
    <t>Preu quiosc</t>
  </si>
  <si>
    <t>Preu Retidada</t>
  </si>
  <si>
    <t>Quioscos</t>
  </si>
  <si>
    <t>Retirats</t>
  </si>
  <si>
    <t>Import Q.</t>
  </si>
  <si>
    <t>Import Retirada</t>
  </si>
  <si>
    <t>Total Anual</t>
  </si>
  <si>
    <t>1T</t>
  </si>
  <si>
    <t>2T</t>
  </si>
  <si>
    <t>3T</t>
  </si>
  <si>
    <t>4T</t>
  </si>
  <si>
    <t>Import 2026</t>
  </si>
  <si>
    <t>Total 2026</t>
  </si>
  <si>
    <t>Treball fet real en incidència. Es paga al final</t>
  </si>
  <si>
    <t>Treball valorat i acceptat. Es paga al final</t>
  </si>
  <si>
    <t>Tarifa plana</t>
  </si>
  <si>
    <t xml:space="preserve">Serveis Transversals de Manteniment </t>
  </si>
  <si>
    <t>IT  Manteniment recurrent</t>
  </si>
  <si>
    <t xml:space="preserve">TT Serveis Transversals de Manteniment </t>
  </si>
  <si>
    <t>€ STM</t>
  </si>
  <si>
    <t>SER0260</t>
  </si>
  <si>
    <t>-</t>
  </si>
  <si>
    <t>APP0962</t>
  </si>
  <si>
    <t>Servei de cita prèvia a les OAC's i Serveis Tècnics [OACs i al.]</t>
  </si>
  <si>
    <t>Sistema de gestió de torns d'atenció presencial (Orchestra) [OACs i al.]</t>
  </si>
  <si>
    <t>Peanyes de validació de cita - Dispositiu</t>
  </si>
  <si>
    <t>Peanyes de validació de cita - Aplicació</t>
  </si>
  <si>
    <t>Pantalles de notificació de torns - Dispositiu</t>
  </si>
  <si>
    <t>CMS Deneva</t>
  </si>
  <si>
    <t>Retirada</t>
  </si>
  <si>
    <t>Dispensador CSS</t>
  </si>
  <si>
    <t>IT  Evolutiu recurrent</t>
  </si>
  <si>
    <t>€ Evolutiu recurrent</t>
  </si>
  <si>
    <t>Evolutiu recurrent</t>
  </si>
  <si>
    <t>Genèric</t>
  </si>
  <si>
    <t>SERXXGC</t>
  </si>
  <si>
    <t>APPXXGC</t>
  </si>
  <si>
    <t>APPXXPA</t>
  </si>
  <si>
    <t>SERXXGE</t>
  </si>
  <si>
    <t>€ Evolutiu identificat</t>
  </si>
  <si>
    <t>Evolutiu identificat</t>
  </si>
  <si>
    <t>4.8.1 Renovació dels ordinadors de les peanyes per obsolescència tecnològica</t>
  </si>
  <si>
    <t>Intel® Core™ i3-10105T de 4 núcleos a 3,0GHz RAM de 8 GB DDR4 a 2.666MHz"</t>
  </si>
  <si>
    <t>4.8.2 Renovació dels monitors de visualització de torns per obsolescència tecnològica</t>
  </si>
  <si>
    <t>4.8.3 Adquisició i instal·lació de llicències dels lectors ICAR per la lectura de noves versions dels documents identificatius pels quioscs</t>
  </si>
  <si>
    <t>Nombre unitats</t>
  </si>
  <si>
    <t>Cost total (IVA inclòs)</t>
  </si>
  <si>
    <t>Cost per unitat (IVA inclòs)</t>
  </si>
  <si>
    <t>Tasques incloses</t>
  </si>
  <si>
    <t>Característiques mínimes</t>
  </si>
  <si>
    <t>Preu/unitat</t>
  </si>
  <si>
    <t>Unitats  Evolutiu identificat</t>
  </si>
  <si>
    <t>Evolutiu</t>
  </si>
  <si>
    <t>Unitats</t>
  </si>
  <si>
    <t>Preu unitat IVA inclòs</t>
  </si>
  <si>
    <t>Preu evolutiu IVA inclòs</t>
  </si>
  <si>
    <t>Preu evolutiu IVA exclòs</t>
  </si>
  <si>
    <t>Evolutiu identificat 4.8.1</t>
  </si>
  <si>
    <t>Evolutiu identificat 4.8.2</t>
  </si>
  <si>
    <t>Evolutiu identificat 4.8.3</t>
  </si>
  <si>
    <t>Preu unitat amb IVA</t>
  </si>
  <si>
    <t>Preu unitat IVA exclòs</t>
  </si>
  <si>
    <t>Serveis d’evolutius recurrents</t>
  </si>
  <si>
    <t>Import fix es paga per fites</t>
  </si>
  <si>
    <t>Arquitecte/a J2EE</t>
  </si>
  <si>
    <t xml:space="preserve">Programador/a J2EE </t>
  </si>
  <si>
    <t>CONTRACTE</t>
  </si>
  <si>
    <t>(*) L'import total de l'IVA correspon al sumatori dels imports individuals detallats a la taula anterior (fila 11, columnes C, F, I, L) i no a l'aplicació directa de l'IVA actual del 21% sobre el pressupost net totalitzat (files 17 a 20 columna B).</t>
  </si>
  <si>
    <t>Costos salarials - Seguretat Social (34%)*</t>
  </si>
  <si>
    <t>Despeses generals d’estructura (6,40%)**</t>
  </si>
  <si>
    <t>Benefici industrial (20%)**</t>
  </si>
  <si>
    <t>*Percentatge calculat sobre el salari brut.</t>
  </si>
  <si>
    <t>**Percentatge calculat sobre el cost total del contracte.</t>
  </si>
  <si>
    <t>Cost 
Indirecte (6,4 %)</t>
  </si>
  <si>
    <t>Període</t>
  </si>
  <si>
    <t>Capítol</t>
  </si>
  <si>
    <t>C2</t>
  </si>
  <si>
    <t>C6</t>
  </si>
  <si>
    <t>II</t>
  </si>
  <si>
    <t>VI</t>
  </si>
  <si>
    <t>de l'1-1 al 31-12</t>
  </si>
  <si>
    <t>  </t>
  </si>
  <si>
    <t>del 10-5 al 31-12</t>
  </si>
  <si>
    <t>de l'1-1 al 9-5</t>
  </si>
  <si>
    <t xml:space="preserve">Coordinador/a de contracte  </t>
  </si>
  <si>
    <t>Cap de projecte</t>
  </si>
  <si>
    <t>Tècnic/a de sistemes</t>
  </si>
  <si>
    <t>Import màxim €/hora IVA exclòs</t>
  </si>
  <si>
    <t>Import màxim preu unitat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</si>
</sst>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0.0000%"/>
    <numFmt numFmtId="172" formatCode="_-* #,##0.000\ &quot;€&quot;_-;\-* #,##0.000\ &quot;€&quot;_-;_-* &quot;-&quot;??\ &quot;€&quot;_-;_-@_-"/>
    <numFmt numFmtId="173" formatCode="0.000000"/>
    <numFmt numFmtId="174" formatCode="#,##0.000000"/>
    <numFmt numFmtId="175" formatCode="_-* #,##0\ _€_-;\-* #,##0\ _€_-;_-* &quot;-&quot;??\ _€_-;_-@_-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FFFF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color rgb="FF1F497D"/>
      <name val="Calibri"/>
      <family val="2"/>
      <scheme val="minor"/>
    </font>
    <font>
      <b/>
      <sz val="9"/>
      <color rgb="FF1F497D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C0504D"/>
        <bgColor indexed="64"/>
      </patternFill>
    </fill>
  </fills>
  <borders count="3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168" fontId="19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43" fillId="23" borderId="0" applyNumberFormat="0" applyBorder="0" applyAlignment="0" applyProtection="0"/>
    <xf numFmtId="43" fontId="3" fillId="0" borderId="0" applyFont="0" applyFill="0" applyBorder="0" applyAlignment="0" applyProtection="0"/>
  </cellStyleXfs>
  <cellXfs count="310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Border="1" applyProtection="1">
      <protection hidden="1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3" fillId="0" borderId="0" xfId="0" applyFont="1"/>
    <xf numFmtId="14" fontId="9" fillId="0" borderId="0" xfId="0" applyNumberFormat="1" applyFont="1"/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horizontal="right" wrapText="1"/>
    </xf>
    <xf numFmtId="8" fontId="9" fillId="0" borderId="0" xfId="0" applyNumberFormat="1" applyFont="1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4" fontId="17" fillId="0" borderId="0" xfId="0" applyNumberFormat="1" applyFont="1" applyBorder="1" applyAlignment="1">
      <alignment horizontal="center" vertical="center"/>
    </xf>
    <xf numFmtId="164" fontId="17" fillId="0" borderId="0" xfId="0" applyNumberFormat="1" applyFont="1" applyBorder="1" applyAlignment="1">
      <alignment horizontal="right" vertical="center"/>
    </xf>
    <xf numFmtId="4" fontId="17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17" fillId="11" borderId="0" xfId="0" applyNumberFormat="1" applyFont="1" applyFill="1" applyAlignment="1"/>
    <xf numFmtId="14" fontId="17" fillId="0" borderId="7" xfId="0" applyNumberFormat="1" applyFont="1" applyFill="1" applyBorder="1" applyAlignment="1">
      <alignment horizontal="center"/>
    </xf>
    <xf numFmtId="44" fontId="17" fillId="0" borderId="8" xfId="1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/>
    <xf numFmtId="169" fontId="20" fillId="0" borderId="0" xfId="0" applyNumberFormat="1" applyFont="1"/>
    <xf numFmtId="0" fontId="21" fillId="0" borderId="13" xfId="0" applyFont="1" applyBorder="1" applyAlignment="1"/>
    <xf numFmtId="0" fontId="22" fillId="0" borderId="13" xfId="0" applyFont="1" applyBorder="1" applyAlignment="1"/>
    <xf numFmtId="169" fontId="22" fillId="0" borderId="13" xfId="0" applyNumberFormat="1" applyFont="1" applyBorder="1" applyAlignment="1"/>
    <xf numFmtId="0" fontId="22" fillId="0" borderId="13" xfId="0" applyFont="1" applyBorder="1" applyAlignment="1">
      <alignment horizontal="center"/>
    </xf>
    <xf numFmtId="0" fontId="21" fillId="0" borderId="13" xfId="0" applyFont="1" applyBorder="1" applyAlignment="1">
      <alignment horizontal="right"/>
    </xf>
    <xf numFmtId="170" fontId="23" fillId="19" borderId="13" xfId="0" applyNumberFormat="1" applyFont="1" applyFill="1" applyBorder="1" applyAlignment="1">
      <alignment horizontal="center"/>
    </xf>
    <xf numFmtId="170" fontId="23" fillId="0" borderId="13" xfId="0" applyNumberFormat="1" applyFont="1" applyBorder="1" applyAlignment="1">
      <alignment horizontal="center"/>
    </xf>
    <xf numFmtId="169" fontId="23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20" fillId="0" borderId="11" xfId="0" applyFont="1" applyBorder="1" applyAlignment="1">
      <alignment vertical="top"/>
    </xf>
    <xf numFmtId="0" fontId="20" fillId="0" borderId="0" xfId="0" applyFont="1" applyAlignment="1">
      <alignment vertical="top"/>
    </xf>
    <xf numFmtId="164" fontId="0" fillId="0" borderId="0" xfId="0" applyNumberFormat="1" applyFont="1" applyAlignment="1"/>
    <xf numFmtId="0" fontId="15" fillId="14" borderId="1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15" fillId="14" borderId="16" xfId="0" applyFont="1" applyFill="1" applyBorder="1" applyAlignment="1">
      <alignment horizontal="center" vertical="center" wrapText="1"/>
    </xf>
    <xf numFmtId="0" fontId="15" fillId="14" borderId="17" xfId="0" applyFont="1" applyFill="1" applyBorder="1" applyAlignment="1">
      <alignment horizontal="center" vertical="center" wrapText="1"/>
    </xf>
    <xf numFmtId="0" fontId="15" fillId="14" borderId="18" xfId="0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16" fillId="0" borderId="18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8" fontId="25" fillId="0" borderId="16" xfId="0" applyNumberFormat="1" applyFont="1" applyBorder="1" applyAlignment="1">
      <alignment horizontal="center" vertical="center" wrapText="1"/>
    </xf>
    <xf numFmtId="8" fontId="25" fillId="0" borderId="18" xfId="0" applyNumberFormat="1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6" fillId="0" borderId="0" xfId="0" applyFont="1" applyAlignment="1">
      <alignment horizontal="justify" vertical="center"/>
    </xf>
    <xf numFmtId="4" fontId="14" fillId="0" borderId="0" xfId="0" applyNumberFormat="1" applyFont="1" applyAlignment="1">
      <alignment horizontal="center"/>
    </xf>
    <xf numFmtId="171" fontId="9" fillId="0" borderId="0" xfId="2" applyNumberFormat="1" applyFont="1"/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wrapText="1"/>
    </xf>
    <xf numFmtId="0" fontId="22" fillId="0" borderId="13" xfId="0" applyFont="1" applyBorder="1" applyAlignment="1">
      <alignment wrapText="1"/>
    </xf>
    <xf numFmtId="0" fontId="22" fillId="0" borderId="13" xfId="0" applyFont="1" applyBorder="1" applyAlignment="1">
      <alignment horizontal="center" wrapText="1"/>
    </xf>
    <xf numFmtId="0" fontId="21" fillId="19" borderId="13" xfId="0" applyFont="1" applyFill="1" applyBorder="1" applyAlignment="1">
      <alignment horizontal="center" wrapText="1"/>
    </xf>
    <xf numFmtId="169" fontId="21" fillId="19" borderId="13" xfId="0" applyNumberFormat="1" applyFont="1" applyFill="1" applyBorder="1" applyAlignment="1">
      <alignment horizontal="center" wrapText="1"/>
    </xf>
    <xf numFmtId="0" fontId="7" fillId="13" borderId="0" xfId="0" applyFont="1" applyFill="1" applyAlignment="1">
      <alignment wrapText="1"/>
    </xf>
    <xf numFmtId="0" fontId="6" fillId="13" borderId="0" xfId="0" applyFont="1" applyFill="1"/>
    <xf numFmtId="0" fontId="0" fillId="0" borderId="2" xfId="0" applyBorder="1" applyAlignment="1">
      <alignment horizontal="left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9" xfId="0" applyFill="1" applyBorder="1" applyAlignment="1">
      <alignment wrapText="1"/>
    </xf>
    <xf numFmtId="0" fontId="0" fillId="11" borderId="0" xfId="0" applyFill="1" applyBorder="1" applyAlignment="1">
      <alignment wrapText="1"/>
    </xf>
    <xf numFmtId="0" fontId="27" fillId="14" borderId="3" xfId="0" applyFont="1" applyFill="1" applyBorder="1" applyAlignment="1">
      <alignment horizontal="left" vertical="center" wrapText="1"/>
    </xf>
    <xf numFmtId="44" fontId="27" fillId="14" borderId="3" xfId="1" applyFont="1" applyFill="1" applyBorder="1" applyAlignment="1">
      <alignment horizontal="left" vertical="center" wrapText="1"/>
    </xf>
    <xf numFmtId="0" fontId="17" fillId="0" borderId="13" xfId="0" applyFont="1" applyBorder="1" applyAlignment="1">
      <alignment vertical="top"/>
    </xf>
    <xf numFmtId="0" fontId="17" fillId="0" borderId="13" xfId="0" applyFont="1" applyBorder="1" applyAlignment="1">
      <alignment horizontal="left" vertical="top"/>
    </xf>
    <xf numFmtId="170" fontId="17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17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1" fillId="11" borderId="7" xfId="0" applyFont="1" applyFill="1" applyBorder="1" applyAlignment="1">
      <alignment horizontal="left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0" fontId="28" fillId="0" borderId="0" xfId="0" applyFont="1"/>
    <xf numFmtId="0" fontId="0" fillId="0" borderId="0" xfId="0" applyFill="1" applyProtection="1">
      <protection locked="0"/>
    </xf>
    <xf numFmtId="1" fontId="0" fillId="0" borderId="24" xfId="0" applyNumberFormat="1" applyFill="1" applyBorder="1" applyAlignment="1">
      <alignment horizontal="center" vertical="center"/>
    </xf>
    <xf numFmtId="0" fontId="29" fillId="0" borderId="0" xfId="0" applyFont="1" applyFill="1" applyAlignment="1">
      <alignment horizontal="left"/>
    </xf>
    <xf numFmtId="0" fontId="28" fillId="0" borderId="0" xfId="0" applyFont="1" applyBorder="1"/>
    <xf numFmtId="0" fontId="29" fillId="16" borderId="2" xfId="0" applyFont="1" applyFill="1" applyBorder="1" applyAlignment="1">
      <alignment vertical="center" wrapText="1"/>
    </xf>
    <xf numFmtId="0" fontId="30" fillId="14" borderId="4" xfId="0" applyFont="1" applyFill="1" applyBorder="1" applyAlignment="1">
      <alignment horizontal="center" vertical="center"/>
    </xf>
    <xf numFmtId="0" fontId="30" fillId="14" borderId="2" xfId="0" applyFont="1" applyFill="1" applyBorder="1" applyAlignment="1">
      <alignment horizontal="center" vertical="center"/>
    </xf>
    <xf numFmtId="44" fontId="28" fillId="0" borderId="2" xfId="0" applyNumberFormat="1" applyFont="1" applyFill="1" applyBorder="1" applyAlignment="1">
      <alignment horizontal="center" vertical="center"/>
    </xf>
    <xf numFmtId="44" fontId="28" fillId="11" borderId="2" xfId="0" applyNumberFormat="1" applyFont="1" applyFill="1" applyBorder="1" applyAlignment="1">
      <alignment horizontal="center" vertical="center"/>
    </xf>
    <xf numFmtId="44" fontId="28" fillId="0" borderId="0" xfId="0" applyNumberFormat="1" applyFont="1"/>
    <xf numFmtId="0" fontId="29" fillId="0" borderId="0" xfId="0" applyFont="1"/>
    <xf numFmtId="0" fontId="31" fillId="14" borderId="2" xfId="0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4" fontId="33" fillId="0" borderId="2" xfId="0" applyNumberFormat="1" applyFont="1" applyBorder="1" applyAlignment="1">
      <alignment horizontal="center" vertical="center" wrapText="1"/>
    </xf>
    <xf numFmtId="44" fontId="32" fillId="0" borderId="2" xfId="0" applyNumberFormat="1" applyFont="1" applyBorder="1" applyAlignment="1">
      <alignment horizontal="center" vertical="center" wrapText="1"/>
    </xf>
    <xf numFmtId="44" fontId="32" fillId="17" borderId="2" xfId="0" applyNumberFormat="1" applyFont="1" applyFill="1" applyBorder="1" applyAlignment="1">
      <alignment horizontal="center" vertical="center" wrapText="1"/>
    </xf>
    <xf numFmtId="44" fontId="32" fillId="0" borderId="0" xfId="0" applyNumberFormat="1" applyFont="1" applyBorder="1" applyAlignment="1">
      <alignment horizontal="center" vertical="center" wrapText="1"/>
    </xf>
    <xf numFmtId="44" fontId="33" fillId="0" borderId="0" xfId="0" applyNumberFormat="1" applyFont="1" applyBorder="1" applyAlignment="1">
      <alignment horizontal="center" vertical="center" wrapText="1"/>
    </xf>
    <xf numFmtId="0" fontId="34" fillId="14" borderId="2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left" vertical="center" wrapText="1"/>
    </xf>
    <xf numFmtId="164" fontId="36" fillId="0" borderId="2" xfId="0" applyNumberFormat="1" applyFont="1" applyBorder="1" applyAlignment="1">
      <alignment horizontal="right" vertical="center" wrapText="1"/>
    </xf>
    <xf numFmtId="10" fontId="36" fillId="17" borderId="2" xfId="0" applyNumberFormat="1" applyFont="1" applyFill="1" applyBorder="1" applyAlignment="1">
      <alignment horizontal="center" vertical="center" wrapText="1"/>
    </xf>
    <xf numFmtId="8" fontId="36" fillId="0" borderId="2" xfId="0" applyNumberFormat="1" applyFont="1" applyBorder="1" applyAlignment="1">
      <alignment horizontal="right" vertical="center"/>
    </xf>
    <xf numFmtId="0" fontId="35" fillId="11" borderId="2" xfId="0" applyFont="1" applyFill="1" applyBorder="1" applyAlignment="1">
      <alignment horizontal="left" vertical="center"/>
    </xf>
    <xf numFmtId="164" fontId="37" fillId="11" borderId="2" xfId="0" applyNumberFormat="1" applyFont="1" applyFill="1" applyBorder="1" applyAlignment="1">
      <alignment horizontal="right" vertical="center" wrapText="1"/>
    </xf>
    <xf numFmtId="10" fontId="37" fillId="11" borderId="2" xfId="0" applyNumberFormat="1" applyFont="1" applyFill="1" applyBorder="1" applyAlignment="1">
      <alignment horizontal="center" vertical="center" wrapText="1"/>
    </xf>
    <xf numFmtId="8" fontId="37" fillId="11" borderId="2" xfId="0" applyNumberFormat="1" applyFont="1" applyFill="1" applyBorder="1" applyAlignment="1">
      <alignment horizontal="right" vertical="center"/>
    </xf>
    <xf numFmtId="8" fontId="36" fillId="4" borderId="2" xfId="0" applyNumberFormat="1" applyFont="1" applyFill="1" applyBorder="1" applyAlignment="1">
      <alignment horizontal="right" vertical="center"/>
    </xf>
    <xf numFmtId="0" fontId="28" fillId="4" borderId="2" xfId="0" applyFont="1" applyFill="1" applyBorder="1" applyAlignment="1">
      <alignment horizontal="right"/>
    </xf>
    <xf numFmtId="0" fontId="38" fillId="14" borderId="3" xfId="0" applyFont="1" applyFill="1" applyBorder="1" applyAlignment="1">
      <alignment horizontal="center" vertical="center"/>
    </xf>
    <xf numFmtId="0" fontId="38" fillId="14" borderId="3" xfId="0" applyFont="1" applyFill="1" applyBorder="1" applyAlignment="1">
      <alignment horizontal="center" vertical="center" wrapText="1"/>
    </xf>
    <xf numFmtId="44" fontId="36" fillId="0" borderId="2" xfId="0" applyNumberFormat="1" applyFont="1" applyBorder="1" applyAlignment="1">
      <alignment horizontal="right" vertical="center"/>
    </xf>
    <xf numFmtId="8" fontId="36" fillId="0" borderId="2" xfId="0" applyNumberFormat="1" applyFont="1" applyFill="1" applyBorder="1" applyAlignment="1">
      <alignment horizontal="right" vertical="center"/>
    </xf>
    <xf numFmtId="165" fontId="28" fillId="0" borderId="0" xfId="0" applyNumberFormat="1" applyFont="1"/>
    <xf numFmtId="0" fontId="39" fillId="11" borderId="2" xfId="0" applyFont="1" applyFill="1" applyBorder="1" applyAlignment="1">
      <alignment horizontal="center" vertical="center"/>
    </xf>
    <xf numFmtId="8" fontId="28" fillId="0" borderId="0" xfId="0" applyNumberFormat="1" applyFont="1"/>
    <xf numFmtId="0" fontId="39" fillId="11" borderId="0" xfId="0" applyFont="1" applyFill="1" applyBorder="1" applyAlignment="1">
      <alignment horizontal="center" vertical="center"/>
    </xf>
    <xf numFmtId="8" fontId="37" fillId="11" borderId="0" xfId="0" applyNumberFormat="1" applyFont="1" applyFill="1" applyBorder="1" applyAlignment="1">
      <alignment horizontal="right" vertical="center"/>
    </xf>
    <xf numFmtId="0" fontId="40" fillId="0" borderId="0" xfId="0" applyFont="1" applyAlignment="1">
      <alignment wrapText="1"/>
    </xf>
    <xf numFmtId="0" fontId="41" fillId="0" borderId="2" xfId="0" applyFont="1" applyBorder="1" applyAlignment="1">
      <alignment horizontal="center" wrapText="1"/>
    </xf>
    <xf numFmtId="8" fontId="28" fillId="17" borderId="0" xfId="0" applyNumberFormat="1" applyFont="1" applyFill="1"/>
    <xf numFmtId="0" fontId="28" fillId="17" borderId="0" xfId="0" applyFont="1" applyFill="1" applyAlignment="1">
      <alignment horizontal="center"/>
    </xf>
    <xf numFmtId="0" fontId="42" fillId="0" borderId="0" xfId="0" applyFont="1"/>
    <xf numFmtId="0" fontId="28" fillId="0" borderId="0" xfId="0" quotePrefix="1" applyFont="1" applyAlignment="1">
      <alignment horizontal="center"/>
    </xf>
    <xf numFmtId="0" fontId="28" fillId="0" borderId="0" xfId="0" quotePrefix="1" applyFont="1"/>
    <xf numFmtId="0" fontId="41" fillId="0" borderId="0" xfId="0" applyFont="1" applyAlignment="1">
      <alignment wrapText="1"/>
    </xf>
    <xf numFmtId="164" fontId="0" fillId="0" borderId="0" xfId="0" applyNumberFormat="1" applyFont="1"/>
    <xf numFmtId="164" fontId="1" fillId="0" borderId="0" xfId="0" applyNumberFormat="1" applyFont="1" applyFill="1" applyAlignment="1"/>
    <xf numFmtId="172" fontId="28" fillId="11" borderId="2" xfId="0" applyNumberFormat="1" applyFont="1" applyFill="1" applyBorder="1" applyAlignment="1">
      <alignment horizontal="center" vertical="center"/>
    </xf>
    <xf numFmtId="44" fontId="1" fillId="0" borderId="25" xfId="1" applyFont="1" applyBorder="1"/>
    <xf numFmtId="0" fontId="0" fillId="0" borderId="0" xfId="0" applyFill="1" applyBorder="1" applyProtection="1">
      <protection locked="0"/>
    </xf>
    <xf numFmtId="0" fontId="0" fillId="11" borderId="8" xfId="0" applyFill="1" applyBorder="1" applyAlignment="1">
      <alignment horizontal="left"/>
    </xf>
    <xf numFmtId="0" fontId="8" fillId="15" borderId="0" xfId="0" applyFont="1" applyFill="1" applyBorder="1" applyAlignment="1">
      <alignment horizontal="center" vertical="center" wrapText="1"/>
    </xf>
    <xf numFmtId="0" fontId="0" fillId="20" borderId="0" xfId="0" applyFill="1"/>
    <xf numFmtId="0" fontId="0" fillId="0" borderId="26" xfId="0" applyBorder="1"/>
    <xf numFmtId="0" fontId="0" fillId="0" borderId="27" xfId="0" applyBorder="1"/>
    <xf numFmtId="44" fontId="0" fillId="0" borderId="27" xfId="1" applyFont="1" applyBorder="1"/>
    <xf numFmtId="0" fontId="0" fillId="0" borderId="28" xfId="0" applyBorder="1"/>
    <xf numFmtId="44" fontId="0" fillId="0" borderId="0" xfId="1" applyFont="1" applyBorder="1"/>
    <xf numFmtId="0" fontId="0" fillId="0" borderId="29" xfId="0" applyBorder="1"/>
    <xf numFmtId="0" fontId="0" fillId="0" borderId="30" xfId="0" applyBorder="1"/>
    <xf numFmtId="0" fontId="0" fillId="0" borderId="15" xfId="0" applyBorder="1"/>
    <xf numFmtId="44" fontId="0" fillId="0" borderId="15" xfId="1" applyFont="1" applyBorder="1"/>
    <xf numFmtId="44" fontId="0" fillId="0" borderId="18" xfId="1" applyFont="1" applyBorder="1"/>
    <xf numFmtId="0" fontId="0" fillId="0" borderId="18" xfId="0" applyBorder="1"/>
    <xf numFmtId="4" fontId="17" fillId="21" borderId="0" xfId="0" applyNumberFormat="1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>
      <alignment horizontal="left" vertical="center"/>
    </xf>
    <xf numFmtId="0" fontId="8" fillId="22" borderId="0" xfId="0" applyFont="1" applyFill="1" applyBorder="1" applyAlignment="1">
      <alignment horizontal="center" vertical="center" wrapText="1"/>
    </xf>
    <xf numFmtId="0" fontId="0" fillId="22" borderId="0" xfId="0" applyFill="1" applyBorder="1" applyAlignment="1">
      <alignment wrapText="1"/>
    </xf>
    <xf numFmtId="0" fontId="0" fillId="22" borderId="0" xfId="0" applyFill="1" applyBorder="1" applyAlignment="1">
      <alignment horizontal="left"/>
    </xf>
    <xf numFmtId="4" fontId="11" fillId="22" borderId="0" xfId="0" applyNumberFormat="1" applyFont="1" applyFill="1" applyBorder="1" applyAlignment="1">
      <alignment horizontal="center" vertical="center"/>
    </xf>
    <xf numFmtId="164" fontId="11" fillId="22" borderId="0" xfId="0" applyNumberFormat="1" applyFont="1" applyFill="1" applyAlignment="1"/>
    <xf numFmtId="0" fontId="1" fillId="22" borderId="0" xfId="0" applyFont="1" applyFill="1"/>
    <xf numFmtId="164" fontId="0" fillId="11" borderId="0" xfId="0" applyNumberFormat="1" applyFont="1" applyFill="1" applyAlignment="1"/>
    <xf numFmtId="44" fontId="36" fillId="0" borderId="2" xfId="0" applyNumberFormat="1" applyFont="1" applyFill="1" applyBorder="1" applyAlignment="1">
      <alignment horizontal="right" vertical="center"/>
    </xf>
    <xf numFmtId="0" fontId="0" fillId="22" borderId="0" xfId="0" applyFill="1" applyBorder="1" applyAlignment="1" applyProtection="1">
      <alignment horizontal="left" vertical="center"/>
    </xf>
    <xf numFmtId="0" fontId="43" fillId="0" borderId="0" xfId="10" applyFill="1"/>
    <xf numFmtId="44" fontId="0" fillId="0" borderId="0" xfId="1" applyFont="1" applyFill="1" applyBorder="1"/>
    <xf numFmtId="44" fontId="1" fillId="0" borderId="29" xfId="1" applyFont="1" applyBorder="1"/>
    <xf numFmtId="44" fontId="43" fillId="0" borderId="0" xfId="10" applyNumberFormat="1" applyFill="1"/>
    <xf numFmtId="0" fontId="43" fillId="0" borderId="30" xfId="10" applyFill="1" applyBorder="1"/>
    <xf numFmtId="0" fontId="0" fillId="0" borderId="15" xfId="0" applyFill="1" applyBorder="1"/>
    <xf numFmtId="44" fontId="0" fillId="0" borderId="15" xfId="1" applyFont="1" applyFill="1" applyBorder="1"/>
    <xf numFmtId="0" fontId="43" fillId="0" borderId="18" xfId="10" applyFill="1" applyBorder="1"/>
    <xf numFmtId="44" fontId="0" fillId="7" borderId="0" xfId="0" applyNumberFormat="1" applyFill="1"/>
    <xf numFmtId="44" fontId="0" fillId="21" borderId="0" xfId="0" applyNumberFormat="1" applyFill="1"/>
    <xf numFmtId="165" fontId="29" fillId="0" borderId="0" xfId="0" applyNumberFormat="1" applyFont="1"/>
    <xf numFmtId="0" fontId="0" fillId="0" borderId="0" xfId="0" applyFont="1"/>
    <xf numFmtId="8" fontId="0" fillId="0" borderId="0" xfId="0" applyNumberFormat="1" applyFont="1"/>
    <xf numFmtId="0" fontId="3" fillId="0" borderId="0" xfId="0" applyFont="1" applyFill="1"/>
    <xf numFmtId="8" fontId="0" fillId="0" borderId="0" xfId="0" applyNumberFormat="1" applyFont="1" applyAlignment="1">
      <alignment horizontal="right"/>
    </xf>
    <xf numFmtId="0" fontId="1" fillId="11" borderId="7" xfId="0" applyFont="1" applyFill="1" applyBorder="1" applyAlignment="1">
      <alignment horizontal="left"/>
    </xf>
    <xf numFmtId="164" fontId="0" fillId="0" borderId="0" xfId="0" quotePrefix="1" applyNumberFormat="1" applyFont="1"/>
    <xf numFmtId="0" fontId="1" fillId="11" borderId="7" xfId="0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 vertical="center"/>
    </xf>
    <xf numFmtId="0" fontId="1" fillId="0" borderId="0" xfId="0" applyFont="1" applyFill="1"/>
    <xf numFmtId="164" fontId="0" fillId="0" borderId="0" xfId="0" applyNumberFormat="1" applyFont="1" applyFill="1"/>
    <xf numFmtId="0" fontId="0" fillId="0" borderId="0" xfId="0" applyFill="1" applyBorder="1" applyAlignment="1" applyProtection="1">
      <alignment wrapText="1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Alignment="1" applyProtection="1">
      <alignment wrapText="1"/>
      <protection locked="0"/>
    </xf>
    <xf numFmtId="0" fontId="0" fillId="0" borderId="0" xfId="0" applyFont="1" applyFill="1" applyProtection="1">
      <protection locked="0"/>
    </xf>
    <xf numFmtId="2" fontId="9" fillId="0" borderId="0" xfId="0" applyNumberFormat="1" applyFont="1" applyFill="1"/>
    <xf numFmtId="14" fontId="1" fillId="0" borderId="0" xfId="0" applyNumberFormat="1" applyFont="1" applyFill="1"/>
    <xf numFmtId="164" fontId="1" fillId="0" borderId="0" xfId="0" applyNumberFormat="1" applyFont="1" applyFill="1" applyAlignment="1">
      <alignment vertical="center"/>
    </xf>
    <xf numFmtId="0" fontId="0" fillId="0" borderId="2" xfId="0" applyBorder="1" applyAlignment="1">
      <alignment horizontal="left" wrapText="1"/>
    </xf>
    <xf numFmtId="4" fontId="0" fillId="0" borderId="2" xfId="0" applyNumberFormat="1" applyFont="1" applyFill="1" applyBorder="1" applyAlignment="1">
      <alignment horizontal="center"/>
    </xf>
    <xf numFmtId="0" fontId="0" fillId="0" borderId="31" xfId="0" applyBorder="1" applyAlignment="1">
      <alignment horizontal="left"/>
    </xf>
    <xf numFmtId="4" fontId="11" fillId="17" borderId="32" xfId="10" applyNumberFormat="1" applyFont="1" applyFill="1" applyBorder="1" applyAlignment="1">
      <alignment horizontal="center"/>
    </xf>
    <xf numFmtId="0" fontId="0" fillId="0" borderId="33" xfId="0" applyBorder="1" applyAlignment="1">
      <alignment horizontal="left"/>
    </xf>
    <xf numFmtId="4" fontId="0" fillId="0" borderId="34" xfId="0" applyNumberFormat="1" applyFont="1" applyFill="1" applyBorder="1" applyAlignment="1">
      <alignment horizontal="center"/>
    </xf>
    <xf numFmtId="4" fontId="11" fillId="17" borderId="35" xfId="10" applyNumberFormat="1" applyFont="1" applyFill="1" applyBorder="1" applyAlignment="1">
      <alignment horizontal="center"/>
    </xf>
    <xf numFmtId="164" fontId="1" fillId="11" borderId="7" xfId="1" applyNumberFormat="1" applyFont="1" applyFill="1" applyBorder="1" applyAlignment="1">
      <alignment horizontal="right"/>
    </xf>
    <xf numFmtId="173" fontId="0" fillId="0" borderId="24" xfId="0" applyNumberFormat="1" applyFill="1" applyBorder="1" applyAlignment="1">
      <alignment horizontal="center" vertical="center"/>
    </xf>
    <xf numFmtId="174" fontId="11" fillId="11" borderId="0" xfId="0" applyNumberFormat="1" applyFont="1" applyFill="1" applyBorder="1" applyAlignment="1">
      <alignment horizontal="center" vertical="center"/>
    </xf>
    <xf numFmtId="4" fontId="29" fillId="0" borderId="2" xfId="0" applyNumberFormat="1" applyFont="1" applyFill="1" applyBorder="1" applyAlignment="1">
      <alignment vertical="center"/>
    </xf>
    <xf numFmtId="0" fontId="44" fillId="0" borderId="0" xfId="0" applyFont="1" applyBorder="1" applyAlignment="1">
      <alignment horizontal="left" vertical="top"/>
    </xf>
    <xf numFmtId="0" fontId="22" fillId="0" borderId="13" xfId="0" applyFont="1" applyBorder="1" applyAlignment="1">
      <alignment horizontal="left"/>
    </xf>
    <xf numFmtId="0" fontId="45" fillId="0" borderId="0" xfId="0" applyFont="1"/>
    <xf numFmtId="0" fontId="46" fillId="0" borderId="0" xfId="0" applyFont="1"/>
    <xf numFmtId="10" fontId="46" fillId="0" borderId="0" xfId="0" applyNumberFormat="1" applyFont="1"/>
    <xf numFmtId="164" fontId="46" fillId="0" borderId="0" xfId="0" applyNumberFormat="1" applyFont="1"/>
    <xf numFmtId="0" fontId="15" fillId="24" borderId="10" xfId="0" applyFont="1" applyFill="1" applyBorder="1" applyAlignment="1">
      <alignment horizontal="center" vertical="center" wrapText="1"/>
    </xf>
    <xf numFmtId="0" fontId="15" fillId="24" borderId="17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44" fontId="16" fillId="0" borderId="18" xfId="0" applyNumberFormat="1" applyFont="1" applyBorder="1" applyAlignment="1">
      <alignment horizontal="right" vertical="center"/>
    </xf>
    <xf numFmtId="44" fontId="16" fillId="0" borderId="16" xfId="0" applyNumberFormat="1" applyFont="1" applyBorder="1" applyAlignment="1">
      <alignment horizontal="right" vertical="center" wrapText="1"/>
    </xf>
    <xf numFmtId="44" fontId="16" fillId="0" borderId="2" xfId="0" applyNumberFormat="1" applyFont="1" applyBorder="1" applyAlignment="1">
      <alignment horizontal="right" vertical="center" wrapText="1"/>
    </xf>
    <xf numFmtId="8" fontId="16" fillId="0" borderId="0" xfId="0" applyNumberFormat="1" applyFont="1" applyBorder="1" applyAlignment="1">
      <alignment horizontal="right" vertical="center" wrapText="1"/>
    </xf>
    <xf numFmtId="164" fontId="45" fillId="11" borderId="2" xfId="0" applyNumberFormat="1" applyFont="1" applyFill="1" applyBorder="1" applyAlignment="1">
      <alignment horizontal="center" vertical="center"/>
    </xf>
    <xf numFmtId="44" fontId="47" fillId="0" borderId="0" xfId="0" applyNumberFormat="1" applyFont="1" applyBorder="1" applyAlignment="1">
      <alignment horizontal="right" vertical="center" wrapText="1"/>
    </xf>
    <xf numFmtId="44" fontId="16" fillId="0" borderId="0" xfId="0" applyNumberFormat="1" applyFont="1" applyBorder="1" applyAlignment="1">
      <alignment horizontal="right" vertical="center" wrapText="1"/>
    </xf>
    <xf numFmtId="175" fontId="17" fillId="0" borderId="0" xfId="11" applyNumberFormat="1" applyFont="1" applyFill="1" applyBorder="1" applyAlignment="1">
      <alignment horizontal="center"/>
    </xf>
    <xf numFmtId="4" fontId="11" fillId="17" borderId="32" xfId="10" applyNumberFormat="1" applyFont="1" applyFill="1" applyBorder="1" applyAlignment="1" applyProtection="1">
      <alignment horizontal="center"/>
      <protection locked="0"/>
    </xf>
    <xf numFmtId="4" fontId="11" fillId="17" borderId="35" xfId="10" applyNumberFormat="1" applyFont="1" applyFill="1" applyBorder="1" applyAlignment="1" applyProtection="1">
      <alignment horizontal="center"/>
      <protection locked="0"/>
    </xf>
    <xf numFmtId="0" fontId="7" fillId="18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38" fillId="14" borderId="22" xfId="0" applyFont="1" applyFill="1" applyBorder="1" applyAlignment="1">
      <alignment horizontal="center" vertical="center" wrapText="1"/>
    </xf>
    <xf numFmtId="0" fontId="38" fillId="14" borderId="23" xfId="0" applyFont="1" applyFill="1" applyBorder="1" applyAlignment="1">
      <alignment horizontal="center" vertical="center" wrapText="1"/>
    </xf>
    <xf numFmtId="0" fontId="38" fillId="14" borderId="3" xfId="0" applyFont="1" applyFill="1" applyBorder="1" applyAlignment="1">
      <alignment horizontal="center" vertical="center" wrapText="1"/>
    </xf>
    <xf numFmtId="0" fontId="38" fillId="14" borderId="6" xfId="0" applyFont="1" applyFill="1" applyBorder="1" applyAlignment="1">
      <alignment horizontal="center" vertical="center" wrapText="1"/>
    </xf>
    <xf numFmtId="0" fontId="30" fillId="14" borderId="3" xfId="0" applyFont="1" applyFill="1" applyBorder="1" applyAlignment="1">
      <alignment horizontal="center" vertical="center"/>
    </xf>
    <xf numFmtId="0" fontId="30" fillId="14" borderId="5" xfId="0" applyFont="1" applyFill="1" applyBorder="1" applyAlignment="1">
      <alignment horizontal="center" vertical="center"/>
    </xf>
    <xf numFmtId="0" fontId="30" fillId="14" borderId="6" xfId="0" applyFont="1" applyFill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44" fontId="25" fillId="0" borderId="0" xfId="1" applyFont="1" applyBorder="1" applyAlignment="1">
      <alignment horizontal="right" vertical="center" wrapText="1"/>
    </xf>
  </cellXfs>
  <cellStyles count="12">
    <cellStyle name="Coma 2" xfId="5"/>
    <cellStyle name="Incorrecto" xfId="10" builtinId="27"/>
    <cellStyle name="Millares" xfId="11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4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32</xdr:row>
          <xdr:rowOff>49866</xdr:rowOff>
        </xdr:from>
        <xdr:to>
          <xdr:col>0</xdr:col>
          <xdr:colOff>942975</xdr:colOff>
          <xdr:row>33</xdr:row>
          <xdr:rowOff>49866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32</xdr:row>
          <xdr:rowOff>49866</xdr:rowOff>
        </xdr:from>
        <xdr:to>
          <xdr:col>0</xdr:col>
          <xdr:colOff>942975</xdr:colOff>
          <xdr:row>33</xdr:row>
          <xdr:rowOff>49866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32</xdr:row>
          <xdr:rowOff>49866</xdr:rowOff>
        </xdr:from>
        <xdr:to>
          <xdr:col>0</xdr:col>
          <xdr:colOff>942975</xdr:colOff>
          <xdr:row>33</xdr:row>
          <xdr:rowOff>49866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32</xdr:row>
          <xdr:rowOff>49866</xdr:rowOff>
        </xdr:from>
        <xdr:to>
          <xdr:col>0</xdr:col>
          <xdr:colOff>942975</xdr:colOff>
          <xdr:row>33</xdr:row>
          <xdr:rowOff>49866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32</xdr:row>
          <xdr:rowOff>49866</xdr:rowOff>
        </xdr:from>
        <xdr:to>
          <xdr:col>0</xdr:col>
          <xdr:colOff>942975</xdr:colOff>
          <xdr:row>33</xdr:row>
          <xdr:rowOff>49866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I70"/>
  <sheetViews>
    <sheetView tabSelected="1" zoomScale="85" zoomScaleNormal="85" workbookViewId="0">
      <pane xSplit="1" topLeftCell="B1" activePane="topRight" state="frozen"/>
      <selection activeCell="A57" sqref="A57"/>
      <selection pane="topRight" activeCell="K67" sqref="K67"/>
    </sheetView>
  </sheetViews>
  <sheetFormatPr baseColWidth="10" defaultColWidth="11.42578125" defaultRowHeight="15" x14ac:dyDescent="0.25"/>
  <cols>
    <col min="1" max="1" width="17.42578125" style="60" customWidth="1"/>
    <col min="2" max="2" width="59.85546875" style="59" customWidth="1"/>
    <col min="3" max="3" width="17.140625" style="58" customWidth="1"/>
    <col min="4" max="4" width="36.85546875" style="59" customWidth="1"/>
    <col min="5" max="5" width="16.140625" style="59" customWidth="1"/>
    <col min="6" max="6" width="17.5703125" style="58" customWidth="1"/>
    <col min="7" max="7" width="16.42578125" style="58" bestFit="1" customWidth="1"/>
    <col min="8" max="8" width="15.5703125" style="60" customWidth="1"/>
    <col min="9" max="9" width="18.42578125" style="60" bestFit="1" customWidth="1"/>
    <col min="10" max="10" width="15.85546875" style="60" customWidth="1"/>
    <col min="11" max="11" width="13.42578125" style="60" customWidth="1"/>
    <col min="12" max="18" width="16.140625" style="60" customWidth="1"/>
    <col min="19" max="19" width="15.85546875" style="60" customWidth="1"/>
    <col min="20" max="20" width="13.140625" style="60" customWidth="1"/>
    <col min="21" max="21" width="13.5703125" style="60" customWidth="1"/>
    <col min="22" max="23" width="11.85546875" style="60" customWidth="1"/>
    <col min="24" max="24" width="11.42578125" style="60" customWidth="1"/>
    <col min="25" max="26" width="14.42578125" style="60" customWidth="1"/>
    <col min="27" max="28" width="17.85546875" style="61" bestFit="1" customWidth="1"/>
    <col min="29" max="29" width="14.42578125" style="78" customWidth="1"/>
    <col min="30" max="30" width="11.5703125" style="61" bestFit="1" customWidth="1"/>
    <col min="31" max="31" width="18.42578125" style="61" bestFit="1" customWidth="1"/>
    <col min="32" max="32" width="17.42578125" style="61" customWidth="1"/>
    <col min="33" max="33" width="14" style="60" customWidth="1"/>
    <col min="34" max="35" width="11.42578125" style="60"/>
    <col min="36" max="36" width="12.5703125" style="60" bestFit="1" customWidth="1"/>
    <col min="37" max="16384" width="11.42578125" style="60"/>
  </cols>
  <sheetData>
    <row r="1" spans="1:35" ht="31.5" customHeight="1" x14ac:dyDescent="0.25">
      <c r="A1" s="67" t="s">
        <v>197</v>
      </c>
      <c r="B1" s="83"/>
      <c r="C1" s="142"/>
      <c r="D1" s="67"/>
      <c r="E1" s="141"/>
      <c r="F1" s="61"/>
      <c r="G1" s="60"/>
      <c r="AA1" s="60"/>
      <c r="AB1" s="78"/>
      <c r="AC1" s="61"/>
      <c r="AD1" s="60"/>
      <c r="AE1" s="60"/>
      <c r="AF1" s="60"/>
    </row>
    <row r="2" spans="1:35" x14ac:dyDescent="0.25">
      <c r="A2" s="62" t="s">
        <v>115</v>
      </c>
      <c r="B2" s="84">
        <v>45056</v>
      </c>
      <c r="C2" s="63"/>
      <c r="D2" s="88"/>
      <c r="E2" s="88"/>
      <c r="F2" s="84">
        <f>+B3</f>
        <v>45087</v>
      </c>
      <c r="I2" s="63">
        <v>46023</v>
      </c>
      <c r="X2" s="78"/>
      <c r="AA2" s="60"/>
      <c r="AB2" s="60"/>
      <c r="AC2" s="60"/>
      <c r="AD2" s="60"/>
      <c r="AE2" s="60"/>
      <c r="AF2" s="60"/>
    </row>
    <row r="3" spans="1:35" x14ac:dyDescent="0.25">
      <c r="A3" s="66" t="s">
        <v>137</v>
      </c>
      <c r="B3" s="84">
        <v>45087</v>
      </c>
      <c r="C3" s="63"/>
      <c r="D3" s="88"/>
      <c r="E3" s="88"/>
      <c r="F3" s="79">
        <v>45291</v>
      </c>
      <c r="I3" s="84">
        <f>B4</f>
        <v>46151</v>
      </c>
      <c r="X3" s="78"/>
      <c r="AA3" s="60"/>
      <c r="AB3" s="60"/>
      <c r="AC3" s="60"/>
      <c r="AD3" s="60"/>
      <c r="AE3" s="60"/>
      <c r="AF3" s="60"/>
    </row>
    <row r="4" spans="1:35" x14ac:dyDescent="0.25">
      <c r="A4" s="62" t="s">
        <v>171</v>
      </c>
      <c r="B4" s="84">
        <f>DATE(YEAR(B2)+3, MONTH(B2), DAY(B2)-1)</f>
        <v>46151</v>
      </c>
      <c r="C4" s="63"/>
      <c r="D4" s="87"/>
      <c r="E4" s="87"/>
      <c r="F4" s="60">
        <f>F3-F2+1</f>
        <v>205</v>
      </c>
      <c r="I4" s="60">
        <f>I3-I2+1</f>
        <v>129</v>
      </c>
      <c r="J4" s="133"/>
      <c r="X4" s="78"/>
      <c r="Y4" s="61"/>
      <c r="AA4" s="60"/>
      <c r="AB4" s="60"/>
      <c r="AC4" s="60"/>
      <c r="AD4" s="60"/>
      <c r="AE4" s="60"/>
      <c r="AF4" s="60"/>
    </row>
    <row r="5" spans="1:35" ht="30" x14ac:dyDescent="0.25">
      <c r="A5" s="62" t="s">
        <v>196</v>
      </c>
      <c r="B5" s="85">
        <f>MONTH(B3-B2)</f>
        <v>1</v>
      </c>
      <c r="C5" s="64"/>
      <c r="D5" s="89" t="s">
        <v>0</v>
      </c>
      <c r="E5" s="89"/>
      <c r="F5" s="57" t="s">
        <v>213</v>
      </c>
      <c r="G5" s="57" t="s">
        <v>214</v>
      </c>
      <c r="H5" s="57" t="s">
        <v>215</v>
      </c>
      <c r="I5" s="57" t="s">
        <v>227</v>
      </c>
      <c r="J5" s="159" t="s">
        <v>188</v>
      </c>
      <c r="K5" s="159" t="s">
        <v>187</v>
      </c>
      <c r="X5" s="78"/>
      <c r="AA5" s="60"/>
      <c r="AB5" s="60"/>
      <c r="AC5" s="60"/>
      <c r="AD5" s="60"/>
      <c r="AE5" s="60"/>
      <c r="AF5" s="60"/>
    </row>
    <row r="6" spans="1:35" x14ac:dyDescent="0.25">
      <c r="A6" s="65"/>
      <c r="B6" s="86"/>
      <c r="C6" s="228" t="s">
        <v>229</v>
      </c>
      <c r="D6" s="229" t="s">
        <v>7</v>
      </c>
      <c r="E6" s="90"/>
      <c r="F6" s="160">
        <f>+G26</f>
        <v>6438.2099999999991</v>
      </c>
      <c r="G6" s="75">
        <f>ROUND($G$40,2)</f>
        <v>22380.45</v>
      </c>
      <c r="H6" s="75">
        <f>ROUND(G54,2)</f>
        <v>22380.45</v>
      </c>
      <c r="I6" s="75">
        <f>G68</f>
        <v>15451.710000000001</v>
      </c>
      <c r="J6" s="75">
        <f>SUM(F6:I6)</f>
        <v>66650.820000000007</v>
      </c>
      <c r="K6" s="160">
        <f>+ROUND(J6/1.21,2)</f>
        <v>55083.32</v>
      </c>
      <c r="R6" s="77"/>
      <c r="S6" s="77"/>
      <c r="T6" s="77"/>
      <c r="U6" s="208"/>
      <c r="V6" s="208"/>
      <c r="W6" s="208"/>
      <c r="X6" s="208"/>
      <c r="AA6" s="81"/>
      <c r="AB6" s="81"/>
      <c r="AC6" s="60"/>
      <c r="AD6" s="60"/>
      <c r="AE6" s="60"/>
      <c r="AF6" s="60"/>
    </row>
    <row r="7" spans="1:35" x14ac:dyDescent="0.25">
      <c r="C7" s="228" t="s">
        <v>230</v>
      </c>
      <c r="D7" s="229" t="s">
        <v>13</v>
      </c>
      <c r="E7" s="90"/>
      <c r="F7" s="160">
        <f>+J26</f>
        <v>15924.01</v>
      </c>
      <c r="G7" s="75">
        <f>ROUND($J$40,2)</f>
        <v>35949.96</v>
      </c>
      <c r="H7" s="75">
        <f>ROUND(J54,2)</f>
        <v>35949.96</v>
      </c>
      <c r="I7" s="75">
        <f>+J68</f>
        <v>24820.25</v>
      </c>
      <c r="J7" s="75">
        <f>SUM(F7:I7)</f>
        <v>112644.18</v>
      </c>
      <c r="K7" s="160">
        <f t="shared" ref="K7:K10" si="0">+ROUND(J7/1.21,2)</f>
        <v>93094.36</v>
      </c>
      <c r="R7" s="77"/>
      <c r="S7" s="255"/>
      <c r="T7" s="77"/>
      <c r="U7" s="208"/>
      <c r="V7" s="208"/>
      <c r="W7" s="208"/>
      <c r="X7" s="208"/>
      <c r="AA7" s="79"/>
      <c r="AB7" s="79"/>
      <c r="AC7" s="60"/>
      <c r="AD7" s="60"/>
      <c r="AE7" s="60"/>
      <c r="AF7" s="60"/>
    </row>
    <row r="8" spans="1:35" x14ac:dyDescent="0.25">
      <c r="C8" s="228" t="s">
        <v>230</v>
      </c>
      <c r="D8" s="229" t="s">
        <v>278</v>
      </c>
      <c r="E8" s="90"/>
      <c r="F8" s="160">
        <f>+M26</f>
        <v>18000</v>
      </c>
      <c r="G8" s="75">
        <f>+M40</f>
        <v>18000</v>
      </c>
      <c r="H8" s="75">
        <f>+M54</f>
        <v>18000</v>
      </c>
      <c r="I8" s="75">
        <f>+M68</f>
        <v>12427.4</v>
      </c>
      <c r="J8" s="75">
        <f t="shared" ref="J8:J9" si="1">SUM(F8:I8)</f>
        <v>66427.399999999994</v>
      </c>
      <c r="K8" s="160">
        <f t="shared" ref="K8:K9" si="2">+ROUND(J8/1.21,2)</f>
        <v>54898.68</v>
      </c>
      <c r="R8" s="77"/>
      <c r="S8" s="255"/>
      <c r="T8" s="77"/>
      <c r="U8" s="208"/>
      <c r="V8" s="208"/>
      <c r="W8" s="208"/>
      <c r="X8" s="208"/>
      <c r="AA8" s="79"/>
      <c r="AB8" s="79"/>
      <c r="AC8" s="60"/>
      <c r="AD8" s="60"/>
      <c r="AE8" s="60"/>
      <c r="AF8" s="60"/>
    </row>
    <row r="9" spans="1:35" x14ac:dyDescent="0.25">
      <c r="C9" s="228" t="s">
        <v>279</v>
      </c>
      <c r="D9" s="229" t="s">
        <v>256</v>
      </c>
      <c r="E9" s="90"/>
      <c r="F9" s="160">
        <f>+P26</f>
        <v>104200</v>
      </c>
      <c r="G9" s="75">
        <f>+P40</f>
        <v>0</v>
      </c>
      <c r="H9" s="75">
        <f>+P54</f>
        <v>0</v>
      </c>
      <c r="I9" s="75">
        <f>+P68</f>
        <v>0</v>
      </c>
      <c r="J9" s="75">
        <f t="shared" si="1"/>
        <v>104200</v>
      </c>
      <c r="K9" s="160">
        <f t="shared" si="2"/>
        <v>86115.7</v>
      </c>
      <c r="R9" s="77"/>
      <c r="S9" s="255"/>
      <c r="T9" s="77"/>
      <c r="U9" s="208"/>
      <c r="V9" s="208"/>
      <c r="W9" s="208"/>
      <c r="X9" s="208"/>
      <c r="AA9" s="79"/>
      <c r="AB9" s="79"/>
      <c r="AC9" s="60"/>
      <c r="AD9" s="60"/>
      <c r="AE9" s="60"/>
      <c r="AF9" s="60"/>
    </row>
    <row r="10" spans="1:35" x14ac:dyDescent="0.25">
      <c r="C10" s="228" t="s">
        <v>231</v>
      </c>
      <c r="D10" s="229" t="s">
        <v>232</v>
      </c>
      <c r="E10" s="91"/>
      <c r="F10" s="160">
        <f>+S26+T26</f>
        <v>29502.769999999997</v>
      </c>
      <c r="G10" s="75">
        <f>+S40+T40</f>
        <v>70066.37000000001</v>
      </c>
      <c r="H10" s="75">
        <f>+S54+T54</f>
        <v>60355.87000000001</v>
      </c>
      <c r="I10" s="75">
        <f>+S68+T68</f>
        <v>46332.899999999994</v>
      </c>
      <c r="J10" s="75">
        <f>SUM(F10:I10)</f>
        <v>206257.91</v>
      </c>
      <c r="K10" s="160">
        <f t="shared" si="0"/>
        <v>170461.08</v>
      </c>
      <c r="R10" s="77"/>
      <c r="S10" s="77"/>
      <c r="T10" s="77"/>
      <c r="U10" s="208"/>
      <c r="V10" s="208"/>
      <c r="W10" s="208"/>
      <c r="X10" s="208"/>
      <c r="AA10" s="60"/>
      <c r="AB10" s="60"/>
      <c r="AC10" s="60"/>
      <c r="AD10" s="60"/>
      <c r="AE10" s="60"/>
      <c r="AF10" s="60"/>
    </row>
    <row r="11" spans="1:35" x14ac:dyDescent="0.25">
      <c r="D11" s="92" t="s">
        <v>135</v>
      </c>
      <c r="E11" s="92"/>
      <c r="F11" s="97">
        <f t="shared" ref="F11:K11" si="3">SUM(F6:F10)</f>
        <v>174064.99</v>
      </c>
      <c r="G11" s="97">
        <f t="shared" si="3"/>
        <v>146396.78000000003</v>
      </c>
      <c r="H11" s="97">
        <f t="shared" si="3"/>
        <v>136686.28000000003</v>
      </c>
      <c r="I11" s="236">
        <f t="shared" si="3"/>
        <v>99032.26</v>
      </c>
      <c r="J11" s="76">
        <f t="shared" si="3"/>
        <v>556180.31000000006</v>
      </c>
      <c r="K11" s="76">
        <f t="shared" si="3"/>
        <v>459653.14</v>
      </c>
      <c r="R11" s="209"/>
      <c r="S11" s="209"/>
      <c r="T11" s="209"/>
      <c r="U11" s="209"/>
      <c r="V11" s="209"/>
      <c r="W11" s="209"/>
      <c r="X11" s="209"/>
      <c r="AA11" s="60"/>
      <c r="AB11" s="60"/>
      <c r="AC11" s="60"/>
      <c r="AD11" s="60"/>
      <c r="AE11" s="60"/>
      <c r="AF11" s="60"/>
    </row>
    <row r="12" spans="1:35" x14ac:dyDescent="0.25">
      <c r="B12" s="87"/>
      <c r="C12" s="60"/>
      <c r="D12" s="87"/>
      <c r="E12" s="87"/>
      <c r="F12" s="60"/>
      <c r="G12" s="77"/>
      <c r="I12" s="77"/>
      <c r="K12" s="133"/>
      <c r="AA12" s="60"/>
      <c r="AB12" s="60"/>
      <c r="AD12" s="60"/>
      <c r="AE12" s="60"/>
      <c r="AF12" s="60"/>
    </row>
    <row r="13" spans="1:35" ht="15.75" x14ac:dyDescent="0.25">
      <c r="A13" s="68" t="s">
        <v>282</v>
      </c>
      <c r="B13" s="68"/>
      <c r="X13" s="82"/>
      <c r="Y13" s="82"/>
      <c r="Z13" s="78"/>
      <c r="AA13" s="66"/>
      <c r="AB13" s="66"/>
      <c r="AC13" s="61"/>
      <c r="AD13" s="60"/>
      <c r="AE13" s="60"/>
      <c r="AF13" s="60"/>
    </row>
    <row r="14" spans="1:35" s="66" customFormat="1" ht="63.75" customHeight="1" x14ac:dyDescent="0.25">
      <c r="A14" s="68" t="s">
        <v>0</v>
      </c>
      <c r="B14" s="68" t="s">
        <v>144</v>
      </c>
      <c r="C14" s="68" t="s">
        <v>136</v>
      </c>
      <c r="D14" s="68" t="s">
        <v>138</v>
      </c>
      <c r="E14" s="69" t="s">
        <v>133</v>
      </c>
      <c r="F14" s="69" t="s">
        <v>108</v>
      </c>
      <c r="G14" s="69" t="s">
        <v>2</v>
      </c>
      <c r="H14" s="69" t="s">
        <v>233</v>
      </c>
      <c r="I14" s="69" t="s">
        <v>108</v>
      </c>
      <c r="J14" s="69" t="s">
        <v>15</v>
      </c>
      <c r="K14" s="69" t="s">
        <v>247</v>
      </c>
      <c r="L14" s="69" t="s">
        <v>108</v>
      </c>
      <c r="M14" s="69" t="s">
        <v>248</v>
      </c>
      <c r="N14" s="69" t="s">
        <v>267</v>
      </c>
      <c r="O14" s="69" t="s">
        <v>266</v>
      </c>
      <c r="P14" s="69" t="s">
        <v>255</v>
      </c>
      <c r="Q14" s="69" t="s">
        <v>234</v>
      </c>
      <c r="R14" s="69" t="s">
        <v>108</v>
      </c>
      <c r="S14" s="69" t="s">
        <v>235</v>
      </c>
      <c r="T14" s="69" t="s">
        <v>184</v>
      </c>
      <c r="U14" s="68" t="s">
        <v>147</v>
      </c>
      <c r="V14" s="68" t="s">
        <v>137</v>
      </c>
      <c r="W14" s="68" t="s">
        <v>196</v>
      </c>
      <c r="X14" s="69" t="s">
        <v>146</v>
      </c>
      <c r="Z14" s="80"/>
      <c r="AA14" s="80"/>
    </row>
    <row r="15" spans="1:35" s="66" customFormat="1" x14ac:dyDescent="0.25">
      <c r="A15" s="162" t="s">
        <v>190</v>
      </c>
      <c r="B15" s="162" t="s">
        <v>191</v>
      </c>
      <c r="C15" s="162" t="s">
        <v>192</v>
      </c>
      <c r="D15" s="162" t="s">
        <v>195</v>
      </c>
      <c r="E15" s="275">
        <v>12.122474747474746</v>
      </c>
      <c r="F15" s="93">
        <f>Perfils!$G$20</f>
        <v>47.52</v>
      </c>
      <c r="G15" s="94">
        <f>+ROUND(E15*F15,2)</f>
        <v>576.05999999999995</v>
      </c>
      <c r="H15" s="275">
        <v>11.910740469208211</v>
      </c>
      <c r="I15" s="95">
        <f>Perfils!$G$26</f>
        <v>54.56</v>
      </c>
      <c r="J15" s="94">
        <f>+ROUND(H15*I15,2)</f>
        <v>649.85</v>
      </c>
      <c r="K15" s="275">
        <v>0</v>
      </c>
      <c r="L15" s="264">
        <f>+Perfils!$G$32</f>
        <v>54.56</v>
      </c>
      <c r="M15" s="94">
        <f>+ROUND(K15*L15,2)</f>
        <v>0</v>
      </c>
      <c r="N15" s="275">
        <v>40</v>
      </c>
      <c r="O15" s="94">
        <f>+Perfils!D10</f>
        <v>950</v>
      </c>
      <c r="P15" s="94">
        <f t="shared" ref="P15:P16" si="4">+ROUND(N15*O15,2)</f>
        <v>38000</v>
      </c>
      <c r="Q15" s="275">
        <v>20.814793687012742</v>
      </c>
      <c r="R15" s="95">
        <f>Perfils!$G$38</f>
        <v>52.59</v>
      </c>
      <c r="S15" s="94">
        <f>+ROUND(Q15*R15,2)</f>
        <v>1094.6500000000001</v>
      </c>
      <c r="T15" s="94">
        <v>0</v>
      </c>
      <c r="U15" s="98">
        <f>+$B$2</f>
        <v>45056</v>
      </c>
      <c r="V15" s="98">
        <f>+$B$3</f>
        <v>45087</v>
      </c>
      <c r="W15" s="295">
        <v>1</v>
      </c>
      <c r="X15" s="99">
        <v>168.06</v>
      </c>
      <c r="Z15" s="208"/>
      <c r="AA15" s="208"/>
      <c r="AC15" s="250"/>
      <c r="AD15" s="208"/>
      <c r="AE15" s="253"/>
      <c r="AF15" s="208"/>
      <c r="AG15" s="208"/>
      <c r="AH15" s="250"/>
    </row>
    <row r="16" spans="1:35" s="66" customFormat="1" x14ac:dyDescent="0.25">
      <c r="A16" s="162" t="s">
        <v>193</v>
      </c>
      <c r="B16" s="162" t="s">
        <v>194</v>
      </c>
      <c r="C16" s="162" t="s">
        <v>198</v>
      </c>
      <c r="D16" s="162" t="s">
        <v>246</v>
      </c>
      <c r="E16" s="275">
        <v>22.305345117845118</v>
      </c>
      <c r="F16" s="93">
        <f>Perfils!$G$20</f>
        <v>47.52</v>
      </c>
      <c r="G16" s="94">
        <f t="shared" ref="G16:G25" si="5">+ROUND(E16*F16,2)</f>
        <v>1059.95</v>
      </c>
      <c r="H16" s="275">
        <v>25.727089442815249</v>
      </c>
      <c r="I16" s="95">
        <f>Perfils!$G$26</f>
        <v>54.56</v>
      </c>
      <c r="J16" s="94">
        <f t="shared" ref="J16:J25" si="6">+ROUND(H16*I16,2)</f>
        <v>1403.67</v>
      </c>
      <c r="K16" s="275">
        <v>0</v>
      </c>
      <c r="L16" s="264">
        <f>+Perfils!$G$32</f>
        <v>54.56</v>
      </c>
      <c r="M16" s="94">
        <f t="shared" ref="M16:M25" si="7">+ROUND(K16*L16,2)</f>
        <v>0</v>
      </c>
      <c r="N16" s="275">
        <v>40</v>
      </c>
      <c r="O16" s="94">
        <f>+Perfils!D11</f>
        <v>1050</v>
      </c>
      <c r="P16" s="94">
        <f t="shared" si="4"/>
        <v>42000</v>
      </c>
      <c r="Q16" s="275">
        <v>66.90454459022628</v>
      </c>
      <c r="R16" s="95">
        <f>Perfils!$G$38</f>
        <v>52.59</v>
      </c>
      <c r="S16" s="94">
        <f t="shared" ref="S16:S25" si="8">+ROUND(Q16*R16,2)</f>
        <v>3518.51</v>
      </c>
      <c r="T16" s="94">
        <v>0</v>
      </c>
      <c r="U16" s="98">
        <f>+$B$2</f>
        <v>45056</v>
      </c>
      <c r="V16" s="98">
        <f>+$B$3</f>
        <v>45087</v>
      </c>
      <c r="W16" s="295">
        <v>1</v>
      </c>
      <c r="X16" s="99">
        <v>433.23</v>
      </c>
      <c r="Z16" s="208"/>
      <c r="AA16" s="208"/>
      <c r="AC16" s="250"/>
      <c r="AD16" s="250"/>
      <c r="AE16" s="81"/>
      <c r="AF16" s="208"/>
      <c r="AG16" s="208"/>
      <c r="AH16" s="250"/>
      <c r="AI16" s="208"/>
    </row>
    <row r="17" spans="1:35" s="66" customFormat="1" x14ac:dyDescent="0.25">
      <c r="A17" s="162" t="s">
        <v>251</v>
      </c>
      <c r="B17" s="162" t="s">
        <v>202</v>
      </c>
      <c r="C17" s="162" t="s">
        <v>252</v>
      </c>
      <c r="D17" s="162" t="s">
        <v>244</v>
      </c>
      <c r="E17" s="275">
        <v>0</v>
      </c>
      <c r="F17" s="93">
        <f>Perfils!$G$20</f>
        <v>47.52</v>
      </c>
      <c r="G17" s="94">
        <f t="shared" si="5"/>
        <v>0</v>
      </c>
      <c r="H17" s="275">
        <v>0</v>
      </c>
      <c r="I17" s="95">
        <f>Perfils!$G$26</f>
        <v>54.56</v>
      </c>
      <c r="J17" s="94">
        <f t="shared" si="6"/>
        <v>0</v>
      </c>
      <c r="K17" s="275">
        <v>0</v>
      </c>
      <c r="L17" s="264">
        <f>+Perfils!$G$32</f>
        <v>54.56</v>
      </c>
      <c r="M17" s="94">
        <f t="shared" si="7"/>
        <v>0</v>
      </c>
      <c r="N17" s="275"/>
      <c r="O17" s="94" t="s">
        <v>237</v>
      </c>
      <c r="P17" s="94">
        <v>0</v>
      </c>
      <c r="Q17" s="275">
        <v>1.9823160296634339</v>
      </c>
      <c r="R17" s="95">
        <f>Perfils!$G$38</f>
        <v>52.59</v>
      </c>
      <c r="S17" s="94">
        <f t="shared" si="8"/>
        <v>104.25</v>
      </c>
      <c r="T17" s="94">
        <v>0</v>
      </c>
      <c r="U17" s="98">
        <f t="shared" ref="U17:U25" si="9">+$B$2</f>
        <v>45056</v>
      </c>
      <c r="V17" s="98">
        <f t="shared" ref="V17:V25" si="10">+$B$3</f>
        <v>45087</v>
      </c>
      <c r="W17" s="295">
        <v>0</v>
      </c>
      <c r="X17" s="99">
        <v>0</v>
      </c>
      <c r="Z17" s="208"/>
      <c r="AA17" s="208"/>
      <c r="AC17" s="250"/>
      <c r="AD17" s="250"/>
      <c r="AE17" s="250"/>
      <c r="AF17" s="251"/>
      <c r="AG17" s="208"/>
    </row>
    <row r="18" spans="1:35" s="66" customFormat="1" x14ac:dyDescent="0.25">
      <c r="A18" s="238" t="s">
        <v>205</v>
      </c>
      <c r="B18" s="238" t="s">
        <v>239</v>
      </c>
      <c r="C18" s="162" t="s">
        <v>238</v>
      </c>
      <c r="D18" s="162" t="s">
        <v>241</v>
      </c>
      <c r="E18" s="275">
        <v>36.367424242424242</v>
      </c>
      <c r="F18" s="93">
        <f>Perfils!$G$20</f>
        <v>47.52</v>
      </c>
      <c r="G18" s="94">
        <f t="shared" si="5"/>
        <v>1728.18</v>
      </c>
      <c r="H18" s="275">
        <v>30.967925219941346</v>
      </c>
      <c r="I18" s="95">
        <f>Perfils!$G$26</f>
        <v>54.56</v>
      </c>
      <c r="J18" s="94">
        <f t="shared" si="6"/>
        <v>1689.61</v>
      </c>
      <c r="K18" s="275">
        <v>0</v>
      </c>
      <c r="L18" s="264">
        <f>+Perfils!$G$32</f>
        <v>54.56</v>
      </c>
      <c r="M18" s="94">
        <f t="shared" si="7"/>
        <v>0</v>
      </c>
      <c r="N18" s="275"/>
      <c r="O18" s="94" t="s">
        <v>237</v>
      </c>
      <c r="P18" s="94">
        <v>0</v>
      </c>
      <c r="Q18" s="275">
        <v>61.948659440958352</v>
      </c>
      <c r="R18" s="95">
        <f>Perfils!$G$38</f>
        <v>52.59</v>
      </c>
      <c r="S18" s="94">
        <f t="shared" si="8"/>
        <v>3257.88</v>
      </c>
      <c r="T18" s="94">
        <v>0</v>
      </c>
      <c r="U18" s="98">
        <f t="shared" si="9"/>
        <v>45056</v>
      </c>
      <c r="V18" s="98">
        <f t="shared" si="10"/>
        <v>45087</v>
      </c>
      <c r="W18" s="295">
        <v>1</v>
      </c>
      <c r="X18" s="99">
        <v>483.46</v>
      </c>
      <c r="Z18" s="208"/>
      <c r="AA18" s="208"/>
      <c r="AC18" s="250"/>
      <c r="AD18" s="208"/>
      <c r="AE18" s="251"/>
    </row>
    <row r="19" spans="1:35" s="66" customFormat="1" x14ac:dyDescent="0.25">
      <c r="A19" s="238" t="s">
        <v>205</v>
      </c>
      <c r="B19" s="238" t="s">
        <v>239</v>
      </c>
      <c r="C19" s="162" t="s">
        <v>238</v>
      </c>
      <c r="D19" s="162" t="s">
        <v>242</v>
      </c>
      <c r="E19" s="275">
        <v>9.0805976430976418</v>
      </c>
      <c r="F19" s="93">
        <f>Perfils!$G$20</f>
        <v>47.52</v>
      </c>
      <c r="G19" s="94">
        <f t="shared" si="5"/>
        <v>431.51</v>
      </c>
      <c r="H19" s="275">
        <v>14.235887096774194</v>
      </c>
      <c r="I19" s="95">
        <f>Perfils!$G$26</f>
        <v>54.56</v>
      </c>
      <c r="J19" s="94">
        <f t="shared" si="6"/>
        <v>776.71</v>
      </c>
      <c r="K19" s="275">
        <v>0</v>
      </c>
      <c r="L19" s="264">
        <f>+Perfils!$G$32</f>
        <v>54.56</v>
      </c>
      <c r="M19" s="94">
        <f t="shared" si="7"/>
        <v>0</v>
      </c>
      <c r="N19" s="275"/>
      <c r="O19" s="94" t="s">
        <v>237</v>
      </c>
      <c r="P19" s="94">
        <v>0</v>
      </c>
      <c r="Q19" s="275">
        <v>4.9229891614375347</v>
      </c>
      <c r="R19" s="95">
        <f>Perfils!$G$38</f>
        <v>52.59</v>
      </c>
      <c r="S19" s="94">
        <f t="shared" si="8"/>
        <v>258.89999999999998</v>
      </c>
      <c r="T19" s="94">
        <v>0</v>
      </c>
      <c r="U19" s="98">
        <f t="shared" si="9"/>
        <v>45056</v>
      </c>
      <c r="V19" s="98">
        <f t="shared" si="10"/>
        <v>45087</v>
      </c>
      <c r="W19" s="295">
        <v>1</v>
      </c>
      <c r="X19" s="99">
        <v>106.25</v>
      </c>
      <c r="Z19" s="208"/>
      <c r="AA19" s="208"/>
      <c r="AC19" s="250"/>
      <c r="AD19" s="208"/>
      <c r="AE19" s="208"/>
    </row>
    <row r="20" spans="1:35" s="66" customFormat="1" x14ac:dyDescent="0.25">
      <c r="A20" s="162" t="s">
        <v>236</v>
      </c>
      <c r="B20" s="162" t="s">
        <v>240</v>
      </c>
      <c r="C20" s="162" t="s">
        <v>253</v>
      </c>
      <c r="D20" s="162" t="s">
        <v>243</v>
      </c>
      <c r="E20" s="275">
        <v>23.03282828282828</v>
      </c>
      <c r="F20" s="93">
        <f>Perfils!$G$20</f>
        <v>47.52</v>
      </c>
      <c r="G20" s="94">
        <f t="shared" si="5"/>
        <v>1094.52</v>
      </c>
      <c r="H20" s="275">
        <v>0</v>
      </c>
      <c r="I20" s="95">
        <f>Perfils!$G$26</f>
        <v>54.56</v>
      </c>
      <c r="J20" s="94">
        <f t="shared" si="6"/>
        <v>0</v>
      </c>
      <c r="K20" s="275">
        <v>0</v>
      </c>
      <c r="L20" s="264">
        <f>+Perfils!$G$32</f>
        <v>54.56</v>
      </c>
      <c r="M20" s="94">
        <f t="shared" si="7"/>
        <v>0</v>
      </c>
      <c r="N20" s="275"/>
      <c r="O20" s="94" t="s">
        <v>237</v>
      </c>
      <c r="P20" s="94">
        <v>0</v>
      </c>
      <c r="Q20" s="275">
        <v>23.540406921467959</v>
      </c>
      <c r="R20" s="95">
        <f>Perfils!$G$38</f>
        <v>52.59</v>
      </c>
      <c r="S20" s="94">
        <f t="shared" si="8"/>
        <v>1237.99</v>
      </c>
      <c r="T20" s="94">
        <v>0</v>
      </c>
      <c r="U20" s="98">
        <f t="shared" si="9"/>
        <v>45056</v>
      </c>
      <c r="V20" s="98">
        <f t="shared" si="10"/>
        <v>45087</v>
      </c>
      <c r="W20" s="295">
        <v>1</v>
      </c>
      <c r="X20" s="99">
        <v>168.92</v>
      </c>
      <c r="Z20" s="208"/>
      <c r="AA20" s="208"/>
      <c r="AC20" s="250"/>
      <c r="AD20" s="250"/>
      <c r="AE20" s="250"/>
    </row>
    <row r="21" spans="1:35" s="66" customFormat="1" x14ac:dyDescent="0.25">
      <c r="A21" s="212" t="s">
        <v>200</v>
      </c>
      <c r="B21" s="212" t="s">
        <v>199</v>
      </c>
      <c r="C21" s="162" t="s">
        <v>237</v>
      </c>
      <c r="D21" s="212" t="s">
        <v>237</v>
      </c>
      <c r="E21" s="275">
        <v>5.3339646464646462</v>
      </c>
      <c r="F21" s="93">
        <f>Perfils!$G$20</f>
        <v>47.52</v>
      </c>
      <c r="G21" s="94">
        <f t="shared" si="5"/>
        <v>253.47</v>
      </c>
      <c r="H21" s="275">
        <v>0</v>
      </c>
      <c r="I21" s="95">
        <f>Perfils!$G$26</f>
        <v>54.56</v>
      </c>
      <c r="J21" s="94">
        <f t="shared" si="6"/>
        <v>0</v>
      </c>
      <c r="K21" s="275">
        <v>0</v>
      </c>
      <c r="L21" s="264">
        <f>+Perfils!$G$32</f>
        <v>54.56</v>
      </c>
      <c r="M21" s="94">
        <f t="shared" si="7"/>
        <v>0</v>
      </c>
      <c r="N21" s="275"/>
      <c r="O21" s="94" t="s">
        <v>237</v>
      </c>
      <c r="P21" s="94">
        <v>0</v>
      </c>
      <c r="Q21" s="275">
        <v>1.9823160296634339</v>
      </c>
      <c r="R21" s="95">
        <f>Perfils!$G$38</f>
        <v>52.59</v>
      </c>
      <c r="S21" s="94">
        <f t="shared" si="8"/>
        <v>104.25</v>
      </c>
      <c r="T21" s="94">
        <v>6000</v>
      </c>
      <c r="U21" s="98">
        <f t="shared" si="9"/>
        <v>45056</v>
      </c>
      <c r="V21" s="98">
        <f t="shared" si="10"/>
        <v>45087</v>
      </c>
      <c r="W21" s="295">
        <v>1</v>
      </c>
      <c r="X21" s="99">
        <v>25.91</v>
      </c>
      <c r="Z21" s="208"/>
      <c r="AA21" s="208"/>
      <c r="AC21" s="250"/>
      <c r="AD21" s="208"/>
      <c r="AE21" s="208"/>
    </row>
    <row r="22" spans="1:35" s="258" customFormat="1" x14ac:dyDescent="0.25">
      <c r="A22" s="257" t="s">
        <v>206</v>
      </c>
      <c r="B22" s="212" t="s">
        <v>201</v>
      </c>
      <c r="C22" s="212"/>
      <c r="D22" s="212" t="s">
        <v>203</v>
      </c>
      <c r="E22" s="275">
        <v>0</v>
      </c>
      <c r="F22" s="93">
        <f>Perfils!$G$20</f>
        <v>47.52</v>
      </c>
      <c r="G22" s="94">
        <f t="shared" si="5"/>
        <v>0</v>
      </c>
      <c r="H22" s="275">
        <v>0</v>
      </c>
      <c r="I22" s="95">
        <f>Perfils!$G$26</f>
        <v>54.56</v>
      </c>
      <c r="J22" s="94">
        <f t="shared" si="6"/>
        <v>0</v>
      </c>
      <c r="K22" s="275">
        <v>0</v>
      </c>
      <c r="L22" s="264">
        <f>+Perfils!$G$32</f>
        <v>54.56</v>
      </c>
      <c r="M22" s="94">
        <f t="shared" si="7"/>
        <v>0</v>
      </c>
      <c r="N22" s="275">
        <v>20</v>
      </c>
      <c r="O22" s="94">
        <f>+Perfils!D12</f>
        <v>1210</v>
      </c>
      <c r="P22" s="94">
        <f>+ROUND(N22*O22,2)</f>
        <v>24200</v>
      </c>
      <c r="Q22" s="275">
        <v>250.04050199657729</v>
      </c>
      <c r="R22" s="95">
        <f>Perfils!$G$38</f>
        <v>52.59</v>
      </c>
      <c r="S22" s="94">
        <f t="shared" si="8"/>
        <v>13149.63</v>
      </c>
      <c r="T22" s="94">
        <v>0</v>
      </c>
      <c r="U22" s="98">
        <f t="shared" si="9"/>
        <v>45056</v>
      </c>
      <c r="V22" s="98">
        <f t="shared" si="10"/>
        <v>45087</v>
      </c>
      <c r="W22" s="295">
        <v>1</v>
      </c>
      <c r="X22" s="99">
        <v>1173.95</v>
      </c>
      <c r="Z22" s="259"/>
      <c r="AA22" s="259"/>
      <c r="AC22" s="82"/>
      <c r="AD22" s="82"/>
      <c r="AE22" s="82"/>
    </row>
    <row r="23" spans="1:35" s="258" customFormat="1" x14ac:dyDescent="0.25">
      <c r="A23" s="257" t="s">
        <v>206</v>
      </c>
      <c r="B23" s="257" t="s">
        <v>207</v>
      </c>
      <c r="C23" s="257" t="s">
        <v>208</v>
      </c>
      <c r="D23" s="260" t="s">
        <v>209</v>
      </c>
      <c r="E23" s="275">
        <v>27.241582491582488</v>
      </c>
      <c r="F23" s="93">
        <f>Perfils!$G$20</f>
        <v>47.52</v>
      </c>
      <c r="G23" s="94">
        <f t="shared" si="5"/>
        <v>1294.52</v>
      </c>
      <c r="H23" s="275">
        <v>42.707844574780054</v>
      </c>
      <c r="I23" s="95">
        <f>Perfils!$G$26</f>
        <v>54.56</v>
      </c>
      <c r="J23" s="94">
        <f t="shared" si="6"/>
        <v>2330.14</v>
      </c>
      <c r="K23" s="275">
        <v>0</v>
      </c>
      <c r="L23" s="264">
        <f>+Perfils!$G$32</f>
        <v>54.56</v>
      </c>
      <c r="M23" s="94">
        <f t="shared" si="7"/>
        <v>0</v>
      </c>
      <c r="N23" s="275"/>
      <c r="O23" s="94" t="s">
        <v>237</v>
      </c>
      <c r="P23" s="94">
        <v>0</v>
      </c>
      <c r="Q23" s="275">
        <v>14.769157634531279</v>
      </c>
      <c r="R23" s="95">
        <f>Perfils!$G$38</f>
        <v>52.59</v>
      </c>
      <c r="S23" s="94">
        <f t="shared" si="8"/>
        <v>776.71</v>
      </c>
      <c r="T23" s="94">
        <v>0</v>
      </c>
      <c r="U23" s="98">
        <f t="shared" si="9"/>
        <v>45056</v>
      </c>
      <c r="V23" s="98">
        <f t="shared" si="10"/>
        <v>45087</v>
      </c>
      <c r="W23" s="295">
        <v>1</v>
      </c>
      <c r="X23" s="99">
        <v>318.75</v>
      </c>
      <c r="Z23" s="259"/>
      <c r="AA23" s="259"/>
      <c r="AC23" s="82"/>
      <c r="AD23" s="82"/>
      <c r="AE23" s="82"/>
    </row>
    <row r="24" spans="1:35" s="258" customFormat="1" x14ac:dyDescent="0.25">
      <c r="A24" s="257" t="s">
        <v>206</v>
      </c>
      <c r="B24" s="212" t="s">
        <v>201</v>
      </c>
      <c r="C24" s="212"/>
      <c r="D24" s="212" t="s">
        <v>204</v>
      </c>
      <c r="E24" s="275">
        <v>0</v>
      </c>
      <c r="F24" s="93">
        <f>Perfils!$G$20</f>
        <v>47.52</v>
      </c>
      <c r="G24" s="94">
        <f t="shared" si="5"/>
        <v>0</v>
      </c>
      <c r="H24" s="275">
        <v>111.23643695014661</v>
      </c>
      <c r="I24" s="95">
        <f>Perfils!$G$26</f>
        <v>54.56</v>
      </c>
      <c r="J24" s="94">
        <f t="shared" si="6"/>
        <v>6069.06</v>
      </c>
      <c r="K24" s="275">
        <v>0</v>
      </c>
      <c r="L24" s="264">
        <f>+Perfils!$G$32</f>
        <v>54.56</v>
      </c>
      <c r="M24" s="94">
        <f t="shared" si="7"/>
        <v>0</v>
      </c>
      <c r="N24" s="275"/>
      <c r="O24" s="94" t="s">
        <v>237</v>
      </c>
      <c r="P24" s="94">
        <v>0</v>
      </c>
      <c r="Q24" s="275">
        <v>0</v>
      </c>
      <c r="R24" s="95">
        <f>Perfils!$G$38</f>
        <v>52.59</v>
      </c>
      <c r="S24" s="94">
        <f t="shared" si="8"/>
        <v>0</v>
      </c>
      <c r="T24" s="94">
        <v>0</v>
      </c>
      <c r="U24" s="98">
        <f t="shared" si="9"/>
        <v>45056</v>
      </c>
      <c r="V24" s="98">
        <f t="shared" si="10"/>
        <v>45087</v>
      </c>
      <c r="W24" s="295">
        <v>1</v>
      </c>
      <c r="X24" s="99">
        <v>126.44</v>
      </c>
      <c r="Z24" s="259"/>
      <c r="AA24" s="259"/>
      <c r="AC24" s="82"/>
      <c r="AD24" s="82"/>
      <c r="AE24" s="82"/>
    </row>
    <row r="25" spans="1:35" s="61" customFormat="1" x14ac:dyDescent="0.25">
      <c r="A25" s="261" t="s">
        <v>254</v>
      </c>
      <c r="B25" s="262" t="s">
        <v>250</v>
      </c>
      <c r="C25" s="263" t="s">
        <v>237</v>
      </c>
      <c r="D25" s="262" t="s">
        <v>237</v>
      </c>
      <c r="E25" s="275">
        <v>0</v>
      </c>
      <c r="F25" s="95">
        <f>Perfils!$G$20</f>
        <v>47.52</v>
      </c>
      <c r="G25" s="94">
        <f t="shared" si="5"/>
        <v>0</v>
      </c>
      <c r="H25" s="275">
        <v>55.07642961876833</v>
      </c>
      <c r="I25" s="95">
        <f>Perfils!$G$26</f>
        <v>54.56</v>
      </c>
      <c r="J25" s="94">
        <f t="shared" si="6"/>
        <v>3004.97</v>
      </c>
      <c r="K25" s="275">
        <v>329.91202346041052</v>
      </c>
      <c r="L25" s="264">
        <f>+Perfils!$G$32</f>
        <v>54.56</v>
      </c>
      <c r="M25" s="94">
        <f t="shared" si="7"/>
        <v>18000</v>
      </c>
      <c r="N25" s="275"/>
      <c r="O25" s="94" t="s">
        <v>237</v>
      </c>
      <c r="P25" s="94">
        <v>0</v>
      </c>
      <c r="Q25" s="275">
        <v>0</v>
      </c>
      <c r="R25" s="95">
        <f>Perfils!$G$38</f>
        <v>52.59</v>
      </c>
      <c r="S25" s="94">
        <f t="shared" si="8"/>
        <v>0</v>
      </c>
      <c r="T25" s="94">
        <v>0</v>
      </c>
      <c r="U25" s="98">
        <f t="shared" si="9"/>
        <v>45056</v>
      </c>
      <c r="V25" s="98">
        <f t="shared" si="10"/>
        <v>45087</v>
      </c>
      <c r="W25" s="295">
        <v>0</v>
      </c>
      <c r="X25" s="99">
        <v>0</v>
      </c>
      <c r="Z25" s="259"/>
      <c r="AA25" s="259"/>
      <c r="AB25" s="252"/>
      <c r="AC25" s="82"/>
      <c r="AD25" s="82"/>
      <c r="AE25" s="82"/>
      <c r="AF25" s="252"/>
      <c r="AG25" s="252"/>
      <c r="AH25" s="252"/>
      <c r="AI25" s="252"/>
    </row>
    <row r="26" spans="1:35" s="66" customFormat="1" ht="15.75" x14ac:dyDescent="0.25">
      <c r="A26" s="214" t="s">
        <v>210</v>
      </c>
      <c r="B26" s="147"/>
      <c r="C26" s="213"/>
      <c r="D26" s="146"/>
      <c r="E26" s="276">
        <f>SUM(E15:E25)</f>
        <v>135.48421717171718</v>
      </c>
      <c r="F26" s="144"/>
      <c r="G26" s="145">
        <f>SUM(G15:G25)</f>
        <v>6438.2099999999991</v>
      </c>
      <c r="H26" s="276">
        <f>SUM(H15:H25)</f>
        <v>291.86235337243397</v>
      </c>
      <c r="I26" s="144"/>
      <c r="J26" s="145">
        <f>SUM(J15:J25)</f>
        <v>15924.01</v>
      </c>
      <c r="K26" s="276">
        <f>SUM(K15:K25)</f>
        <v>329.91202346041052</v>
      </c>
      <c r="L26" s="144"/>
      <c r="M26" s="145">
        <f>SUM(M15:M25)</f>
        <v>18000</v>
      </c>
      <c r="N26" s="276">
        <f>SUM(N15:N25)</f>
        <v>100</v>
      </c>
      <c r="O26" s="144"/>
      <c r="P26" s="145">
        <f>SUM(P15:P25)</f>
        <v>104200</v>
      </c>
      <c r="Q26" s="276">
        <f>SUM(Q15:Q25)</f>
        <v>446.90568549153829</v>
      </c>
      <c r="R26" s="144"/>
      <c r="S26" s="145">
        <f>SUM(S15:S25)</f>
        <v>23502.769999999997</v>
      </c>
      <c r="T26" s="145">
        <f>SUM(T15:T25)</f>
        <v>6000</v>
      </c>
      <c r="U26" s="144"/>
      <c r="V26" s="144"/>
      <c r="W26" s="144"/>
      <c r="X26" s="145">
        <f>SUM(X15:X25)</f>
        <v>3004.9700000000003</v>
      </c>
      <c r="Z26" s="208"/>
      <c r="AA26" s="208"/>
    </row>
    <row r="27" spans="1:35" s="235" customFormat="1" ht="15.75" x14ac:dyDescent="0.25">
      <c r="A27" s="230"/>
      <c r="B27" s="231"/>
      <c r="C27" s="232"/>
      <c r="D27" s="231"/>
      <c r="E27" s="233"/>
      <c r="F27" s="233"/>
      <c r="G27" s="234"/>
      <c r="H27" s="233"/>
      <c r="I27" s="233"/>
      <c r="J27" s="234"/>
      <c r="K27" s="234"/>
      <c r="L27" s="234"/>
      <c r="M27" s="234"/>
      <c r="N27" s="234"/>
      <c r="O27" s="234"/>
      <c r="P27" s="234"/>
      <c r="Q27" s="233"/>
      <c r="R27" s="233"/>
      <c r="S27" s="234"/>
      <c r="T27" s="234"/>
      <c r="U27" s="233"/>
      <c r="V27" s="233"/>
      <c r="W27" s="233"/>
      <c r="X27" s="234"/>
    </row>
    <row r="28" spans="1:35" s="66" customFormat="1" ht="60.75" customHeight="1" x14ac:dyDescent="0.25">
      <c r="A28" s="68" t="s">
        <v>0</v>
      </c>
      <c r="B28" s="68" t="s">
        <v>144</v>
      </c>
      <c r="C28" s="68" t="s">
        <v>136</v>
      </c>
      <c r="D28" s="68" t="s">
        <v>138</v>
      </c>
      <c r="E28" s="69" t="s">
        <v>133</v>
      </c>
      <c r="F28" s="69" t="s">
        <v>108</v>
      </c>
      <c r="G28" s="69" t="s">
        <v>2</v>
      </c>
      <c r="H28" s="69" t="s">
        <v>233</v>
      </c>
      <c r="I28" s="69" t="s">
        <v>108</v>
      </c>
      <c r="J28" s="69" t="s">
        <v>15</v>
      </c>
      <c r="K28" s="69" t="s">
        <v>247</v>
      </c>
      <c r="L28" s="69" t="s">
        <v>108</v>
      </c>
      <c r="M28" s="69" t="s">
        <v>248</v>
      </c>
      <c r="N28" s="69" t="s">
        <v>267</v>
      </c>
      <c r="O28" s="69" t="s">
        <v>266</v>
      </c>
      <c r="P28" s="69" t="s">
        <v>255</v>
      </c>
      <c r="Q28" s="69" t="s">
        <v>234</v>
      </c>
      <c r="R28" s="69" t="s">
        <v>108</v>
      </c>
      <c r="S28" s="69" t="s">
        <v>235</v>
      </c>
      <c r="T28" s="69" t="s">
        <v>184</v>
      </c>
      <c r="U28" s="233"/>
      <c r="V28" s="233"/>
      <c r="W28" s="233"/>
      <c r="X28" s="234"/>
      <c r="Z28" s="80"/>
      <c r="AA28" s="80"/>
    </row>
    <row r="29" spans="1:35" s="66" customFormat="1" x14ac:dyDescent="0.25">
      <c r="A29" s="162" t="s">
        <v>190</v>
      </c>
      <c r="B29" s="162" t="s">
        <v>191</v>
      </c>
      <c r="C29" s="162" t="s">
        <v>192</v>
      </c>
      <c r="D29" s="162" t="s">
        <v>195</v>
      </c>
      <c r="E29" s="275">
        <v>42.140151515151516</v>
      </c>
      <c r="F29" s="93">
        <f>Perfils!$G$20</f>
        <v>47.52</v>
      </c>
      <c r="G29" s="94">
        <f>+ROUND(E29*F29,2)</f>
        <v>2002.5</v>
      </c>
      <c r="H29" s="275">
        <v>41.40395894428152</v>
      </c>
      <c r="I29" s="95">
        <f>Perfils!$G$26</f>
        <v>54.56</v>
      </c>
      <c r="J29" s="94">
        <f>+ROUND(H29*I29,2)</f>
        <v>2259</v>
      </c>
      <c r="K29" s="275">
        <v>0</v>
      </c>
      <c r="L29" s="264">
        <f>+Perfils!$G$32</f>
        <v>54.56</v>
      </c>
      <c r="M29" s="94">
        <f>+ROUND(K29*L29,2)</f>
        <v>0</v>
      </c>
      <c r="N29" s="163">
        <v>0</v>
      </c>
      <c r="O29" s="94" t="s">
        <v>237</v>
      </c>
      <c r="P29" s="94">
        <v>0</v>
      </c>
      <c r="Q29" s="275">
        <v>72.355961209355385</v>
      </c>
      <c r="R29" s="95">
        <f>Perfils!$G$38</f>
        <v>52.59</v>
      </c>
      <c r="S29" s="94">
        <f>+ROUND(Q29*R29,2)</f>
        <v>3805.2</v>
      </c>
      <c r="T29" s="94">
        <v>0</v>
      </c>
      <c r="U29" s="233"/>
      <c r="V29" s="233"/>
      <c r="W29" s="233"/>
      <c r="X29" s="234"/>
      <c r="Z29" s="80"/>
    </row>
    <row r="30" spans="1:35" s="66" customFormat="1" x14ac:dyDescent="0.25">
      <c r="A30" s="162" t="s">
        <v>193</v>
      </c>
      <c r="B30" s="162" t="s">
        <v>194</v>
      </c>
      <c r="C30" s="162" t="s">
        <v>198</v>
      </c>
      <c r="D30" s="162" t="s">
        <v>246</v>
      </c>
      <c r="E30" s="275">
        <v>77.537878787878782</v>
      </c>
      <c r="F30" s="93">
        <f>Perfils!$G$20</f>
        <v>47.52</v>
      </c>
      <c r="G30" s="94">
        <f t="shared" ref="G30:G39" si="11">+ROUND(E30*F30,2)</f>
        <v>3684.6</v>
      </c>
      <c r="H30" s="275">
        <v>89.432551319648084</v>
      </c>
      <c r="I30" s="95">
        <f>Perfils!$G$26</f>
        <v>54.56</v>
      </c>
      <c r="J30" s="94">
        <f t="shared" ref="J30:J39" si="12">+ROUND(H30*I30,2)</f>
        <v>4879.4399999999996</v>
      </c>
      <c r="K30" s="275">
        <v>0</v>
      </c>
      <c r="L30" s="264">
        <f>+Perfils!$G$32</f>
        <v>54.56</v>
      </c>
      <c r="M30" s="94">
        <f t="shared" ref="M30:M39" si="13">+ROUND(K30*L30,2)</f>
        <v>0</v>
      </c>
      <c r="N30" s="163">
        <v>0</v>
      </c>
      <c r="O30" s="94" t="s">
        <v>237</v>
      </c>
      <c r="P30" s="94">
        <v>0</v>
      </c>
      <c r="Q30" s="275">
        <v>232.57273245864232</v>
      </c>
      <c r="R30" s="95">
        <f>Perfils!$G$38</f>
        <v>52.59</v>
      </c>
      <c r="S30" s="94">
        <f t="shared" ref="S30:S39" si="14">+ROUND(Q30*R30,2)</f>
        <v>12231</v>
      </c>
      <c r="T30" s="94">
        <v>0</v>
      </c>
      <c r="U30" s="233"/>
      <c r="V30" s="233"/>
      <c r="W30" s="233"/>
      <c r="X30" s="234"/>
    </row>
    <row r="31" spans="1:35" s="66" customFormat="1" x14ac:dyDescent="0.25">
      <c r="A31" s="162"/>
      <c r="B31" s="162" t="s">
        <v>202</v>
      </c>
      <c r="C31" s="162"/>
      <c r="D31" s="162" t="s">
        <v>244</v>
      </c>
      <c r="E31" s="275">
        <v>0</v>
      </c>
      <c r="F31" s="93">
        <f>Perfils!$G$20</f>
        <v>47.52</v>
      </c>
      <c r="G31" s="94">
        <f t="shared" si="11"/>
        <v>0</v>
      </c>
      <c r="H31" s="275">
        <v>0</v>
      </c>
      <c r="I31" s="95">
        <f>Perfils!$G$26</f>
        <v>54.56</v>
      </c>
      <c r="J31" s="94">
        <f t="shared" si="12"/>
        <v>0</v>
      </c>
      <c r="K31" s="275">
        <v>0</v>
      </c>
      <c r="L31" s="264">
        <f>+Perfils!$G$32</f>
        <v>54.56</v>
      </c>
      <c r="M31" s="94">
        <f t="shared" si="13"/>
        <v>0</v>
      </c>
      <c r="N31" s="163">
        <v>0</v>
      </c>
      <c r="O31" s="94" t="s">
        <v>237</v>
      </c>
      <c r="P31" s="94">
        <v>0</v>
      </c>
      <c r="Q31" s="275">
        <v>6.8910439247005124</v>
      </c>
      <c r="R31" s="95">
        <f>Perfils!$G$38</f>
        <v>52.59</v>
      </c>
      <c r="S31" s="94">
        <f t="shared" si="14"/>
        <v>362.4</v>
      </c>
      <c r="T31" s="94">
        <v>9060.48</v>
      </c>
      <c r="U31" s="233"/>
      <c r="V31" s="233"/>
      <c r="W31" s="233"/>
      <c r="X31" s="234"/>
    </row>
    <row r="32" spans="1:35" s="66" customFormat="1" x14ac:dyDescent="0.25">
      <c r="A32" s="238" t="s">
        <v>205</v>
      </c>
      <c r="B32" s="238" t="s">
        <v>239</v>
      </c>
      <c r="C32" s="162" t="s">
        <v>238</v>
      </c>
      <c r="D32" s="162" t="s">
        <v>241</v>
      </c>
      <c r="E32" s="275">
        <v>126.42045454545453</v>
      </c>
      <c r="F32" s="93">
        <f>Perfils!$G$20</f>
        <v>47.52</v>
      </c>
      <c r="G32" s="94">
        <f t="shared" si="11"/>
        <v>6007.5</v>
      </c>
      <c r="H32" s="275">
        <v>107.65029325513196</v>
      </c>
      <c r="I32" s="95">
        <f>Perfils!$G$26</f>
        <v>54.56</v>
      </c>
      <c r="J32" s="94">
        <f t="shared" si="12"/>
        <v>5873.4</v>
      </c>
      <c r="K32" s="275">
        <v>0</v>
      </c>
      <c r="L32" s="264">
        <f>+Perfils!$G$32</f>
        <v>54.56</v>
      </c>
      <c r="M32" s="94">
        <f t="shared" si="13"/>
        <v>0</v>
      </c>
      <c r="N32" s="163">
        <v>0</v>
      </c>
      <c r="O32" s="94" t="s">
        <v>237</v>
      </c>
      <c r="P32" s="94">
        <v>0</v>
      </c>
      <c r="Q32" s="275">
        <v>215.34512264689104</v>
      </c>
      <c r="R32" s="95">
        <f>Perfils!$G$38</f>
        <v>52.59</v>
      </c>
      <c r="S32" s="94">
        <f t="shared" si="14"/>
        <v>11325</v>
      </c>
      <c r="T32" s="94">
        <v>0</v>
      </c>
      <c r="U32" s="233"/>
      <c r="V32" s="233"/>
      <c r="W32" s="233"/>
      <c r="X32" s="234"/>
    </row>
    <row r="33" spans="1:35" s="66" customFormat="1" x14ac:dyDescent="0.25">
      <c r="A33" s="238" t="s">
        <v>205</v>
      </c>
      <c r="B33" s="238" t="s">
        <v>239</v>
      </c>
      <c r="C33" s="162" t="s">
        <v>238</v>
      </c>
      <c r="D33" s="162" t="s">
        <v>242</v>
      </c>
      <c r="E33" s="275">
        <v>31.565656565656564</v>
      </c>
      <c r="F33" s="93">
        <f>Perfils!$G$20</f>
        <v>47.52</v>
      </c>
      <c r="G33" s="94">
        <f t="shared" si="11"/>
        <v>1500</v>
      </c>
      <c r="H33" s="275">
        <v>49.486803519061581</v>
      </c>
      <c r="I33" s="95">
        <f>Perfils!$G$26</f>
        <v>54.56</v>
      </c>
      <c r="J33" s="94">
        <f t="shared" si="12"/>
        <v>2700</v>
      </c>
      <c r="K33" s="275">
        <v>0</v>
      </c>
      <c r="L33" s="264">
        <f>+Perfils!$G$32</f>
        <v>54.56</v>
      </c>
      <c r="M33" s="94">
        <f t="shared" si="13"/>
        <v>0</v>
      </c>
      <c r="N33" s="163">
        <v>0</v>
      </c>
      <c r="O33" s="94" t="s">
        <v>237</v>
      </c>
      <c r="P33" s="94">
        <v>0</v>
      </c>
      <c r="Q33" s="275">
        <v>17.113519680547633</v>
      </c>
      <c r="R33" s="95">
        <f>Perfils!$G$38</f>
        <v>52.59</v>
      </c>
      <c r="S33" s="94">
        <f t="shared" si="14"/>
        <v>900</v>
      </c>
      <c r="T33" s="94">
        <v>0</v>
      </c>
      <c r="U33" s="233"/>
      <c r="V33" s="233"/>
      <c r="W33" s="233"/>
      <c r="X33" s="234"/>
    </row>
    <row r="34" spans="1:35" s="66" customFormat="1" x14ac:dyDescent="0.25">
      <c r="A34" s="162" t="s">
        <v>236</v>
      </c>
      <c r="B34" s="162" t="s">
        <v>240</v>
      </c>
      <c r="C34" s="162" t="s">
        <v>237</v>
      </c>
      <c r="D34" s="162" t="s">
        <v>243</v>
      </c>
      <c r="E34" s="275">
        <v>80.066287878787875</v>
      </c>
      <c r="F34" s="93">
        <f>Perfils!$G$20</f>
        <v>47.52</v>
      </c>
      <c r="G34" s="94">
        <f t="shared" si="11"/>
        <v>3804.75</v>
      </c>
      <c r="H34" s="275">
        <v>0</v>
      </c>
      <c r="I34" s="95">
        <f>Perfils!$G$26</f>
        <v>54.56</v>
      </c>
      <c r="J34" s="94">
        <f t="shared" si="12"/>
        <v>0</v>
      </c>
      <c r="K34" s="275">
        <v>0</v>
      </c>
      <c r="L34" s="264">
        <f>+Perfils!$G$32</f>
        <v>54.56</v>
      </c>
      <c r="M34" s="94">
        <f t="shared" si="13"/>
        <v>0</v>
      </c>
      <c r="N34" s="163">
        <v>0</v>
      </c>
      <c r="O34" s="94" t="s">
        <v>237</v>
      </c>
      <c r="P34" s="94">
        <v>0</v>
      </c>
      <c r="Q34" s="275">
        <v>81.831146605818589</v>
      </c>
      <c r="R34" s="95">
        <f>Perfils!$G$38</f>
        <v>52.59</v>
      </c>
      <c r="S34" s="94">
        <f t="shared" si="14"/>
        <v>4303.5</v>
      </c>
      <c r="T34" s="94">
        <v>0</v>
      </c>
      <c r="U34" s="233"/>
      <c r="V34" s="233"/>
      <c r="W34" s="233"/>
      <c r="X34" s="234"/>
    </row>
    <row r="35" spans="1:35" s="66" customFormat="1" x14ac:dyDescent="0.25">
      <c r="A35" s="212" t="s">
        <v>200</v>
      </c>
      <c r="B35" s="212" t="s">
        <v>199</v>
      </c>
      <c r="C35" s="162"/>
      <c r="D35" s="212"/>
      <c r="E35" s="275">
        <v>18.541666666666664</v>
      </c>
      <c r="F35" s="93">
        <f>Perfils!$G$20</f>
        <v>47.52</v>
      </c>
      <c r="G35" s="94">
        <f t="shared" si="11"/>
        <v>881.1</v>
      </c>
      <c r="H35" s="275">
        <v>0</v>
      </c>
      <c r="I35" s="95">
        <f>Perfils!$G$26</f>
        <v>54.56</v>
      </c>
      <c r="J35" s="94">
        <f t="shared" si="12"/>
        <v>0</v>
      </c>
      <c r="K35" s="275">
        <v>0</v>
      </c>
      <c r="L35" s="264">
        <f>+Perfils!$G$32</f>
        <v>54.56</v>
      </c>
      <c r="M35" s="94">
        <f t="shared" si="13"/>
        <v>0</v>
      </c>
      <c r="N35" s="163">
        <v>0</v>
      </c>
      <c r="O35" s="94" t="s">
        <v>237</v>
      </c>
      <c r="P35" s="94">
        <v>0</v>
      </c>
      <c r="Q35" s="275">
        <v>6.8910439247005124</v>
      </c>
      <c r="R35" s="95">
        <f>Perfils!$G$38</f>
        <v>52.59</v>
      </c>
      <c r="S35" s="94">
        <f t="shared" si="14"/>
        <v>362.4</v>
      </c>
      <c r="T35" s="94">
        <v>6000</v>
      </c>
      <c r="U35" s="233"/>
      <c r="V35" s="233"/>
      <c r="W35" s="233"/>
      <c r="X35" s="234"/>
    </row>
    <row r="36" spans="1:35" s="258" customFormat="1" x14ac:dyDescent="0.25">
      <c r="A36" s="257" t="s">
        <v>206</v>
      </c>
      <c r="B36" s="212" t="s">
        <v>201</v>
      </c>
      <c r="C36" s="212"/>
      <c r="D36" s="212" t="s">
        <v>203</v>
      </c>
      <c r="E36" s="275">
        <v>0</v>
      </c>
      <c r="F36" s="93">
        <f>Perfils!$G$20</f>
        <v>47.52</v>
      </c>
      <c r="G36" s="94">
        <f t="shared" si="11"/>
        <v>0</v>
      </c>
      <c r="H36" s="275">
        <v>0</v>
      </c>
      <c r="I36" s="95">
        <f>Perfils!$G$26</f>
        <v>54.56</v>
      </c>
      <c r="J36" s="94">
        <f t="shared" si="12"/>
        <v>0</v>
      </c>
      <c r="K36" s="275">
        <v>0</v>
      </c>
      <c r="L36" s="264">
        <f>+Perfils!$G$32</f>
        <v>54.56</v>
      </c>
      <c r="M36" s="94">
        <f t="shared" si="13"/>
        <v>0</v>
      </c>
      <c r="N36" s="163">
        <v>0</v>
      </c>
      <c r="O36" s="94" t="s">
        <v>237</v>
      </c>
      <c r="P36" s="94">
        <v>0</v>
      </c>
      <c r="Q36" s="275">
        <v>361.59707168663243</v>
      </c>
      <c r="R36" s="95">
        <f>Perfils!$G$38</f>
        <v>52.59</v>
      </c>
      <c r="S36" s="94">
        <f t="shared" si="14"/>
        <v>19016.39</v>
      </c>
      <c r="T36" s="94">
        <v>0</v>
      </c>
      <c r="U36" s="233"/>
      <c r="V36" s="233"/>
      <c r="W36" s="233"/>
      <c r="X36" s="234"/>
    </row>
    <row r="37" spans="1:35" s="258" customFormat="1" x14ac:dyDescent="0.25">
      <c r="A37" s="257" t="s">
        <v>206</v>
      </c>
      <c r="B37" s="257" t="s">
        <v>207</v>
      </c>
      <c r="C37" s="257" t="s">
        <v>208</v>
      </c>
      <c r="D37" s="260" t="s">
        <v>209</v>
      </c>
      <c r="E37" s="275">
        <v>94.696969696969688</v>
      </c>
      <c r="F37" s="93">
        <f>Perfils!$G$20</f>
        <v>47.52</v>
      </c>
      <c r="G37" s="94">
        <f t="shared" si="11"/>
        <v>4500</v>
      </c>
      <c r="H37" s="275">
        <v>148.46041055718476</v>
      </c>
      <c r="I37" s="95">
        <f>Perfils!$G$26</f>
        <v>54.56</v>
      </c>
      <c r="J37" s="94">
        <f t="shared" si="12"/>
        <v>8100</v>
      </c>
      <c r="K37" s="275">
        <v>0</v>
      </c>
      <c r="L37" s="264">
        <f>+Perfils!$G$32</f>
        <v>54.56</v>
      </c>
      <c r="M37" s="94">
        <f t="shared" si="13"/>
        <v>0</v>
      </c>
      <c r="N37" s="163">
        <v>0</v>
      </c>
      <c r="O37" s="94" t="s">
        <v>237</v>
      </c>
      <c r="P37" s="94">
        <v>0</v>
      </c>
      <c r="Q37" s="275">
        <v>51.340559041642898</v>
      </c>
      <c r="R37" s="95">
        <f>Perfils!$G$38</f>
        <v>52.59</v>
      </c>
      <c r="S37" s="94">
        <f t="shared" si="14"/>
        <v>2700</v>
      </c>
      <c r="T37" s="94">
        <v>0</v>
      </c>
      <c r="U37" s="233"/>
      <c r="V37" s="233"/>
      <c r="W37" s="233"/>
      <c r="X37" s="234"/>
    </row>
    <row r="38" spans="1:35" s="258" customFormat="1" x14ac:dyDescent="0.25">
      <c r="A38" s="257" t="s">
        <v>206</v>
      </c>
      <c r="B38" s="212" t="s">
        <v>201</v>
      </c>
      <c r="C38" s="212"/>
      <c r="D38" s="212" t="s">
        <v>204</v>
      </c>
      <c r="E38" s="275">
        <v>0</v>
      </c>
      <c r="F38" s="93">
        <f>Perfils!$G$20</f>
        <v>47.52</v>
      </c>
      <c r="G38" s="94">
        <f t="shared" si="11"/>
        <v>0</v>
      </c>
      <c r="H38" s="275">
        <v>222.47287390029322</v>
      </c>
      <c r="I38" s="95">
        <f>Perfils!$G$26</f>
        <v>54.56</v>
      </c>
      <c r="J38" s="94">
        <f t="shared" si="12"/>
        <v>12138.12</v>
      </c>
      <c r="K38" s="275">
        <v>0</v>
      </c>
      <c r="L38" s="264">
        <f>+Perfils!$G$32</f>
        <v>54.56</v>
      </c>
      <c r="M38" s="94">
        <f t="shared" si="13"/>
        <v>0</v>
      </c>
      <c r="N38" s="163">
        <v>0</v>
      </c>
      <c r="O38" s="94" t="s">
        <v>237</v>
      </c>
      <c r="P38" s="94">
        <v>0</v>
      </c>
      <c r="Q38" s="275">
        <v>0</v>
      </c>
      <c r="R38" s="95">
        <f>Perfils!$G$38</f>
        <v>52.59</v>
      </c>
      <c r="S38" s="94">
        <f t="shared" si="14"/>
        <v>0</v>
      </c>
      <c r="T38" s="94">
        <v>0</v>
      </c>
      <c r="U38" s="233"/>
      <c r="V38" s="233"/>
      <c r="W38" s="233"/>
      <c r="X38" s="234"/>
    </row>
    <row r="39" spans="1:35" s="61" customFormat="1" x14ac:dyDescent="0.25">
      <c r="A39" s="261" t="s">
        <v>254</v>
      </c>
      <c r="B39" s="262" t="s">
        <v>250</v>
      </c>
      <c r="C39" s="263" t="s">
        <v>237</v>
      </c>
      <c r="D39" s="262" t="s">
        <v>237</v>
      </c>
      <c r="E39" s="275">
        <v>0</v>
      </c>
      <c r="F39" s="93">
        <f>Perfils!$G$20</f>
        <v>47.52</v>
      </c>
      <c r="G39" s="94">
        <f t="shared" si="11"/>
        <v>0</v>
      </c>
      <c r="H39" s="275">
        <v>0</v>
      </c>
      <c r="I39" s="95">
        <f>Perfils!$G$26</f>
        <v>54.56</v>
      </c>
      <c r="J39" s="94">
        <f t="shared" si="12"/>
        <v>0</v>
      </c>
      <c r="K39" s="275">
        <v>329.91202346041052</v>
      </c>
      <c r="L39" s="264">
        <f>+Perfils!$G$32</f>
        <v>54.56</v>
      </c>
      <c r="M39" s="94">
        <f t="shared" si="13"/>
        <v>18000</v>
      </c>
      <c r="N39" s="163">
        <v>0</v>
      </c>
      <c r="O39" s="94" t="s">
        <v>237</v>
      </c>
      <c r="P39" s="94">
        <v>0</v>
      </c>
      <c r="Q39" s="275">
        <v>0</v>
      </c>
      <c r="R39" s="95">
        <f>Perfils!$G$38</f>
        <v>52.59</v>
      </c>
      <c r="S39" s="94">
        <f t="shared" si="14"/>
        <v>0</v>
      </c>
      <c r="T39" s="94">
        <v>0</v>
      </c>
      <c r="U39" s="233"/>
      <c r="V39" s="233"/>
      <c r="W39" s="233"/>
      <c r="X39" s="234"/>
      <c r="Z39" s="259"/>
      <c r="AA39" s="259"/>
      <c r="AB39" s="252"/>
      <c r="AC39" s="82"/>
      <c r="AD39" s="82"/>
      <c r="AE39" s="82"/>
      <c r="AF39" s="252"/>
      <c r="AG39" s="252"/>
      <c r="AH39" s="252"/>
      <c r="AI39" s="252"/>
    </row>
    <row r="40" spans="1:35" s="66" customFormat="1" ht="15.75" x14ac:dyDescent="0.25">
      <c r="A40" s="214" t="s">
        <v>211</v>
      </c>
      <c r="B40" s="147"/>
      <c r="C40" s="213"/>
      <c r="D40" s="146"/>
      <c r="E40" s="276">
        <f>SUM(E29:E39)</f>
        <v>470.96906565656565</v>
      </c>
      <c r="F40" s="144"/>
      <c r="G40" s="145">
        <f>SUM(G29:G39)</f>
        <v>22380.449999999997</v>
      </c>
      <c r="H40" s="144">
        <f>SUM(H29:H39)</f>
        <v>658.90689149560103</v>
      </c>
      <c r="I40" s="144"/>
      <c r="J40" s="145">
        <f>SUM(J29:J39)</f>
        <v>35949.96</v>
      </c>
      <c r="K40" s="144">
        <f>SUM(K29:K39)</f>
        <v>329.91202346041052</v>
      </c>
      <c r="L40" s="144"/>
      <c r="M40" s="145">
        <f>SUM(M29:M39)</f>
        <v>18000</v>
      </c>
      <c r="N40" s="144">
        <f>SUM(N29:N39)</f>
        <v>0</v>
      </c>
      <c r="O40" s="144"/>
      <c r="P40" s="145">
        <f>SUM(P29:P39)</f>
        <v>0</v>
      </c>
      <c r="Q40" s="144">
        <f>SUM(Q29:Q39)</f>
        <v>1045.9382011789312</v>
      </c>
      <c r="R40" s="144"/>
      <c r="S40" s="145">
        <f>SUM(S29:S39)</f>
        <v>55005.890000000007</v>
      </c>
      <c r="T40" s="145">
        <f>SUM(T29:T38)</f>
        <v>15060.48</v>
      </c>
      <c r="U40" s="233"/>
      <c r="V40" s="233"/>
      <c r="W40" s="233"/>
      <c r="X40" s="234"/>
    </row>
    <row r="41" spans="1:35" s="235" customFormat="1" ht="15.75" x14ac:dyDescent="0.25">
      <c r="A41" s="230"/>
      <c r="B41" s="231"/>
      <c r="C41" s="232"/>
      <c r="D41" s="231"/>
      <c r="E41" s="233"/>
      <c r="F41" s="233"/>
      <c r="G41" s="234"/>
      <c r="H41" s="233"/>
      <c r="I41" s="233"/>
      <c r="J41" s="234"/>
      <c r="K41" s="234"/>
      <c r="L41" s="234"/>
      <c r="M41" s="234"/>
      <c r="N41" s="234"/>
      <c r="O41" s="234"/>
      <c r="P41" s="234"/>
      <c r="Q41" s="233"/>
      <c r="R41" s="233"/>
      <c r="S41" s="234"/>
      <c r="T41" s="234"/>
      <c r="U41" s="233"/>
      <c r="V41" s="233"/>
      <c r="W41" s="233"/>
      <c r="X41" s="234"/>
    </row>
    <row r="42" spans="1:35" s="66" customFormat="1" ht="63.75" customHeight="1" x14ac:dyDescent="0.25">
      <c r="A42" s="68" t="s">
        <v>0</v>
      </c>
      <c r="B42" s="68" t="s">
        <v>144</v>
      </c>
      <c r="C42" s="68" t="s">
        <v>136</v>
      </c>
      <c r="D42" s="68" t="s">
        <v>138</v>
      </c>
      <c r="E42" s="69" t="s">
        <v>133</v>
      </c>
      <c r="F42" s="69" t="s">
        <v>108</v>
      </c>
      <c r="G42" s="69" t="s">
        <v>2</v>
      </c>
      <c r="H42" s="69" t="s">
        <v>233</v>
      </c>
      <c r="I42" s="69" t="s">
        <v>108</v>
      </c>
      <c r="J42" s="69" t="s">
        <v>15</v>
      </c>
      <c r="K42" s="69" t="s">
        <v>247</v>
      </c>
      <c r="L42" s="69" t="s">
        <v>108</v>
      </c>
      <c r="M42" s="69" t="s">
        <v>248</v>
      </c>
      <c r="N42" s="69" t="s">
        <v>267</v>
      </c>
      <c r="O42" s="69" t="s">
        <v>266</v>
      </c>
      <c r="P42" s="69" t="s">
        <v>255</v>
      </c>
      <c r="Q42" s="69" t="s">
        <v>234</v>
      </c>
      <c r="R42" s="69" t="s">
        <v>108</v>
      </c>
      <c r="S42" s="69" t="s">
        <v>235</v>
      </c>
      <c r="T42" s="69" t="s">
        <v>184</v>
      </c>
      <c r="U42" s="233"/>
      <c r="V42" s="233"/>
      <c r="W42" s="233"/>
      <c r="X42" s="234"/>
      <c r="Z42" s="80"/>
      <c r="AA42" s="80"/>
    </row>
    <row r="43" spans="1:35" s="66" customFormat="1" x14ac:dyDescent="0.25">
      <c r="A43" s="162" t="s">
        <v>190</v>
      </c>
      <c r="B43" s="162" t="s">
        <v>191</v>
      </c>
      <c r="C43" s="162" t="s">
        <v>192</v>
      </c>
      <c r="D43" s="162" t="s">
        <v>195</v>
      </c>
      <c r="E43" s="275">
        <v>42.140151515151516</v>
      </c>
      <c r="F43" s="93">
        <f>Perfils!$G$20</f>
        <v>47.52</v>
      </c>
      <c r="G43" s="94">
        <f>+ROUND(E43*F43,2)</f>
        <v>2002.5</v>
      </c>
      <c r="H43" s="275">
        <v>41.40395894428152</v>
      </c>
      <c r="I43" s="95">
        <f>Perfils!$G$26</f>
        <v>54.56</v>
      </c>
      <c r="J43" s="94">
        <f>+ROUND(H43*I43,2)</f>
        <v>2259</v>
      </c>
      <c r="K43" s="275">
        <v>0</v>
      </c>
      <c r="L43" s="264">
        <f>+Perfils!$G$32</f>
        <v>54.56</v>
      </c>
      <c r="M43" s="94">
        <f>+ROUND(K43*L43,2)</f>
        <v>0</v>
      </c>
      <c r="N43" s="163">
        <v>0</v>
      </c>
      <c r="O43" s="94" t="s">
        <v>237</v>
      </c>
      <c r="P43" s="94">
        <v>0</v>
      </c>
      <c r="Q43" s="275">
        <v>72.355961209355385</v>
      </c>
      <c r="R43" s="95">
        <f>Perfils!$G$38</f>
        <v>52.59</v>
      </c>
      <c r="S43" s="94">
        <f>+ROUND(Q43*R43,2)</f>
        <v>3805.2</v>
      </c>
      <c r="T43" s="94">
        <v>0</v>
      </c>
      <c r="U43" s="233"/>
      <c r="V43" s="233"/>
      <c r="W43" s="233"/>
      <c r="X43" s="234"/>
      <c r="Z43" s="80"/>
    </row>
    <row r="44" spans="1:35" s="66" customFormat="1" x14ac:dyDescent="0.25">
      <c r="A44" s="162" t="s">
        <v>193</v>
      </c>
      <c r="B44" s="162" t="s">
        <v>194</v>
      </c>
      <c r="C44" s="162" t="s">
        <v>198</v>
      </c>
      <c r="D44" s="162" t="s">
        <v>246</v>
      </c>
      <c r="E44" s="275">
        <v>77.537878787878782</v>
      </c>
      <c r="F44" s="93">
        <f>Perfils!$G$20</f>
        <v>47.52</v>
      </c>
      <c r="G44" s="94">
        <f t="shared" ref="G44:G53" si="15">+ROUND(E44*F44,2)</f>
        <v>3684.6</v>
      </c>
      <c r="H44" s="275">
        <v>89.432551319648084</v>
      </c>
      <c r="I44" s="95">
        <f>Perfils!$G$26</f>
        <v>54.56</v>
      </c>
      <c r="J44" s="94">
        <f t="shared" ref="J44:J53" si="16">+ROUND(H44*I44,2)</f>
        <v>4879.4399999999996</v>
      </c>
      <c r="K44" s="275">
        <v>0</v>
      </c>
      <c r="L44" s="264">
        <f>+Perfils!$G$32</f>
        <v>54.56</v>
      </c>
      <c r="M44" s="94">
        <f t="shared" ref="M44:M53" si="17">+ROUND(K44*L44,2)</f>
        <v>0</v>
      </c>
      <c r="N44" s="163">
        <v>0</v>
      </c>
      <c r="O44" s="94" t="s">
        <v>237</v>
      </c>
      <c r="P44" s="94">
        <v>0</v>
      </c>
      <c r="Q44" s="275">
        <v>232.57273245864232</v>
      </c>
      <c r="R44" s="95">
        <f>Perfils!$G$38</f>
        <v>52.59</v>
      </c>
      <c r="S44" s="94">
        <f t="shared" ref="S44:S53" si="18">+ROUND(Q44*R44,2)</f>
        <v>12231</v>
      </c>
      <c r="T44" s="94">
        <v>0</v>
      </c>
      <c r="U44" s="233"/>
      <c r="V44" s="233"/>
      <c r="W44" s="233"/>
      <c r="X44" s="234"/>
    </row>
    <row r="45" spans="1:35" s="66" customFormat="1" x14ac:dyDescent="0.25">
      <c r="A45" s="162"/>
      <c r="B45" s="162" t="s">
        <v>202</v>
      </c>
      <c r="C45" s="162"/>
      <c r="D45" s="162" t="s">
        <v>244</v>
      </c>
      <c r="E45" s="275">
        <v>0</v>
      </c>
      <c r="F45" s="93">
        <f>Perfils!$G$20</f>
        <v>47.52</v>
      </c>
      <c r="G45" s="94">
        <f t="shared" si="15"/>
        <v>0</v>
      </c>
      <c r="H45" s="275">
        <v>0</v>
      </c>
      <c r="I45" s="95">
        <f>Perfils!$G$26</f>
        <v>54.56</v>
      </c>
      <c r="J45" s="94">
        <f t="shared" si="16"/>
        <v>0</v>
      </c>
      <c r="K45" s="275">
        <v>0</v>
      </c>
      <c r="L45" s="264">
        <f>+Perfils!$G$32</f>
        <v>54.56</v>
      </c>
      <c r="M45" s="94">
        <f t="shared" si="17"/>
        <v>0</v>
      </c>
      <c r="N45" s="163">
        <v>0</v>
      </c>
      <c r="O45" s="94" t="s">
        <v>237</v>
      </c>
      <c r="P45" s="94">
        <v>0</v>
      </c>
      <c r="Q45" s="275">
        <v>6.8910439247005124</v>
      </c>
      <c r="R45" s="95">
        <f>Perfils!$G$38</f>
        <v>52.59</v>
      </c>
      <c r="S45" s="94">
        <f t="shared" si="18"/>
        <v>362.4</v>
      </c>
      <c r="T45" s="94">
        <v>9060.48</v>
      </c>
      <c r="U45" s="233"/>
      <c r="V45" s="233"/>
      <c r="W45" s="233"/>
      <c r="X45" s="234"/>
    </row>
    <row r="46" spans="1:35" s="66" customFormat="1" x14ac:dyDescent="0.25">
      <c r="A46" s="238" t="s">
        <v>205</v>
      </c>
      <c r="B46" s="238" t="s">
        <v>239</v>
      </c>
      <c r="C46" s="162" t="s">
        <v>238</v>
      </c>
      <c r="D46" s="162" t="s">
        <v>241</v>
      </c>
      <c r="E46" s="275">
        <v>126.42045454545453</v>
      </c>
      <c r="F46" s="93">
        <f>Perfils!$G$20</f>
        <v>47.52</v>
      </c>
      <c r="G46" s="94">
        <f t="shared" si="15"/>
        <v>6007.5</v>
      </c>
      <c r="H46" s="275">
        <v>107.65029325513196</v>
      </c>
      <c r="I46" s="95">
        <f>Perfils!$G$26</f>
        <v>54.56</v>
      </c>
      <c r="J46" s="94">
        <f t="shared" si="16"/>
        <v>5873.4</v>
      </c>
      <c r="K46" s="275">
        <v>0</v>
      </c>
      <c r="L46" s="264">
        <f>+Perfils!$G$32</f>
        <v>54.56</v>
      </c>
      <c r="M46" s="94">
        <f t="shared" si="17"/>
        <v>0</v>
      </c>
      <c r="N46" s="163">
        <v>0</v>
      </c>
      <c r="O46" s="94" t="s">
        <v>237</v>
      </c>
      <c r="P46" s="94">
        <v>0</v>
      </c>
      <c r="Q46" s="275">
        <v>215.34512264689104</v>
      </c>
      <c r="R46" s="95">
        <f>Perfils!$G$38</f>
        <v>52.59</v>
      </c>
      <c r="S46" s="94">
        <f t="shared" si="18"/>
        <v>11325</v>
      </c>
      <c r="T46" s="94">
        <v>0</v>
      </c>
      <c r="U46" s="233"/>
      <c r="V46" s="233"/>
      <c r="W46" s="233"/>
      <c r="X46" s="234"/>
    </row>
    <row r="47" spans="1:35" s="66" customFormat="1" x14ac:dyDescent="0.25">
      <c r="A47" s="238" t="s">
        <v>205</v>
      </c>
      <c r="B47" s="238" t="s">
        <v>239</v>
      </c>
      <c r="C47" s="162" t="s">
        <v>238</v>
      </c>
      <c r="D47" s="162" t="s">
        <v>242</v>
      </c>
      <c r="E47" s="275">
        <v>31.565656565656564</v>
      </c>
      <c r="F47" s="93">
        <f>Perfils!$G$20</f>
        <v>47.52</v>
      </c>
      <c r="G47" s="94">
        <f t="shared" si="15"/>
        <v>1500</v>
      </c>
      <c r="H47" s="275">
        <v>49.486803519061581</v>
      </c>
      <c r="I47" s="95">
        <f>Perfils!$G$26</f>
        <v>54.56</v>
      </c>
      <c r="J47" s="94">
        <f t="shared" si="16"/>
        <v>2700</v>
      </c>
      <c r="K47" s="275">
        <v>0</v>
      </c>
      <c r="L47" s="264">
        <f>+Perfils!$G$32</f>
        <v>54.56</v>
      </c>
      <c r="M47" s="94">
        <f t="shared" si="17"/>
        <v>0</v>
      </c>
      <c r="N47" s="163">
        <v>0</v>
      </c>
      <c r="O47" s="94" t="s">
        <v>237</v>
      </c>
      <c r="P47" s="94">
        <v>0</v>
      </c>
      <c r="Q47" s="275">
        <v>17.113519680547633</v>
      </c>
      <c r="R47" s="95">
        <f>Perfils!$G$38</f>
        <v>52.59</v>
      </c>
      <c r="S47" s="94">
        <f t="shared" si="18"/>
        <v>900</v>
      </c>
      <c r="T47" s="94">
        <v>0</v>
      </c>
      <c r="U47" s="233"/>
      <c r="V47" s="233"/>
      <c r="W47" s="233"/>
      <c r="X47" s="234"/>
    </row>
    <row r="48" spans="1:35" s="66" customFormat="1" x14ac:dyDescent="0.25">
      <c r="A48" s="162" t="s">
        <v>236</v>
      </c>
      <c r="B48" s="162" t="s">
        <v>240</v>
      </c>
      <c r="C48" s="162" t="s">
        <v>237</v>
      </c>
      <c r="D48" s="162" t="s">
        <v>243</v>
      </c>
      <c r="E48" s="275">
        <v>80.066287878787875</v>
      </c>
      <c r="F48" s="93">
        <f>Perfils!$G$20</f>
        <v>47.52</v>
      </c>
      <c r="G48" s="94">
        <f t="shared" si="15"/>
        <v>3804.75</v>
      </c>
      <c r="H48" s="275">
        <v>0</v>
      </c>
      <c r="I48" s="95">
        <f>Perfils!$G$26</f>
        <v>54.56</v>
      </c>
      <c r="J48" s="94">
        <f t="shared" si="16"/>
        <v>0</v>
      </c>
      <c r="K48" s="275">
        <v>0</v>
      </c>
      <c r="L48" s="264">
        <f>+Perfils!$G$32</f>
        <v>54.56</v>
      </c>
      <c r="M48" s="94">
        <f t="shared" si="17"/>
        <v>0</v>
      </c>
      <c r="N48" s="163">
        <v>0</v>
      </c>
      <c r="O48" s="94" t="s">
        <v>237</v>
      </c>
      <c r="P48" s="94">
        <v>0</v>
      </c>
      <c r="Q48" s="275">
        <v>81.831146605818589</v>
      </c>
      <c r="R48" s="95">
        <f>Perfils!$G$38</f>
        <v>52.59</v>
      </c>
      <c r="S48" s="94">
        <f t="shared" si="18"/>
        <v>4303.5</v>
      </c>
      <c r="T48" s="94">
        <v>0</v>
      </c>
      <c r="U48" s="233"/>
      <c r="V48" s="233"/>
      <c r="W48" s="233"/>
      <c r="X48" s="234"/>
    </row>
    <row r="49" spans="1:35" s="66" customFormat="1" x14ac:dyDescent="0.25">
      <c r="A49" s="212" t="s">
        <v>200</v>
      </c>
      <c r="B49" s="212" t="s">
        <v>199</v>
      </c>
      <c r="C49" s="162"/>
      <c r="D49" s="212"/>
      <c r="E49" s="275">
        <v>18.541666666666664</v>
      </c>
      <c r="F49" s="93">
        <f>Perfils!$G$20</f>
        <v>47.52</v>
      </c>
      <c r="G49" s="94">
        <f t="shared" si="15"/>
        <v>881.1</v>
      </c>
      <c r="H49" s="275">
        <v>0</v>
      </c>
      <c r="I49" s="95">
        <f>Perfils!$G$26</f>
        <v>54.56</v>
      </c>
      <c r="J49" s="94">
        <f t="shared" si="16"/>
        <v>0</v>
      </c>
      <c r="K49" s="275">
        <v>0</v>
      </c>
      <c r="L49" s="264">
        <f>+Perfils!$G$32</f>
        <v>54.56</v>
      </c>
      <c r="M49" s="94">
        <f t="shared" si="17"/>
        <v>0</v>
      </c>
      <c r="N49" s="163">
        <v>0</v>
      </c>
      <c r="O49" s="94" t="s">
        <v>237</v>
      </c>
      <c r="P49" s="94">
        <v>0</v>
      </c>
      <c r="Q49" s="275">
        <v>6.8910439247005124</v>
      </c>
      <c r="R49" s="95">
        <f>Perfils!$G$38</f>
        <v>52.59</v>
      </c>
      <c r="S49" s="94">
        <f t="shared" si="18"/>
        <v>362.4</v>
      </c>
      <c r="T49" s="94">
        <v>6000</v>
      </c>
      <c r="U49" s="233"/>
      <c r="V49" s="233"/>
      <c r="W49" s="233"/>
      <c r="X49" s="234"/>
    </row>
    <row r="50" spans="1:35" s="258" customFormat="1" x14ac:dyDescent="0.25">
      <c r="A50" s="257" t="s">
        <v>206</v>
      </c>
      <c r="B50" s="212" t="s">
        <v>201</v>
      </c>
      <c r="C50" s="212"/>
      <c r="D50" s="212" t="s">
        <v>203</v>
      </c>
      <c r="E50" s="275">
        <v>0</v>
      </c>
      <c r="F50" s="93">
        <f>Perfils!$G$20</f>
        <v>47.52</v>
      </c>
      <c r="G50" s="94">
        <f t="shared" si="15"/>
        <v>0</v>
      </c>
      <c r="H50" s="275">
        <v>0</v>
      </c>
      <c r="I50" s="95">
        <f>Perfils!$G$26</f>
        <v>54.56</v>
      </c>
      <c r="J50" s="94">
        <f t="shared" si="16"/>
        <v>0</v>
      </c>
      <c r="K50" s="275">
        <v>0</v>
      </c>
      <c r="L50" s="264">
        <f>+Perfils!$G$32</f>
        <v>54.56</v>
      </c>
      <c r="M50" s="94">
        <f t="shared" si="17"/>
        <v>0</v>
      </c>
      <c r="N50" s="163">
        <v>0</v>
      </c>
      <c r="O50" s="94" t="s">
        <v>237</v>
      </c>
      <c r="P50" s="94">
        <v>0</v>
      </c>
      <c r="Q50" s="275">
        <v>176.95170184445709</v>
      </c>
      <c r="R50" s="95">
        <f>Perfils!$G$38</f>
        <v>52.59</v>
      </c>
      <c r="S50" s="94">
        <f t="shared" si="18"/>
        <v>9305.89</v>
      </c>
      <c r="T50" s="94">
        <v>0</v>
      </c>
      <c r="U50" s="233"/>
      <c r="V50" s="233"/>
      <c r="W50" s="233"/>
      <c r="X50" s="234"/>
    </row>
    <row r="51" spans="1:35" s="258" customFormat="1" x14ac:dyDescent="0.25">
      <c r="A51" s="257" t="s">
        <v>206</v>
      </c>
      <c r="B51" s="257" t="s">
        <v>207</v>
      </c>
      <c r="C51" s="257" t="s">
        <v>208</v>
      </c>
      <c r="D51" s="260" t="s">
        <v>209</v>
      </c>
      <c r="E51" s="275">
        <v>94.696969696969688</v>
      </c>
      <c r="F51" s="93">
        <f>Perfils!$G$20</f>
        <v>47.52</v>
      </c>
      <c r="G51" s="94">
        <f t="shared" si="15"/>
        <v>4500</v>
      </c>
      <c r="H51" s="275">
        <v>148.46041055718476</v>
      </c>
      <c r="I51" s="95">
        <f>Perfils!$G$26</f>
        <v>54.56</v>
      </c>
      <c r="J51" s="94">
        <f t="shared" si="16"/>
        <v>8100</v>
      </c>
      <c r="K51" s="275">
        <v>0</v>
      </c>
      <c r="L51" s="264">
        <f>+Perfils!$G$32</f>
        <v>54.56</v>
      </c>
      <c r="M51" s="94">
        <f t="shared" si="17"/>
        <v>0</v>
      </c>
      <c r="N51" s="163">
        <v>0</v>
      </c>
      <c r="O51" s="94" t="s">
        <v>237</v>
      </c>
      <c r="P51" s="94">
        <v>0</v>
      </c>
      <c r="Q51" s="275">
        <v>51.340559041642898</v>
      </c>
      <c r="R51" s="95">
        <f>Perfils!$G$38</f>
        <v>52.59</v>
      </c>
      <c r="S51" s="94">
        <f t="shared" si="18"/>
        <v>2700</v>
      </c>
      <c r="T51" s="94">
        <v>0</v>
      </c>
      <c r="U51" s="233"/>
      <c r="V51" s="233"/>
      <c r="W51" s="233"/>
      <c r="X51" s="234"/>
    </row>
    <row r="52" spans="1:35" s="258" customFormat="1" x14ac:dyDescent="0.25">
      <c r="A52" s="257" t="s">
        <v>206</v>
      </c>
      <c r="B52" s="212" t="s">
        <v>201</v>
      </c>
      <c r="C52" s="212"/>
      <c r="D52" s="212" t="s">
        <v>204</v>
      </c>
      <c r="E52" s="275">
        <v>0</v>
      </c>
      <c r="F52" s="93">
        <f>Perfils!$G$20</f>
        <v>47.52</v>
      </c>
      <c r="G52" s="94">
        <f t="shared" si="15"/>
        <v>0</v>
      </c>
      <c r="H52" s="275">
        <v>222.47287390029322</v>
      </c>
      <c r="I52" s="95">
        <f>Perfils!$G$26</f>
        <v>54.56</v>
      </c>
      <c r="J52" s="94">
        <f t="shared" si="16"/>
        <v>12138.12</v>
      </c>
      <c r="K52" s="275">
        <v>0</v>
      </c>
      <c r="L52" s="264">
        <f>+Perfils!$G$32</f>
        <v>54.56</v>
      </c>
      <c r="M52" s="94">
        <f t="shared" si="17"/>
        <v>0</v>
      </c>
      <c r="N52" s="163">
        <v>0</v>
      </c>
      <c r="O52" s="94" t="s">
        <v>237</v>
      </c>
      <c r="P52" s="94">
        <v>0</v>
      </c>
      <c r="Q52" s="275">
        <v>0</v>
      </c>
      <c r="R52" s="95">
        <f>Perfils!$G$38</f>
        <v>52.59</v>
      </c>
      <c r="S52" s="94">
        <f t="shared" si="18"/>
        <v>0</v>
      </c>
      <c r="T52" s="94">
        <v>0</v>
      </c>
      <c r="U52" s="233"/>
      <c r="V52" s="233"/>
      <c r="W52" s="233"/>
      <c r="X52" s="234"/>
    </row>
    <row r="53" spans="1:35" s="61" customFormat="1" x14ac:dyDescent="0.25">
      <c r="A53" s="261" t="s">
        <v>254</v>
      </c>
      <c r="B53" s="262" t="s">
        <v>250</v>
      </c>
      <c r="C53" s="263" t="s">
        <v>237</v>
      </c>
      <c r="D53" s="262" t="s">
        <v>237</v>
      </c>
      <c r="E53" s="275">
        <v>0</v>
      </c>
      <c r="F53" s="93">
        <f>Perfils!$G$20</f>
        <v>47.52</v>
      </c>
      <c r="G53" s="94">
        <f t="shared" si="15"/>
        <v>0</v>
      </c>
      <c r="H53" s="275">
        <v>0</v>
      </c>
      <c r="I53" s="95">
        <f>Perfils!$G$26</f>
        <v>54.56</v>
      </c>
      <c r="J53" s="94">
        <f t="shared" si="16"/>
        <v>0</v>
      </c>
      <c r="K53" s="275">
        <v>329.91202346041052</v>
      </c>
      <c r="L53" s="264">
        <f>+Perfils!$G$32</f>
        <v>54.56</v>
      </c>
      <c r="M53" s="94">
        <f t="shared" si="17"/>
        <v>18000</v>
      </c>
      <c r="N53" s="163">
        <v>0</v>
      </c>
      <c r="O53" s="94" t="s">
        <v>237</v>
      </c>
      <c r="P53" s="94">
        <v>0</v>
      </c>
      <c r="Q53" s="275">
        <v>0</v>
      </c>
      <c r="R53" s="95">
        <f>Perfils!$G$38</f>
        <v>52.59</v>
      </c>
      <c r="S53" s="94">
        <f t="shared" si="18"/>
        <v>0</v>
      </c>
      <c r="T53" s="94">
        <v>0</v>
      </c>
      <c r="U53" s="233"/>
      <c r="V53" s="233"/>
      <c r="W53" s="233"/>
      <c r="X53" s="234"/>
      <c r="Z53" s="259"/>
      <c r="AA53" s="259"/>
      <c r="AB53" s="252"/>
      <c r="AC53" s="82"/>
      <c r="AD53" s="82"/>
      <c r="AE53" s="82"/>
      <c r="AF53" s="252"/>
      <c r="AG53" s="252"/>
      <c r="AH53" s="252"/>
      <c r="AI53" s="252"/>
    </row>
    <row r="54" spans="1:35" s="66" customFormat="1" ht="15.75" x14ac:dyDescent="0.25">
      <c r="A54" s="214" t="s">
        <v>212</v>
      </c>
      <c r="B54" s="147"/>
      <c r="C54" s="213"/>
      <c r="D54" s="146"/>
      <c r="E54" s="276">
        <f>SUM(E43:E53)</f>
        <v>470.96906565656565</v>
      </c>
      <c r="F54" s="144"/>
      <c r="G54" s="145">
        <f>SUM(G43:G53)</f>
        <v>22380.449999999997</v>
      </c>
      <c r="H54" s="144">
        <f>SUM(H43:H53)</f>
        <v>658.90689149560103</v>
      </c>
      <c r="I54" s="144"/>
      <c r="J54" s="145">
        <f>SUM(J43:J53)</f>
        <v>35949.96</v>
      </c>
      <c r="K54" s="144">
        <f>SUM(K43:K53)</f>
        <v>329.91202346041052</v>
      </c>
      <c r="L54" s="144"/>
      <c r="M54" s="145">
        <f>SUM(M43:M53)</f>
        <v>18000</v>
      </c>
      <c r="N54" s="144">
        <f>SUM(N43:N53)</f>
        <v>0</v>
      </c>
      <c r="O54" s="144"/>
      <c r="P54" s="145">
        <f>SUM(P43:P53)</f>
        <v>0</v>
      </c>
      <c r="Q54" s="144">
        <f>SUM(Q43:Q53)</f>
        <v>861.29283133675597</v>
      </c>
      <c r="R54" s="144"/>
      <c r="S54" s="145">
        <f>SUM(S43:S53)</f>
        <v>45295.390000000007</v>
      </c>
      <c r="T54" s="145">
        <f>SUM(T43:T52)</f>
        <v>15060.48</v>
      </c>
      <c r="U54" s="233"/>
      <c r="V54" s="233"/>
      <c r="W54" s="233"/>
      <c r="X54" s="234"/>
    </row>
    <row r="55" spans="1:35" x14ac:dyDescent="0.25">
      <c r="E55" s="58"/>
      <c r="F55" s="60"/>
      <c r="G55" s="60"/>
      <c r="U55" s="233"/>
      <c r="V55" s="233"/>
      <c r="W55" s="233"/>
      <c r="X55" s="234"/>
      <c r="Y55" s="61"/>
      <c r="Z55" s="61"/>
      <c r="AA55" s="78"/>
      <c r="AC55" s="61"/>
      <c r="AE55" s="60"/>
      <c r="AF55" s="60"/>
    </row>
    <row r="56" spans="1:35" s="66" customFormat="1" ht="66" customHeight="1" x14ac:dyDescent="0.25">
      <c r="A56" s="68" t="s">
        <v>0</v>
      </c>
      <c r="B56" s="68" t="s">
        <v>144</v>
      </c>
      <c r="C56" s="68" t="s">
        <v>136</v>
      </c>
      <c r="D56" s="68" t="s">
        <v>138</v>
      </c>
      <c r="E56" s="69" t="s">
        <v>133</v>
      </c>
      <c r="F56" s="69" t="s">
        <v>108</v>
      </c>
      <c r="G56" s="69" t="s">
        <v>2</v>
      </c>
      <c r="H56" s="69" t="s">
        <v>233</v>
      </c>
      <c r="I56" s="69" t="s">
        <v>108</v>
      </c>
      <c r="J56" s="69" t="s">
        <v>15</v>
      </c>
      <c r="K56" s="69" t="s">
        <v>247</v>
      </c>
      <c r="L56" s="69" t="s">
        <v>108</v>
      </c>
      <c r="M56" s="69" t="s">
        <v>248</v>
      </c>
      <c r="N56" s="69" t="s">
        <v>267</v>
      </c>
      <c r="O56" s="69" t="s">
        <v>266</v>
      </c>
      <c r="P56" s="69" t="s">
        <v>255</v>
      </c>
      <c r="Q56" s="69" t="s">
        <v>234</v>
      </c>
      <c r="R56" s="69" t="s">
        <v>108</v>
      </c>
      <c r="S56" s="69" t="s">
        <v>235</v>
      </c>
      <c r="T56" s="69" t="s">
        <v>184</v>
      </c>
      <c r="U56" s="233"/>
      <c r="V56" s="233"/>
      <c r="W56" s="233"/>
      <c r="X56" s="234"/>
      <c r="Z56" s="80"/>
      <c r="AA56" s="80"/>
    </row>
    <row r="57" spans="1:35" s="66" customFormat="1" x14ac:dyDescent="0.25">
      <c r="A57" s="162" t="s">
        <v>190</v>
      </c>
      <c r="B57" s="162" t="s">
        <v>191</v>
      </c>
      <c r="C57" s="162" t="s">
        <v>192</v>
      </c>
      <c r="D57" s="162" t="s">
        <v>195</v>
      </c>
      <c r="E57" s="275">
        <v>29.094065656565654</v>
      </c>
      <c r="F57" s="93">
        <f>Perfils!$G$20</f>
        <v>47.52</v>
      </c>
      <c r="G57" s="94">
        <f>+ROUND(E57*F57,2)</f>
        <v>1382.55</v>
      </c>
      <c r="H57" s="275">
        <v>28.585777126099707</v>
      </c>
      <c r="I57" s="95">
        <f>Perfils!$G$26</f>
        <v>54.56</v>
      </c>
      <c r="J57" s="94">
        <f>+ROUND(H57*I57,2)</f>
        <v>1559.64</v>
      </c>
      <c r="K57" s="275">
        <v>0</v>
      </c>
      <c r="L57" s="264">
        <f>+Perfils!$G$32</f>
        <v>54.56</v>
      </c>
      <c r="M57" s="94">
        <f>+ROUND(K57*L57,2)</f>
        <v>0</v>
      </c>
      <c r="N57" s="163">
        <v>0</v>
      </c>
      <c r="O57" s="94" t="s">
        <v>237</v>
      </c>
      <c r="P57" s="94">
        <v>0</v>
      </c>
      <c r="Q57" s="275">
        <v>49.9553146986119</v>
      </c>
      <c r="R57" s="95">
        <f>Perfils!$G$38</f>
        <v>52.59</v>
      </c>
      <c r="S57" s="94">
        <f>+ROUND(Q57*R57,2)</f>
        <v>2627.15</v>
      </c>
      <c r="T57" s="94">
        <v>0</v>
      </c>
      <c r="U57" s="233"/>
      <c r="V57" s="233"/>
      <c r="W57" s="233"/>
      <c r="X57" s="234"/>
      <c r="Z57" s="80"/>
    </row>
    <row r="58" spans="1:35" s="66" customFormat="1" x14ac:dyDescent="0.25">
      <c r="A58" s="162" t="s">
        <v>193</v>
      </c>
      <c r="B58" s="162" t="s">
        <v>194</v>
      </c>
      <c r="C58" s="162" t="s">
        <v>198</v>
      </c>
      <c r="D58" s="162" t="s">
        <v>246</v>
      </c>
      <c r="E58" s="275">
        <v>53.533038720538713</v>
      </c>
      <c r="F58" s="93">
        <f>Perfils!$G$20</f>
        <v>47.52</v>
      </c>
      <c r="G58" s="94">
        <f t="shared" ref="G58:G67" si="19">+ROUND(E58*F58,2)</f>
        <v>2543.89</v>
      </c>
      <c r="H58" s="275">
        <v>61.745234604105569</v>
      </c>
      <c r="I58" s="95">
        <f>Perfils!$G$26</f>
        <v>54.56</v>
      </c>
      <c r="J58" s="94">
        <f t="shared" ref="J58:J67" si="20">+ROUND(H58*I58,2)</f>
        <v>3368.82</v>
      </c>
      <c r="K58" s="275">
        <v>0</v>
      </c>
      <c r="L58" s="264">
        <f>+Perfils!$G$32</f>
        <v>54.56</v>
      </c>
      <c r="M58" s="94">
        <f t="shared" ref="M58:M67" si="21">+ROUND(K58*L58,2)</f>
        <v>0</v>
      </c>
      <c r="N58" s="163">
        <v>0</v>
      </c>
      <c r="O58" s="94" t="s">
        <v>237</v>
      </c>
      <c r="P58" s="94">
        <v>0</v>
      </c>
      <c r="Q58" s="275">
        <v>160.57083095645558</v>
      </c>
      <c r="R58" s="95">
        <f>Perfils!$G$38</f>
        <v>52.59</v>
      </c>
      <c r="S58" s="94">
        <f t="shared" ref="S58:S67" si="22">+ROUND(Q58*R58,2)</f>
        <v>8444.42</v>
      </c>
      <c r="T58" s="94">
        <v>0</v>
      </c>
      <c r="U58" s="233"/>
      <c r="V58" s="233"/>
      <c r="W58" s="233"/>
      <c r="X58" s="234"/>
    </row>
    <row r="59" spans="1:35" s="66" customFormat="1" x14ac:dyDescent="0.25">
      <c r="A59" s="162"/>
      <c r="B59" s="162" t="s">
        <v>202</v>
      </c>
      <c r="C59" s="162"/>
      <c r="D59" s="162" t="s">
        <v>244</v>
      </c>
      <c r="E59" s="275">
        <v>0</v>
      </c>
      <c r="F59" s="93">
        <f>Perfils!$G$20</f>
        <v>47.52</v>
      </c>
      <c r="G59" s="94">
        <f t="shared" si="19"/>
        <v>0</v>
      </c>
      <c r="H59" s="275">
        <v>0</v>
      </c>
      <c r="I59" s="95">
        <f>Perfils!$G$26</f>
        <v>54.56</v>
      </c>
      <c r="J59" s="94">
        <f t="shared" si="20"/>
        <v>0</v>
      </c>
      <c r="K59" s="275">
        <v>0</v>
      </c>
      <c r="L59" s="264">
        <f>+Perfils!$G$32</f>
        <v>54.56</v>
      </c>
      <c r="M59" s="94">
        <f t="shared" si="21"/>
        <v>0</v>
      </c>
      <c r="N59" s="163">
        <v>0</v>
      </c>
      <c r="O59" s="94" t="s">
        <v>237</v>
      </c>
      <c r="P59" s="94">
        <v>0</v>
      </c>
      <c r="Q59" s="275">
        <v>4.7575584711922412</v>
      </c>
      <c r="R59" s="95">
        <f>Perfils!$G$38</f>
        <v>52.59</v>
      </c>
      <c r="S59" s="94">
        <f t="shared" si="22"/>
        <v>250.2</v>
      </c>
      <c r="T59" s="94">
        <v>9060.48</v>
      </c>
      <c r="U59" s="233"/>
      <c r="V59" s="233"/>
      <c r="W59" s="233"/>
      <c r="X59" s="234"/>
    </row>
    <row r="60" spans="1:35" s="66" customFormat="1" x14ac:dyDescent="0.25">
      <c r="A60" s="238" t="s">
        <v>205</v>
      </c>
      <c r="B60" s="238" t="s">
        <v>239</v>
      </c>
      <c r="C60" s="162" t="s">
        <v>238</v>
      </c>
      <c r="D60" s="162" t="s">
        <v>241</v>
      </c>
      <c r="E60" s="275">
        <v>87.281986531986533</v>
      </c>
      <c r="F60" s="93">
        <f>Perfils!$G$20</f>
        <v>47.52</v>
      </c>
      <c r="G60" s="94">
        <f t="shared" si="19"/>
        <v>4147.6400000000003</v>
      </c>
      <c r="H60" s="275">
        <v>74.322947214076237</v>
      </c>
      <c r="I60" s="95">
        <f>Perfils!$G$26</f>
        <v>54.56</v>
      </c>
      <c r="J60" s="94">
        <f t="shared" si="20"/>
        <v>4055.06</v>
      </c>
      <c r="K60" s="275">
        <v>0</v>
      </c>
      <c r="L60" s="264">
        <f>+Perfils!$G$32</f>
        <v>54.56</v>
      </c>
      <c r="M60" s="94">
        <f t="shared" si="21"/>
        <v>0</v>
      </c>
      <c r="N60" s="163">
        <v>0</v>
      </c>
      <c r="O60" s="94" t="s">
        <v>237</v>
      </c>
      <c r="P60" s="94">
        <v>0</v>
      </c>
      <c r="Q60" s="275">
        <v>148.67655447803764</v>
      </c>
      <c r="R60" s="95">
        <f>Perfils!$G$38</f>
        <v>52.59</v>
      </c>
      <c r="S60" s="94">
        <f t="shared" si="22"/>
        <v>7818.9</v>
      </c>
      <c r="T60" s="94">
        <v>0</v>
      </c>
      <c r="U60" s="233"/>
      <c r="V60" s="233"/>
      <c r="W60" s="233"/>
      <c r="X60" s="234"/>
    </row>
    <row r="61" spans="1:35" s="66" customFormat="1" x14ac:dyDescent="0.25">
      <c r="A61" s="238" t="s">
        <v>205</v>
      </c>
      <c r="B61" s="238" t="s">
        <v>239</v>
      </c>
      <c r="C61" s="162" t="s">
        <v>238</v>
      </c>
      <c r="D61" s="162" t="s">
        <v>242</v>
      </c>
      <c r="E61" s="275">
        <v>21.793350168350166</v>
      </c>
      <c r="F61" s="93">
        <f>Perfils!$G$20</f>
        <v>47.52</v>
      </c>
      <c r="G61" s="94">
        <f t="shared" si="19"/>
        <v>1035.6199999999999</v>
      </c>
      <c r="H61" s="275">
        <v>34.166239002932549</v>
      </c>
      <c r="I61" s="95">
        <f>Perfils!$G$26</f>
        <v>54.56</v>
      </c>
      <c r="J61" s="94">
        <f t="shared" si="20"/>
        <v>1864.11</v>
      </c>
      <c r="K61" s="275">
        <v>0</v>
      </c>
      <c r="L61" s="264">
        <f>+Perfils!$G$32</f>
        <v>54.56</v>
      </c>
      <c r="M61" s="94">
        <f t="shared" si="21"/>
        <v>0</v>
      </c>
      <c r="N61" s="163">
        <v>0</v>
      </c>
      <c r="O61" s="94" t="s">
        <v>237</v>
      </c>
      <c r="P61" s="94">
        <v>0</v>
      </c>
      <c r="Q61" s="275">
        <v>11.815364137668757</v>
      </c>
      <c r="R61" s="95">
        <f>Perfils!$G$38</f>
        <v>52.59</v>
      </c>
      <c r="S61" s="94">
        <f t="shared" si="22"/>
        <v>621.37</v>
      </c>
      <c r="T61" s="94">
        <v>0</v>
      </c>
      <c r="U61" s="233"/>
      <c r="V61" s="233"/>
      <c r="W61" s="233"/>
      <c r="X61" s="234"/>
    </row>
    <row r="62" spans="1:35" s="66" customFormat="1" x14ac:dyDescent="0.25">
      <c r="A62" s="162" t="s">
        <v>236</v>
      </c>
      <c r="B62" s="162" t="s">
        <v>240</v>
      </c>
      <c r="C62" s="162" t="s">
        <v>237</v>
      </c>
      <c r="D62" s="162" t="s">
        <v>243</v>
      </c>
      <c r="E62" s="275">
        <v>55.278619528619529</v>
      </c>
      <c r="F62" s="93">
        <f>Perfils!$G$20</f>
        <v>47.52</v>
      </c>
      <c r="G62" s="94">
        <f t="shared" si="19"/>
        <v>2626.84</v>
      </c>
      <c r="H62" s="275">
        <v>0</v>
      </c>
      <c r="I62" s="95">
        <f>Perfils!$G$26</f>
        <v>54.56</v>
      </c>
      <c r="J62" s="94">
        <f t="shared" si="20"/>
        <v>0</v>
      </c>
      <c r="K62" s="275">
        <v>0</v>
      </c>
      <c r="L62" s="264">
        <f>+Perfils!$G$32</f>
        <v>54.56</v>
      </c>
      <c r="M62" s="94">
        <f t="shared" si="21"/>
        <v>0</v>
      </c>
      <c r="N62" s="163">
        <v>0</v>
      </c>
      <c r="O62" s="94" t="s">
        <v>237</v>
      </c>
      <c r="P62" s="94">
        <v>0</v>
      </c>
      <c r="Q62" s="275">
        <v>56.497052671610568</v>
      </c>
      <c r="R62" s="95">
        <f>Perfils!$G$38</f>
        <v>52.59</v>
      </c>
      <c r="S62" s="94">
        <f t="shared" si="22"/>
        <v>2971.18</v>
      </c>
      <c r="T62" s="94">
        <v>0</v>
      </c>
      <c r="U62" s="233"/>
      <c r="V62" s="233"/>
      <c r="W62" s="233"/>
      <c r="X62" s="234"/>
    </row>
    <row r="63" spans="1:35" s="66" customFormat="1" x14ac:dyDescent="0.25">
      <c r="A63" s="212" t="s">
        <v>200</v>
      </c>
      <c r="B63" s="212" t="s">
        <v>199</v>
      </c>
      <c r="C63" s="162"/>
      <c r="D63" s="212"/>
      <c r="E63" s="275">
        <v>12.801346801346801</v>
      </c>
      <c r="F63" s="93">
        <f>Perfils!$G$20</f>
        <v>47.52</v>
      </c>
      <c r="G63" s="94">
        <f t="shared" si="19"/>
        <v>608.32000000000005</v>
      </c>
      <c r="H63" s="275">
        <v>0</v>
      </c>
      <c r="I63" s="95">
        <f>Perfils!$G$26</f>
        <v>54.56</v>
      </c>
      <c r="J63" s="94">
        <f t="shared" si="20"/>
        <v>0</v>
      </c>
      <c r="K63" s="275">
        <v>0</v>
      </c>
      <c r="L63" s="264">
        <f>+Perfils!$G$32</f>
        <v>54.56</v>
      </c>
      <c r="M63" s="94">
        <f t="shared" si="21"/>
        <v>0</v>
      </c>
      <c r="N63" s="163">
        <v>0</v>
      </c>
      <c r="O63" s="94" t="s">
        <v>237</v>
      </c>
      <c r="P63" s="94">
        <v>0</v>
      </c>
      <c r="Q63" s="275">
        <v>4.7575584711922412</v>
      </c>
      <c r="R63" s="95">
        <f>Perfils!$G$38</f>
        <v>52.59</v>
      </c>
      <c r="S63" s="94">
        <f t="shared" si="22"/>
        <v>250.2</v>
      </c>
      <c r="T63" s="94">
        <v>6000</v>
      </c>
      <c r="U63" s="233"/>
      <c r="V63" s="233"/>
      <c r="W63" s="233"/>
      <c r="X63" s="234"/>
    </row>
    <row r="64" spans="1:35" s="258" customFormat="1" x14ac:dyDescent="0.25">
      <c r="A64" s="257" t="s">
        <v>206</v>
      </c>
      <c r="B64" s="212" t="s">
        <v>201</v>
      </c>
      <c r="C64" s="162"/>
      <c r="D64" s="162" t="s">
        <v>203</v>
      </c>
      <c r="E64" s="275">
        <v>0</v>
      </c>
      <c r="F64" s="93">
        <f>Perfils!$G$20</f>
        <v>47.52</v>
      </c>
      <c r="G64" s="94">
        <f t="shared" si="19"/>
        <v>0</v>
      </c>
      <c r="H64" s="275">
        <v>0</v>
      </c>
      <c r="I64" s="95">
        <f>Perfils!$G$26</f>
        <v>54.56</v>
      </c>
      <c r="J64" s="94">
        <f t="shared" si="20"/>
        <v>0</v>
      </c>
      <c r="K64" s="275">
        <v>0</v>
      </c>
      <c r="L64" s="264">
        <f>+Perfils!$G$32</f>
        <v>54.56</v>
      </c>
      <c r="M64" s="94">
        <f t="shared" si="21"/>
        <v>0</v>
      </c>
      <c r="N64" s="163">
        <v>0</v>
      </c>
      <c r="O64" s="94" t="s">
        <v>237</v>
      </c>
      <c r="P64" s="94">
        <v>0</v>
      </c>
      <c r="Q64" s="275">
        <v>122.16942384483743</v>
      </c>
      <c r="R64" s="95">
        <f>Perfils!$G$38</f>
        <v>52.59</v>
      </c>
      <c r="S64" s="94">
        <f t="shared" si="22"/>
        <v>6424.89</v>
      </c>
      <c r="T64" s="94">
        <v>0</v>
      </c>
      <c r="U64" s="233"/>
      <c r="V64" s="233"/>
      <c r="W64" s="233"/>
      <c r="X64" s="234"/>
      <c r="Z64" s="265"/>
    </row>
    <row r="65" spans="1:35" s="258" customFormat="1" x14ac:dyDescent="0.25">
      <c r="A65" s="257" t="s">
        <v>206</v>
      </c>
      <c r="B65" s="212" t="s">
        <v>207</v>
      </c>
      <c r="C65" s="162" t="s">
        <v>208</v>
      </c>
      <c r="D65" s="162" t="s">
        <v>209</v>
      </c>
      <c r="E65" s="275">
        <v>65.379840067340055</v>
      </c>
      <c r="F65" s="93">
        <f>Perfils!$G$20</f>
        <v>47.52</v>
      </c>
      <c r="G65" s="94">
        <f t="shared" si="19"/>
        <v>3106.85</v>
      </c>
      <c r="H65" s="275">
        <v>102.49871700879766</v>
      </c>
      <c r="I65" s="95">
        <f>Perfils!$G$26</f>
        <v>54.56</v>
      </c>
      <c r="J65" s="94">
        <f t="shared" si="20"/>
        <v>5592.33</v>
      </c>
      <c r="K65" s="275">
        <v>0</v>
      </c>
      <c r="L65" s="264">
        <f>+Perfils!$G$32</f>
        <v>54.56</v>
      </c>
      <c r="M65" s="94">
        <f t="shared" si="21"/>
        <v>0</v>
      </c>
      <c r="N65" s="163">
        <v>0</v>
      </c>
      <c r="O65" s="94" t="s">
        <v>237</v>
      </c>
      <c r="P65" s="94">
        <v>0</v>
      </c>
      <c r="Q65" s="275">
        <v>35.446092413006269</v>
      </c>
      <c r="R65" s="95">
        <f>Perfils!$G$38</f>
        <v>52.59</v>
      </c>
      <c r="S65" s="94">
        <f t="shared" si="22"/>
        <v>1864.11</v>
      </c>
      <c r="T65" s="94">
        <v>0</v>
      </c>
      <c r="U65" s="233"/>
      <c r="V65" s="233"/>
      <c r="W65" s="233"/>
      <c r="X65" s="234"/>
      <c r="Z65" s="265"/>
    </row>
    <row r="66" spans="1:35" s="258" customFormat="1" x14ac:dyDescent="0.25">
      <c r="A66" s="257" t="s">
        <v>206</v>
      </c>
      <c r="B66" s="212" t="s">
        <v>201</v>
      </c>
      <c r="C66" s="162"/>
      <c r="D66" s="162" t="s">
        <v>204</v>
      </c>
      <c r="E66" s="275">
        <v>0</v>
      </c>
      <c r="F66" s="93">
        <f>Perfils!$G$20</f>
        <v>47.52</v>
      </c>
      <c r="G66" s="94">
        <f t="shared" si="19"/>
        <v>0</v>
      </c>
      <c r="H66" s="275">
        <v>153.59769061583577</v>
      </c>
      <c r="I66" s="95">
        <f>Perfils!$G$26</f>
        <v>54.56</v>
      </c>
      <c r="J66" s="94">
        <f t="shared" si="20"/>
        <v>8380.2900000000009</v>
      </c>
      <c r="K66" s="275">
        <v>0</v>
      </c>
      <c r="L66" s="264">
        <f>+Perfils!$G$32</f>
        <v>54.56</v>
      </c>
      <c r="M66" s="94">
        <f t="shared" si="21"/>
        <v>0</v>
      </c>
      <c r="N66" s="163">
        <v>0</v>
      </c>
      <c r="O66" s="94" t="s">
        <v>237</v>
      </c>
      <c r="P66" s="94">
        <v>0</v>
      </c>
      <c r="Q66" s="275">
        <v>0</v>
      </c>
      <c r="R66" s="95">
        <f>Perfils!$G$38</f>
        <v>52.59</v>
      </c>
      <c r="S66" s="94">
        <f t="shared" si="22"/>
        <v>0</v>
      </c>
      <c r="T66" s="94">
        <v>0</v>
      </c>
      <c r="U66" s="233"/>
      <c r="V66" s="233"/>
      <c r="W66" s="233"/>
      <c r="X66" s="234"/>
      <c r="Z66" s="265"/>
    </row>
    <row r="67" spans="1:35" s="61" customFormat="1" x14ac:dyDescent="0.25">
      <c r="A67" s="261" t="s">
        <v>254</v>
      </c>
      <c r="B67" s="262" t="s">
        <v>250</v>
      </c>
      <c r="C67" s="263" t="s">
        <v>237</v>
      </c>
      <c r="D67" s="262" t="s">
        <v>237</v>
      </c>
      <c r="E67" s="275">
        <v>0</v>
      </c>
      <c r="F67" s="93">
        <f>Perfils!$G$20</f>
        <v>47.52</v>
      </c>
      <c r="G67" s="94">
        <f t="shared" si="19"/>
        <v>0</v>
      </c>
      <c r="H67" s="275">
        <v>0</v>
      </c>
      <c r="I67" s="95">
        <f>Perfils!$G$26</f>
        <v>54.56</v>
      </c>
      <c r="J67" s="94">
        <f t="shared" si="20"/>
        <v>0</v>
      </c>
      <c r="K67" s="275">
        <v>227.77492668621699</v>
      </c>
      <c r="L67" s="264">
        <f>+Perfils!$G$32</f>
        <v>54.56</v>
      </c>
      <c r="M67" s="94">
        <f t="shared" si="21"/>
        <v>12427.4</v>
      </c>
      <c r="N67" s="163">
        <v>0</v>
      </c>
      <c r="O67" s="94" t="s">
        <v>237</v>
      </c>
      <c r="P67" s="94">
        <v>0</v>
      </c>
      <c r="Q67" s="275">
        <v>0</v>
      </c>
      <c r="R67" s="95">
        <f>Perfils!$G$38</f>
        <v>52.59</v>
      </c>
      <c r="S67" s="94">
        <f t="shared" si="22"/>
        <v>0</v>
      </c>
      <c r="T67" s="94">
        <v>0</v>
      </c>
      <c r="U67" s="233"/>
      <c r="V67" s="233"/>
      <c r="W67" s="233"/>
      <c r="X67" s="234"/>
      <c r="Z67" s="259"/>
      <c r="AA67" s="259"/>
      <c r="AB67" s="252"/>
      <c r="AC67" s="82"/>
      <c r="AD67" s="82"/>
      <c r="AE67" s="82"/>
      <c r="AF67" s="252"/>
      <c r="AG67" s="252"/>
      <c r="AH67" s="252"/>
      <c r="AI67" s="252"/>
    </row>
    <row r="68" spans="1:35" s="66" customFormat="1" ht="15.75" x14ac:dyDescent="0.25">
      <c r="A68" s="214" t="s">
        <v>228</v>
      </c>
      <c r="B68" s="147"/>
      <c r="C68" s="213"/>
      <c r="D68" s="146"/>
      <c r="E68" s="276">
        <f>SUM(E57:E67)</f>
        <v>325.16224747474746</v>
      </c>
      <c r="F68" s="144"/>
      <c r="G68" s="145">
        <f>SUM(G57:G67)</f>
        <v>15451.710000000001</v>
      </c>
      <c r="H68" s="144">
        <f>SUM(H57:H66)</f>
        <v>454.91660557184741</v>
      </c>
      <c r="I68" s="144"/>
      <c r="J68" s="145">
        <f>SUM(J57:J67)</f>
        <v>24820.25</v>
      </c>
      <c r="K68" s="144">
        <f>SUM(K57:K66)</f>
        <v>0</v>
      </c>
      <c r="L68" s="144"/>
      <c r="M68" s="145">
        <f>SUM(M57:M67)</f>
        <v>12427.4</v>
      </c>
      <c r="N68" s="144">
        <f>SUM(N57:N67)</f>
        <v>0</v>
      </c>
      <c r="O68" s="144"/>
      <c r="P68" s="145">
        <f>SUM(P57:P67)</f>
        <v>0</v>
      </c>
      <c r="Q68" s="144">
        <f>SUM(Q57:Q66)</f>
        <v>594.64575014261254</v>
      </c>
      <c r="R68" s="144"/>
      <c r="S68" s="145">
        <f>SUM(S57:S67)</f>
        <v>31272.42</v>
      </c>
      <c r="T68" s="145">
        <f>SUM(T55:T66)</f>
        <v>15060.48</v>
      </c>
      <c r="U68" s="233"/>
      <c r="V68" s="233"/>
      <c r="W68" s="233"/>
      <c r="X68" s="234"/>
    </row>
    <row r="69" spans="1:35" x14ac:dyDescent="0.25">
      <c r="U69" s="233"/>
      <c r="V69" s="233"/>
      <c r="W69" s="233"/>
    </row>
    <row r="70" spans="1:35" x14ac:dyDescent="0.25">
      <c r="U70" s="233"/>
      <c r="V70" s="233"/>
      <c r="W70" s="233"/>
    </row>
  </sheetData>
  <sheetProtection algorithmName="SHA-512" hashValue="BI4vixgLiiYN0YcrXBJq8asGMzIa+4sLh9zvtky52yNYx7vifaSV75DmwmySxjjnCjl7b3vDFTDaLP0lgQLFTA==" saltValue="0eGOKcZHq3mX4r/uExY2Hw==" spinCount="100000" sheet="1" objects="1" scenarios="1" insertColumns="0" insertRows="0" sort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ntrol 6">
          <controlPr defaultSize="0" r:id="rId5">
            <anchor moveWithCells="1">
              <from>
                <xdr:col>0</xdr:col>
                <xdr:colOff>161925</xdr:colOff>
                <xdr:row>32</xdr:row>
                <xdr:rowOff>47625</xdr:rowOff>
              </from>
              <to>
                <xdr:col>0</xdr:col>
                <xdr:colOff>942975</xdr:colOff>
                <xdr:row>33</xdr:row>
                <xdr:rowOff>47625</xdr:rowOff>
              </to>
            </anchor>
          </controlPr>
        </control>
      </mc:Choice>
      <mc:Fallback>
        <control shapeId="1030" r:id="rId4" name="Control 6"/>
      </mc:Fallback>
    </mc:AlternateContent>
    <mc:AlternateContent xmlns:mc="http://schemas.openxmlformats.org/markup-compatibility/2006">
      <mc:Choice Requires="x14">
        <control shapeId="1034" r:id="rId6" name="Control 10">
          <controlPr defaultSize="0" r:id="rId7">
            <anchor moveWithCells="1">
              <from>
                <xdr:col>0</xdr:col>
                <xdr:colOff>161925</xdr:colOff>
                <xdr:row>32</xdr:row>
                <xdr:rowOff>47625</xdr:rowOff>
              </from>
              <to>
                <xdr:col>0</xdr:col>
                <xdr:colOff>942975</xdr:colOff>
                <xdr:row>33</xdr:row>
                <xdr:rowOff>47625</xdr:rowOff>
              </to>
            </anchor>
          </controlPr>
        </control>
      </mc:Choice>
      <mc:Fallback>
        <control shapeId="1034" r:id="rId6" name="Control 10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0</xdr:col>
                <xdr:colOff>161925</xdr:colOff>
                <xdr:row>32</xdr:row>
                <xdr:rowOff>47625</xdr:rowOff>
              </from>
              <to>
                <xdr:col>0</xdr:col>
                <xdr:colOff>942975</xdr:colOff>
                <xdr:row>33</xdr:row>
                <xdr:rowOff>47625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42" r:id="rId10" name="Control 18">
          <controlPr defaultSize="0" r:id="rId11">
            <anchor moveWithCells="1">
              <from>
                <xdr:col>0</xdr:col>
                <xdr:colOff>161925</xdr:colOff>
                <xdr:row>32</xdr:row>
                <xdr:rowOff>47625</xdr:rowOff>
              </from>
              <to>
                <xdr:col>0</xdr:col>
                <xdr:colOff>942975</xdr:colOff>
                <xdr:row>33</xdr:row>
                <xdr:rowOff>47625</xdr:rowOff>
              </to>
            </anchor>
          </controlPr>
        </control>
      </mc:Choice>
      <mc:Fallback>
        <control shapeId="1042" r:id="rId10" name="Control 18"/>
      </mc:Fallback>
    </mc:AlternateContent>
    <mc:AlternateContent xmlns:mc="http://schemas.openxmlformats.org/markup-compatibility/2006">
      <mc:Choice Requires="x14">
        <control shapeId="1046" r:id="rId12" name="Control 22">
          <controlPr defaultSize="0" r:id="rId13">
            <anchor moveWithCells="1">
              <from>
                <xdr:col>0</xdr:col>
                <xdr:colOff>161925</xdr:colOff>
                <xdr:row>32</xdr:row>
                <xdr:rowOff>47625</xdr:rowOff>
              </from>
              <to>
                <xdr:col>0</xdr:col>
                <xdr:colOff>942975</xdr:colOff>
                <xdr:row>33</xdr:row>
                <xdr:rowOff>47625</xdr:rowOff>
              </to>
            </anchor>
          </controlPr>
        </control>
      </mc:Choice>
      <mc:Fallback>
        <control shapeId="1046" r:id="rId12" name="Control 2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4"/>
  <sheetViews>
    <sheetView showGridLines="0" zoomScale="84" zoomScaleNormal="84" workbookViewId="0">
      <selection activeCell="E3" sqref="E3"/>
    </sheetView>
  </sheetViews>
  <sheetFormatPr baseColWidth="10" defaultColWidth="11.42578125" defaultRowHeight="15" x14ac:dyDescent="0.25"/>
  <cols>
    <col min="1" max="1" width="11" customWidth="1"/>
    <col min="2" max="2" width="43.140625" bestFit="1" customWidth="1"/>
    <col min="3" max="3" width="58.85546875" customWidth="1"/>
    <col min="4" max="4" width="13.85546875" customWidth="1"/>
    <col min="5" max="6" width="13.42578125" customWidth="1"/>
    <col min="7" max="7" width="17.42578125" customWidth="1"/>
    <col min="8" max="8" width="15.42578125" bestFit="1" customWidth="1"/>
    <col min="10" max="10" width="16" customWidth="1"/>
    <col min="11" max="11" width="30.5703125" bestFit="1" customWidth="1"/>
  </cols>
  <sheetData>
    <row r="1" spans="2:8" ht="15.75" thickBot="1" x14ac:dyDescent="0.3"/>
    <row r="2" spans="2:8" ht="45" x14ac:dyDescent="0.25">
      <c r="C2" s="134"/>
      <c r="D2" s="135" t="s">
        <v>173</v>
      </c>
      <c r="E2" s="135" t="s">
        <v>172</v>
      </c>
      <c r="F2" s="135" t="s">
        <v>303</v>
      </c>
    </row>
    <row r="3" spans="2:8" x14ac:dyDescent="0.25">
      <c r="C3" s="269" t="s">
        <v>300</v>
      </c>
      <c r="D3" s="268">
        <f>ROUND(E3*1.21,2)</f>
        <v>84.93</v>
      </c>
      <c r="E3" s="296">
        <v>70.19</v>
      </c>
      <c r="F3" s="270">
        <v>70.19</v>
      </c>
    </row>
    <row r="4" spans="2:8" x14ac:dyDescent="0.25">
      <c r="C4" s="269" t="s">
        <v>302</v>
      </c>
      <c r="D4" s="268">
        <f>ROUND(E4*1.21,2)</f>
        <v>36.229999999999997</v>
      </c>
      <c r="E4" s="296">
        <v>29.94</v>
      </c>
      <c r="F4" s="270">
        <v>29.94</v>
      </c>
    </row>
    <row r="5" spans="2:8" x14ac:dyDescent="0.25">
      <c r="C5" s="269" t="s">
        <v>301</v>
      </c>
      <c r="D5" s="268">
        <f>ROUND(E5*1.21,2)</f>
        <v>61.9</v>
      </c>
      <c r="E5" s="296">
        <v>51.16</v>
      </c>
      <c r="F5" s="270">
        <v>51.16</v>
      </c>
    </row>
    <row r="6" spans="2:8" x14ac:dyDescent="0.25">
      <c r="C6" s="269" t="s">
        <v>281</v>
      </c>
      <c r="D6" s="268">
        <f>ROUND(E6*1.21,2)</f>
        <v>36.229999999999997</v>
      </c>
      <c r="E6" s="296">
        <v>29.94</v>
      </c>
      <c r="F6" s="270">
        <v>29.94</v>
      </c>
    </row>
    <row r="7" spans="2:8" ht="15.75" thickBot="1" x14ac:dyDescent="0.3">
      <c r="C7" s="271" t="s">
        <v>280</v>
      </c>
      <c r="D7" s="272">
        <f>ROUND(E7*1.21,2)</f>
        <v>66.040000000000006</v>
      </c>
      <c r="E7" s="297">
        <v>54.58</v>
      </c>
      <c r="F7" s="273">
        <v>54.58</v>
      </c>
    </row>
    <row r="8" spans="2:8" ht="15.75" thickBot="1" x14ac:dyDescent="0.3"/>
    <row r="9" spans="2:8" ht="45" x14ac:dyDescent="0.25">
      <c r="C9" s="134"/>
      <c r="D9" s="135" t="s">
        <v>276</v>
      </c>
      <c r="E9" s="135" t="s">
        <v>277</v>
      </c>
      <c r="F9" s="135" t="s">
        <v>304</v>
      </c>
    </row>
    <row r="10" spans="2:8" x14ac:dyDescent="0.25">
      <c r="C10" s="269" t="s">
        <v>273</v>
      </c>
      <c r="D10" s="268">
        <f t="shared" ref="D10:D12" si="0">ROUND(E10*1.21,2)</f>
        <v>950</v>
      </c>
      <c r="E10" s="296">
        <v>785.12</v>
      </c>
      <c r="F10" s="270">
        <v>785.12</v>
      </c>
    </row>
    <row r="11" spans="2:8" x14ac:dyDescent="0.25">
      <c r="C11" s="269" t="s">
        <v>274</v>
      </c>
      <c r="D11" s="268">
        <f t="shared" si="0"/>
        <v>1050</v>
      </c>
      <c r="E11" s="296">
        <v>867.77</v>
      </c>
      <c r="F11" s="270">
        <v>867.77</v>
      </c>
    </row>
    <row r="12" spans="2:8" ht="15.75" thickBot="1" x14ac:dyDescent="0.3">
      <c r="C12" s="271" t="s">
        <v>275</v>
      </c>
      <c r="D12" s="272">
        <f t="shared" si="0"/>
        <v>1210</v>
      </c>
      <c r="E12" s="297">
        <v>1000</v>
      </c>
      <c r="F12" s="273">
        <v>1000</v>
      </c>
    </row>
    <row r="14" spans="2:8" ht="12" customHeight="1" x14ac:dyDescent="0.25">
      <c r="B14" s="70"/>
    </row>
    <row r="15" spans="2:8" ht="35.25" customHeight="1" x14ac:dyDescent="0.25">
      <c r="B15" s="71" t="s">
        <v>4</v>
      </c>
      <c r="C15" s="71" t="s">
        <v>5</v>
      </c>
      <c r="D15" s="71" t="s">
        <v>6</v>
      </c>
      <c r="E15" s="158" t="s">
        <v>185</v>
      </c>
      <c r="F15" s="158" t="s">
        <v>186</v>
      </c>
      <c r="G15" s="158" t="s">
        <v>189</v>
      </c>
      <c r="H15" s="56"/>
    </row>
    <row r="16" spans="2:8" ht="15" customHeight="1" x14ac:dyDescent="0.25">
      <c r="B16" s="298" t="s">
        <v>7</v>
      </c>
      <c r="C16" s="143" t="str">
        <f>+$C$3</f>
        <v xml:space="preserve">Coordinador/a de contracte  </v>
      </c>
      <c r="D16" s="74">
        <v>0.1</v>
      </c>
      <c r="E16" s="72">
        <f>+$D$3</f>
        <v>84.93</v>
      </c>
      <c r="F16" s="72">
        <f>+$E$3</f>
        <v>70.19</v>
      </c>
      <c r="G16" s="72">
        <f t="shared" ref="G16" si="1">E16*D16</f>
        <v>8.4930000000000003</v>
      </c>
    </row>
    <row r="17" spans="2:8" x14ac:dyDescent="0.25">
      <c r="B17" s="298"/>
      <c r="C17" s="143" t="str">
        <f>+$C$4</f>
        <v>Tècnic/a de sistemes</v>
      </c>
      <c r="D17" s="74">
        <v>0.15</v>
      </c>
      <c r="E17" s="72">
        <f>$D$4</f>
        <v>36.229999999999997</v>
      </c>
      <c r="F17" s="72">
        <f>+$E$4</f>
        <v>29.94</v>
      </c>
      <c r="G17" s="72">
        <f t="shared" ref="G17" si="2">E17*D17</f>
        <v>5.434499999999999</v>
      </c>
      <c r="H17" s="56"/>
    </row>
    <row r="18" spans="2:8" x14ac:dyDescent="0.25">
      <c r="B18" s="298"/>
      <c r="C18" s="143" t="str">
        <f>+$C$5</f>
        <v>Cap de projecte</v>
      </c>
      <c r="D18" s="74">
        <v>0.25</v>
      </c>
      <c r="E18" s="72">
        <f>$D$5</f>
        <v>61.9</v>
      </c>
      <c r="F18" s="72">
        <f>+$E$5</f>
        <v>51.16</v>
      </c>
      <c r="G18" s="72">
        <f t="shared" ref="G18:G19" si="3">E18*D18</f>
        <v>15.475</v>
      </c>
      <c r="H18" s="56"/>
    </row>
    <row r="19" spans="2:8" x14ac:dyDescent="0.25">
      <c r="B19" s="298"/>
      <c r="C19" s="143" t="str">
        <f>+$C$6</f>
        <v xml:space="preserve">Programador/a J2EE </v>
      </c>
      <c r="D19" s="74">
        <v>0.5</v>
      </c>
      <c r="E19" s="72">
        <f>$D$6</f>
        <v>36.229999999999997</v>
      </c>
      <c r="F19" s="72">
        <f>+$E$6</f>
        <v>29.94</v>
      </c>
      <c r="G19" s="72">
        <f t="shared" si="3"/>
        <v>18.114999999999998</v>
      </c>
      <c r="H19" s="56"/>
    </row>
    <row r="20" spans="2:8" x14ac:dyDescent="0.25">
      <c r="B20" s="298"/>
      <c r="C20" s="299" t="s">
        <v>117</v>
      </c>
      <c r="D20" s="299"/>
      <c r="E20" s="299"/>
      <c r="F20" s="157"/>
      <c r="G20" s="73">
        <f>ROUND(SUM(G16:G19),2)</f>
        <v>47.52</v>
      </c>
      <c r="H20" s="96">
        <f>SUM(D16:D19)</f>
        <v>1</v>
      </c>
    </row>
    <row r="21" spans="2:8" x14ac:dyDescent="0.25">
      <c r="B21" s="298" t="s">
        <v>13</v>
      </c>
      <c r="C21" s="143" t="str">
        <f>+$C$3</f>
        <v xml:space="preserve">Coordinador/a de contracte  </v>
      </c>
      <c r="D21" s="74">
        <v>0.1</v>
      </c>
      <c r="E21" s="72">
        <f>$D$3</f>
        <v>84.93</v>
      </c>
      <c r="F21" s="72">
        <f>+$E$3</f>
        <v>70.19</v>
      </c>
      <c r="G21" s="72">
        <f t="shared" ref="G21:G25" si="4">E21*D21</f>
        <v>8.4930000000000003</v>
      </c>
    </row>
    <row r="22" spans="2:8" x14ac:dyDescent="0.25">
      <c r="B22" s="298"/>
      <c r="C22" s="143" t="str">
        <f>+$C$4</f>
        <v>Tècnic/a de sistemes</v>
      </c>
      <c r="D22" s="74">
        <v>0.05</v>
      </c>
      <c r="E22" s="72">
        <f>$D$4</f>
        <v>36.229999999999997</v>
      </c>
      <c r="F22" s="72">
        <f>+$E$4</f>
        <v>29.94</v>
      </c>
      <c r="G22" s="72">
        <f t="shared" si="4"/>
        <v>1.8114999999999999</v>
      </c>
    </row>
    <row r="23" spans="2:8" x14ac:dyDescent="0.25">
      <c r="B23" s="298"/>
      <c r="C23" s="143" t="str">
        <f>+$C$5</f>
        <v>Cap de projecte</v>
      </c>
      <c r="D23" s="74">
        <v>0.35</v>
      </c>
      <c r="E23" s="72">
        <f>$D$5</f>
        <v>61.9</v>
      </c>
      <c r="F23" s="72">
        <f>+$E$5</f>
        <v>51.16</v>
      </c>
      <c r="G23" s="72">
        <f t="shared" si="4"/>
        <v>21.664999999999999</v>
      </c>
      <c r="H23" s="96"/>
    </row>
    <row r="24" spans="2:8" x14ac:dyDescent="0.25">
      <c r="B24" s="298"/>
      <c r="C24" s="143" t="str">
        <f>+$C$7</f>
        <v>Arquitecte/a J2EE</v>
      </c>
      <c r="D24" s="74">
        <v>0.15</v>
      </c>
      <c r="E24" s="72">
        <f>$D$7</f>
        <v>66.040000000000006</v>
      </c>
      <c r="F24" s="72">
        <f>+$E$7</f>
        <v>54.58</v>
      </c>
      <c r="G24" s="72">
        <f t="shared" ref="G24" si="5">E24*D24</f>
        <v>9.9060000000000006</v>
      </c>
      <c r="H24" s="96"/>
    </row>
    <row r="25" spans="2:8" x14ac:dyDescent="0.25">
      <c r="B25" s="298"/>
      <c r="C25" s="143" t="str">
        <f>+$C$6</f>
        <v xml:space="preserve">Programador/a J2EE </v>
      </c>
      <c r="D25" s="74">
        <v>0.35</v>
      </c>
      <c r="E25" s="72">
        <f>$D$6</f>
        <v>36.229999999999997</v>
      </c>
      <c r="F25" s="72">
        <f>+$E$6</f>
        <v>29.94</v>
      </c>
      <c r="G25" s="72">
        <f t="shared" si="4"/>
        <v>12.680499999999999</v>
      </c>
      <c r="H25" s="96"/>
    </row>
    <row r="26" spans="2:8" x14ac:dyDescent="0.25">
      <c r="B26" s="298"/>
      <c r="C26" s="299" t="s">
        <v>117</v>
      </c>
      <c r="D26" s="299"/>
      <c r="E26" s="299"/>
      <c r="F26" s="157"/>
      <c r="G26" s="73">
        <f>ROUND(SUM(G21:G25),2)</f>
        <v>54.56</v>
      </c>
      <c r="H26" s="96">
        <f>SUM(D21:D25)</f>
        <v>1</v>
      </c>
    </row>
    <row r="27" spans="2:8" x14ac:dyDescent="0.25">
      <c r="B27" s="298" t="s">
        <v>249</v>
      </c>
      <c r="C27" s="143" t="str">
        <f>+$C$3</f>
        <v xml:space="preserve">Coordinador/a de contracte  </v>
      </c>
      <c r="D27" s="74">
        <v>0.1</v>
      </c>
      <c r="E27" s="72">
        <f>$D$3</f>
        <v>84.93</v>
      </c>
      <c r="F27" s="72">
        <f>+$E$3</f>
        <v>70.19</v>
      </c>
      <c r="G27" s="72">
        <f t="shared" ref="G27:G31" si="6">E27*D27</f>
        <v>8.4930000000000003</v>
      </c>
    </row>
    <row r="28" spans="2:8" x14ac:dyDescent="0.25">
      <c r="B28" s="298"/>
      <c r="C28" s="143" t="str">
        <f>+$C$4</f>
        <v>Tècnic/a de sistemes</v>
      </c>
      <c r="D28" s="74">
        <v>0.05</v>
      </c>
      <c r="E28" s="72">
        <f>$D$4</f>
        <v>36.229999999999997</v>
      </c>
      <c r="F28" s="72">
        <f>+$E$4</f>
        <v>29.94</v>
      </c>
      <c r="G28" s="72">
        <f t="shared" si="6"/>
        <v>1.8114999999999999</v>
      </c>
    </row>
    <row r="29" spans="2:8" x14ac:dyDescent="0.25">
      <c r="B29" s="298"/>
      <c r="C29" s="143" t="str">
        <f>+$C$5</f>
        <v>Cap de projecte</v>
      </c>
      <c r="D29" s="74">
        <v>0.35</v>
      </c>
      <c r="E29" s="72">
        <f>$D$5</f>
        <v>61.9</v>
      </c>
      <c r="F29" s="72">
        <f>+$E$5</f>
        <v>51.16</v>
      </c>
      <c r="G29" s="72">
        <f t="shared" si="6"/>
        <v>21.664999999999999</v>
      </c>
      <c r="H29" s="96"/>
    </row>
    <row r="30" spans="2:8" x14ac:dyDescent="0.25">
      <c r="B30" s="298"/>
      <c r="C30" s="143" t="str">
        <f>+$C$7</f>
        <v>Arquitecte/a J2EE</v>
      </c>
      <c r="D30" s="74">
        <v>0.15</v>
      </c>
      <c r="E30" s="72">
        <f>$D$7</f>
        <v>66.040000000000006</v>
      </c>
      <c r="F30" s="72">
        <f>+$E$7</f>
        <v>54.58</v>
      </c>
      <c r="G30" s="72">
        <f t="shared" si="6"/>
        <v>9.9060000000000006</v>
      </c>
      <c r="H30" s="96"/>
    </row>
    <row r="31" spans="2:8" x14ac:dyDescent="0.25">
      <c r="B31" s="298"/>
      <c r="C31" s="143" t="str">
        <f>+$C$6</f>
        <v xml:space="preserve">Programador/a J2EE </v>
      </c>
      <c r="D31" s="74">
        <v>0.35</v>
      </c>
      <c r="E31" s="72">
        <f>$D$6</f>
        <v>36.229999999999997</v>
      </c>
      <c r="F31" s="72">
        <f>+$E$6</f>
        <v>29.94</v>
      </c>
      <c r="G31" s="72">
        <f t="shared" si="6"/>
        <v>12.680499999999999</v>
      </c>
      <c r="H31" s="96"/>
    </row>
    <row r="32" spans="2:8" x14ac:dyDescent="0.25">
      <c r="B32" s="298"/>
      <c r="C32" s="299" t="s">
        <v>117</v>
      </c>
      <c r="D32" s="299"/>
      <c r="E32" s="299"/>
      <c r="F32" s="254"/>
      <c r="G32" s="73">
        <f>ROUND(SUM(G27:G31),2)</f>
        <v>54.56</v>
      </c>
      <c r="H32" s="96">
        <f>SUM(D27:D31)</f>
        <v>1</v>
      </c>
    </row>
    <row r="33" spans="2:9" x14ac:dyDescent="0.25">
      <c r="B33" s="298" t="s">
        <v>232</v>
      </c>
      <c r="C33" s="143" t="str">
        <f>+$C$3</f>
        <v xml:space="preserve">Coordinador/a de contracte  </v>
      </c>
      <c r="D33" s="74">
        <v>0.2</v>
      </c>
      <c r="E33" s="72">
        <f>$D$3</f>
        <v>84.93</v>
      </c>
      <c r="F33" s="72">
        <f>+$E$3</f>
        <v>70.19</v>
      </c>
      <c r="G33" s="72">
        <f>E33*D33</f>
        <v>16.986000000000001</v>
      </c>
    </row>
    <row r="34" spans="2:9" x14ac:dyDescent="0.25">
      <c r="B34" s="298"/>
      <c r="C34" s="143" t="str">
        <f>+$C$4</f>
        <v>Tècnic/a de sistemes</v>
      </c>
      <c r="D34" s="74">
        <v>0.3</v>
      </c>
      <c r="E34" s="72">
        <f>$D$4</f>
        <v>36.229999999999997</v>
      </c>
      <c r="F34" s="72">
        <f>+$E$4</f>
        <v>29.94</v>
      </c>
      <c r="G34" s="72">
        <f t="shared" ref="G34:G37" si="7">E34*D34</f>
        <v>10.868999999999998</v>
      </c>
    </row>
    <row r="35" spans="2:9" x14ac:dyDescent="0.25">
      <c r="B35" s="298"/>
      <c r="C35" s="143" t="str">
        <f>+$C$5</f>
        <v>Cap de projecte</v>
      </c>
      <c r="D35" s="74">
        <v>0.2</v>
      </c>
      <c r="E35" s="72">
        <f>$D$5</f>
        <v>61.9</v>
      </c>
      <c r="F35" s="72">
        <f>+$E$5</f>
        <v>51.16</v>
      </c>
      <c r="G35" s="72">
        <f t="shared" si="7"/>
        <v>12.38</v>
      </c>
    </row>
    <row r="36" spans="2:9" x14ac:dyDescent="0.25">
      <c r="B36" s="298"/>
      <c r="C36" s="143" t="str">
        <f>+$C$7</f>
        <v>Arquitecte/a J2EE</v>
      </c>
      <c r="D36" s="74">
        <v>0.05</v>
      </c>
      <c r="E36" s="72">
        <f>$D$7</f>
        <v>66.040000000000006</v>
      </c>
      <c r="F36" s="72">
        <f>+$E$7</f>
        <v>54.58</v>
      </c>
      <c r="G36" s="72">
        <f t="shared" ref="G36" si="8">E36*D36</f>
        <v>3.3020000000000005</v>
      </c>
    </row>
    <row r="37" spans="2:9" x14ac:dyDescent="0.25">
      <c r="B37" s="298"/>
      <c r="C37" s="143" t="str">
        <f>+$C$6</f>
        <v xml:space="preserve">Programador/a J2EE </v>
      </c>
      <c r="D37" s="74">
        <v>0.25</v>
      </c>
      <c r="E37" s="72">
        <f>$D$6</f>
        <v>36.229999999999997</v>
      </c>
      <c r="F37" s="72">
        <f>+$E$6</f>
        <v>29.94</v>
      </c>
      <c r="G37" s="72">
        <f t="shared" si="7"/>
        <v>9.0574999999999992</v>
      </c>
    </row>
    <row r="38" spans="2:9" x14ac:dyDescent="0.25">
      <c r="B38" s="298"/>
      <c r="C38" s="299" t="s">
        <v>117</v>
      </c>
      <c r="D38" s="299"/>
      <c r="E38" s="299"/>
      <c r="F38" s="157"/>
      <c r="G38" s="73">
        <f>ROUND(SUM(G33:G37),2)</f>
        <v>52.59</v>
      </c>
      <c r="H38" s="96">
        <f>SUM(D33:D37)</f>
        <v>1</v>
      </c>
    </row>
    <row r="40" spans="2:9" ht="35.25" customHeight="1" x14ac:dyDescent="0.25">
      <c r="B40" s="71" t="s">
        <v>4</v>
      </c>
      <c r="C40" s="71" t="s">
        <v>268</v>
      </c>
      <c r="D40" s="71" t="s">
        <v>269</v>
      </c>
      <c r="E40" s="158" t="s">
        <v>270</v>
      </c>
      <c r="F40" s="158" t="s">
        <v>277</v>
      </c>
      <c r="G40" s="158" t="s">
        <v>271</v>
      </c>
      <c r="H40" s="158" t="s">
        <v>272</v>
      </c>
      <c r="I40" s="56"/>
    </row>
    <row r="41" spans="2:9" ht="30" x14ac:dyDescent="0.25">
      <c r="B41" s="298" t="s">
        <v>249</v>
      </c>
      <c r="C41" s="267" t="s">
        <v>257</v>
      </c>
      <c r="D41" s="3">
        <f>+'Evol identificats'!C4</f>
        <v>40</v>
      </c>
      <c r="E41" s="94">
        <f t="shared" ref="E41:F43" si="9">+D10</f>
        <v>950</v>
      </c>
      <c r="F41" s="94">
        <f t="shared" si="9"/>
        <v>785.12</v>
      </c>
      <c r="G41" s="94">
        <f>+ROUND(D41*E41,2)</f>
        <v>38000</v>
      </c>
      <c r="H41" s="94">
        <f>+ROUND(D41*F41,2)</f>
        <v>31404.799999999999</v>
      </c>
    </row>
    <row r="42" spans="2:9" ht="30" x14ac:dyDescent="0.25">
      <c r="B42" s="298"/>
      <c r="C42" s="267" t="s">
        <v>259</v>
      </c>
      <c r="D42" s="3">
        <f>+'Evol identificats'!C12</f>
        <v>40</v>
      </c>
      <c r="E42" s="94">
        <f t="shared" si="9"/>
        <v>1050</v>
      </c>
      <c r="F42" s="94">
        <f t="shared" si="9"/>
        <v>867.77</v>
      </c>
      <c r="G42" s="94">
        <f t="shared" ref="G42:G43" si="10">+ROUND(D42*E42,2)</f>
        <v>42000</v>
      </c>
      <c r="H42" s="94">
        <f>+ROUND(D42*F42,2)</f>
        <v>34710.800000000003</v>
      </c>
    </row>
    <row r="43" spans="2:9" ht="45" x14ac:dyDescent="0.25">
      <c r="B43" s="298"/>
      <c r="C43" s="267" t="s">
        <v>260</v>
      </c>
      <c r="D43" s="3">
        <f>+'Evol identificats'!C20</f>
        <v>20</v>
      </c>
      <c r="E43" s="94">
        <f t="shared" si="9"/>
        <v>1210</v>
      </c>
      <c r="F43" s="94">
        <f t="shared" si="9"/>
        <v>1000</v>
      </c>
      <c r="G43" s="94">
        <f t="shared" si="10"/>
        <v>24200</v>
      </c>
      <c r="H43" s="94">
        <f>+ROUND(D43*F43,2)</f>
        <v>20000</v>
      </c>
      <c r="I43" s="96"/>
    </row>
    <row r="44" spans="2:9" x14ac:dyDescent="0.25">
      <c r="B44" s="298"/>
      <c r="C44" s="299" t="s">
        <v>117</v>
      </c>
      <c r="D44" s="299"/>
      <c r="E44" s="299"/>
      <c r="F44" s="256"/>
      <c r="G44" s="274">
        <f>ROUND(SUM(G41:G43),2)</f>
        <v>104200</v>
      </c>
      <c r="H44" s="274">
        <f>ROUND(SUM(H41:H43),2)</f>
        <v>86115.6</v>
      </c>
      <c r="I44" s="96">
        <f>SUM(D41:D43)</f>
        <v>100</v>
      </c>
    </row>
  </sheetData>
  <sheetProtection algorithmName="SHA-512" hashValue="JC/Fx66mLpfc+p+h9YufWKFU9MOlRj6X38YwAKBV/NPVTwkB7DTaAxKLAQxlJc425yD+B9twEwilsOdGoGJPow==" saltValue="BDAmbAuZ6oCvNnk8WbNGrA==" spinCount="100000" sheet="1" objects="1" scenarios="1"/>
  <mergeCells count="10">
    <mergeCell ref="B41:B44"/>
    <mergeCell ref="C44:E44"/>
    <mergeCell ref="C20:E20"/>
    <mergeCell ref="C26:E26"/>
    <mergeCell ref="C38:E38"/>
    <mergeCell ref="B16:B20"/>
    <mergeCell ref="B21:B26"/>
    <mergeCell ref="B33:B38"/>
    <mergeCell ref="B27:B32"/>
    <mergeCell ref="C32:E32"/>
  </mergeCells>
  <conditionalFormatting sqref="E3:E7">
    <cfRule type="expression" dxfId="3" priority="5">
      <formula>E3&lt;=F3</formula>
    </cfRule>
    <cfRule type="expression" dxfId="2" priority="3">
      <formula>E3&gt;F3</formula>
    </cfRule>
  </conditionalFormatting>
  <conditionalFormatting sqref="E10:E12">
    <cfRule type="expression" dxfId="1" priority="4">
      <formula>E10&lt;=F10</formula>
    </cfRule>
    <cfRule type="expression" dxfId="0" priority="1">
      <formula>E10&gt;F10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2"/>
  <sheetViews>
    <sheetView showGridLines="0" zoomScale="115" zoomScaleNormal="115" workbookViewId="0"/>
  </sheetViews>
  <sheetFormatPr baseColWidth="10" defaultColWidth="10.85546875" defaultRowHeight="12" x14ac:dyDescent="0.2"/>
  <cols>
    <col min="1" max="1" width="21.42578125" style="161" customWidth="1"/>
    <col min="2" max="2" width="15.42578125" style="161" customWidth="1"/>
    <col min="3" max="3" width="18.42578125" style="161" customWidth="1"/>
    <col min="4" max="4" width="20.42578125" style="161" customWidth="1"/>
    <col min="5" max="5" width="18.42578125" style="161" customWidth="1"/>
    <col min="6" max="6" width="16.140625" style="161" bestFit="1" customWidth="1"/>
    <col min="7" max="7" width="11.140625" style="161" bestFit="1" customWidth="1"/>
    <col min="8" max="8" width="12" style="161" bestFit="1" customWidth="1"/>
    <col min="9" max="10" width="11.140625" style="161" bestFit="1" customWidth="1"/>
    <col min="11" max="11" width="12" style="161" bestFit="1" customWidth="1"/>
    <col min="12" max="12" width="11.140625" style="161" bestFit="1" customWidth="1"/>
    <col min="13" max="13" width="10.28515625" style="161" bestFit="1" customWidth="1"/>
    <col min="14" max="14" width="15.5703125" style="161" customWidth="1"/>
    <col min="15" max="15" width="14.5703125" style="161" customWidth="1"/>
    <col min="16" max="16" width="18.140625" style="161" customWidth="1"/>
    <col min="17" max="16384" width="10.85546875" style="161"/>
  </cols>
  <sheetData>
    <row r="2" spans="1:16" x14ac:dyDescent="0.2">
      <c r="A2" s="164" t="s">
        <v>129</v>
      </c>
    </row>
    <row r="4" spans="1:16" x14ac:dyDescent="0.2">
      <c r="A4" s="165"/>
      <c r="B4" s="304">
        <v>2023</v>
      </c>
      <c r="C4" s="305"/>
      <c r="D4" s="306"/>
      <c r="E4" s="304">
        <v>2024</v>
      </c>
      <c r="F4" s="305"/>
      <c r="G4" s="306"/>
      <c r="H4" s="304">
        <v>2025</v>
      </c>
      <c r="I4" s="305"/>
      <c r="J4" s="306"/>
      <c r="K4" s="304">
        <v>2026</v>
      </c>
      <c r="L4" s="305"/>
      <c r="M4" s="306"/>
    </row>
    <row r="5" spans="1:16" x14ac:dyDescent="0.2">
      <c r="A5" s="166" t="s">
        <v>131</v>
      </c>
      <c r="B5" s="167" t="s">
        <v>123</v>
      </c>
      <c r="C5" s="168" t="s">
        <v>124</v>
      </c>
      <c r="D5" s="168" t="s">
        <v>122</v>
      </c>
      <c r="E5" s="168" t="s">
        <v>123</v>
      </c>
      <c r="F5" s="168" t="s">
        <v>124</v>
      </c>
      <c r="G5" s="168" t="s">
        <v>122</v>
      </c>
      <c r="H5" s="168" t="s">
        <v>123</v>
      </c>
      <c r="I5" s="168" t="s">
        <v>124</v>
      </c>
      <c r="J5" s="168" t="s">
        <v>122</v>
      </c>
      <c r="K5" s="168" t="s">
        <v>123</v>
      </c>
      <c r="L5" s="168" t="s">
        <v>124</v>
      </c>
      <c r="M5" s="168" t="s">
        <v>122</v>
      </c>
      <c r="N5" s="168" t="s">
        <v>139</v>
      </c>
      <c r="O5" s="168" t="s">
        <v>140</v>
      </c>
      <c r="P5" s="168" t="s">
        <v>141</v>
      </c>
    </row>
    <row r="6" spans="1:16" x14ac:dyDescent="0.2">
      <c r="A6" s="277" t="str">
        <f>+'Càlcul pressupost '!D6</f>
        <v>Manteniment correctiu</v>
      </c>
      <c r="B6" s="169">
        <f>ROUND('Càlcul pressupost '!F6/1.21,2)</f>
        <v>5320.83</v>
      </c>
      <c r="C6" s="169">
        <f t="shared" ref="C6:C10" si="0">ROUND(B6*0.21,2)</f>
        <v>1117.3699999999999</v>
      </c>
      <c r="D6" s="169">
        <f>+B6+C6</f>
        <v>6438.2</v>
      </c>
      <c r="E6" s="169">
        <f>ROUND('Càlcul pressupost '!G6/1.21,2)</f>
        <v>18496.240000000002</v>
      </c>
      <c r="F6" s="169">
        <f t="shared" ref="F6:F10" si="1">ROUND(E6*0.21,2)</f>
        <v>3884.21</v>
      </c>
      <c r="G6" s="169">
        <f t="shared" ref="G6:G10" si="2">+E6+F6</f>
        <v>22380.45</v>
      </c>
      <c r="H6" s="169">
        <f>ROUND('Càlcul pressupost '!H6/1.21,2)</f>
        <v>18496.240000000002</v>
      </c>
      <c r="I6" s="169">
        <f t="shared" ref="I6:I10" si="3">ROUND(H6*0.21,2)</f>
        <v>3884.21</v>
      </c>
      <c r="J6" s="169">
        <f t="shared" ref="J6:J10" si="4">+H6+I6</f>
        <v>22380.45</v>
      </c>
      <c r="K6" s="169">
        <f>ROUND('Càlcul pressupost '!I6/1.21,2)</f>
        <v>12770.01</v>
      </c>
      <c r="L6" s="169">
        <f>ROUND(K6*0.21,2)</f>
        <v>2681.7</v>
      </c>
      <c r="M6" s="169">
        <f t="shared" ref="M6:M10" si="5">+K6+L6</f>
        <v>15451.71</v>
      </c>
      <c r="N6" s="169">
        <f>+B6+E6+H6+K6</f>
        <v>55083.32</v>
      </c>
      <c r="O6" s="169">
        <f>+C6+F6+I6+L6</f>
        <v>11567.490000000002</v>
      </c>
      <c r="P6" s="169">
        <f>+D6+G6+J6+M6</f>
        <v>66650.81</v>
      </c>
    </row>
    <row r="7" spans="1:16" x14ac:dyDescent="0.2">
      <c r="A7" s="277" t="str">
        <f>+'Càlcul pressupost '!D7</f>
        <v>Manteniment recurrent</v>
      </c>
      <c r="B7" s="169">
        <f>ROUND('Càlcul pressupost '!F7/1.21,2)</f>
        <v>13160.34</v>
      </c>
      <c r="C7" s="169">
        <f t="shared" si="0"/>
        <v>2763.67</v>
      </c>
      <c r="D7" s="169">
        <f t="shared" ref="D7:D10" si="6">+B7+C7</f>
        <v>15924.01</v>
      </c>
      <c r="E7" s="169">
        <f>ROUND('Càlcul pressupost '!G7/1.21,2)</f>
        <v>29710.71</v>
      </c>
      <c r="F7" s="169">
        <f t="shared" si="1"/>
        <v>6239.25</v>
      </c>
      <c r="G7" s="169">
        <f t="shared" si="2"/>
        <v>35949.96</v>
      </c>
      <c r="H7" s="169">
        <f>ROUND('Càlcul pressupost '!H7/1.21,2)</f>
        <v>29710.71</v>
      </c>
      <c r="I7" s="169">
        <f t="shared" si="3"/>
        <v>6239.25</v>
      </c>
      <c r="J7" s="169">
        <f t="shared" si="4"/>
        <v>35949.96</v>
      </c>
      <c r="K7" s="169">
        <f>ROUND('Càlcul pressupost '!I7/1.21,2)</f>
        <v>20512.599999999999</v>
      </c>
      <c r="L7" s="169">
        <f t="shared" ref="L7:L10" si="7">ROUND(K7*0.21,2)</f>
        <v>4307.6499999999996</v>
      </c>
      <c r="M7" s="169">
        <f t="shared" si="5"/>
        <v>24820.25</v>
      </c>
      <c r="N7" s="169">
        <f t="shared" ref="N7:N10" si="8">+B7+E7+H7+K7</f>
        <v>93094.360000000015</v>
      </c>
      <c r="O7" s="169">
        <f t="shared" ref="O7:O10" si="9">+C7+F7+I7+L7</f>
        <v>19549.82</v>
      </c>
      <c r="P7" s="169">
        <f t="shared" ref="P7:P10" si="10">+D7+G7+J7+M7</f>
        <v>112644.18</v>
      </c>
    </row>
    <row r="8" spans="1:16" x14ac:dyDescent="0.2">
      <c r="A8" s="277" t="str">
        <f>+'Càlcul pressupost '!D8</f>
        <v>Serveis d’evolutius recurrents</v>
      </c>
      <c r="B8" s="169">
        <f>ROUND('Càlcul pressupost '!F8/1.21,2)</f>
        <v>14876.03</v>
      </c>
      <c r="C8" s="169">
        <f t="shared" si="0"/>
        <v>3123.97</v>
      </c>
      <c r="D8" s="169">
        <f t="shared" si="6"/>
        <v>18000</v>
      </c>
      <c r="E8" s="169">
        <f>ROUND('Càlcul pressupost '!G8/1.21,2)</f>
        <v>14876.03</v>
      </c>
      <c r="F8" s="169">
        <f t="shared" si="1"/>
        <v>3123.97</v>
      </c>
      <c r="G8" s="169">
        <f t="shared" si="2"/>
        <v>18000</v>
      </c>
      <c r="H8" s="169">
        <f>ROUND('Càlcul pressupost '!H8/1.21,2)</f>
        <v>14876.03</v>
      </c>
      <c r="I8" s="169">
        <f t="shared" si="3"/>
        <v>3123.97</v>
      </c>
      <c r="J8" s="169">
        <f t="shared" si="4"/>
        <v>18000</v>
      </c>
      <c r="K8" s="169">
        <f>ROUND('Càlcul pressupost '!I8/1.21,2)</f>
        <v>10270.58</v>
      </c>
      <c r="L8" s="169">
        <f t="shared" si="7"/>
        <v>2156.8200000000002</v>
      </c>
      <c r="M8" s="169">
        <f t="shared" si="5"/>
        <v>12427.4</v>
      </c>
      <c r="N8" s="169">
        <f t="shared" si="8"/>
        <v>54898.670000000006</v>
      </c>
      <c r="O8" s="169">
        <f t="shared" si="9"/>
        <v>11528.73</v>
      </c>
      <c r="P8" s="169">
        <f t="shared" si="10"/>
        <v>66427.399999999994</v>
      </c>
    </row>
    <row r="9" spans="1:16" x14ac:dyDescent="0.2">
      <c r="A9" s="277" t="str">
        <f>+'Càlcul pressupost '!D9</f>
        <v>Evolutiu identificat</v>
      </c>
      <c r="B9" s="169">
        <f>ROUND('Càlcul pressupost '!F9/1.21,2)</f>
        <v>86115.7</v>
      </c>
      <c r="C9" s="169">
        <f t="shared" si="0"/>
        <v>18084.3</v>
      </c>
      <c r="D9" s="169">
        <f t="shared" si="6"/>
        <v>104200</v>
      </c>
      <c r="E9" s="169">
        <f>ROUND('Càlcul pressupost '!G9/1.21,2)</f>
        <v>0</v>
      </c>
      <c r="F9" s="169">
        <f t="shared" si="1"/>
        <v>0</v>
      </c>
      <c r="G9" s="169">
        <f t="shared" si="2"/>
        <v>0</v>
      </c>
      <c r="H9" s="169">
        <f>ROUND('Càlcul pressupost '!H9/1.21,2)</f>
        <v>0</v>
      </c>
      <c r="I9" s="169">
        <f t="shared" si="3"/>
        <v>0</v>
      </c>
      <c r="J9" s="169">
        <f t="shared" si="4"/>
        <v>0</v>
      </c>
      <c r="K9" s="169">
        <f>ROUND('Càlcul pressupost '!I9/1.21,2)</f>
        <v>0</v>
      </c>
      <c r="L9" s="169">
        <f t="shared" si="7"/>
        <v>0</v>
      </c>
      <c r="M9" s="169">
        <f t="shared" si="5"/>
        <v>0</v>
      </c>
      <c r="N9" s="169">
        <f t="shared" si="8"/>
        <v>86115.7</v>
      </c>
      <c r="O9" s="169">
        <f t="shared" si="9"/>
        <v>18084.3</v>
      </c>
      <c r="P9" s="169">
        <f t="shared" si="10"/>
        <v>104200</v>
      </c>
    </row>
    <row r="10" spans="1:16" x14ac:dyDescent="0.2">
      <c r="A10" s="277" t="str">
        <f>+'Càlcul pressupost '!D10</f>
        <v xml:space="preserve">Serveis Transversals de Manteniment </v>
      </c>
      <c r="B10" s="169">
        <f>ROUND('Càlcul pressupost '!F10/1.21,2)</f>
        <v>24382.45</v>
      </c>
      <c r="C10" s="169">
        <f t="shared" si="0"/>
        <v>5120.3100000000004</v>
      </c>
      <c r="D10" s="169">
        <f t="shared" si="6"/>
        <v>29502.760000000002</v>
      </c>
      <c r="E10" s="169">
        <f>ROUND('Càlcul pressupost '!G10/1.21,2)</f>
        <v>57906.09</v>
      </c>
      <c r="F10" s="169">
        <f t="shared" si="1"/>
        <v>12160.28</v>
      </c>
      <c r="G10" s="169">
        <f t="shared" si="2"/>
        <v>70066.37</v>
      </c>
      <c r="H10" s="169">
        <f>ROUND('Càlcul pressupost '!H10/1.21,2)</f>
        <v>49880.88</v>
      </c>
      <c r="I10" s="169">
        <f t="shared" si="3"/>
        <v>10474.98</v>
      </c>
      <c r="J10" s="169">
        <f t="shared" si="4"/>
        <v>60355.86</v>
      </c>
      <c r="K10" s="169">
        <f>ROUND('Càlcul pressupost '!I10/1.21,2)</f>
        <v>38291.65</v>
      </c>
      <c r="L10" s="169">
        <f t="shared" si="7"/>
        <v>8041.25</v>
      </c>
      <c r="M10" s="169">
        <f t="shared" si="5"/>
        <v>46332.9</v>
      </c>
      <c r="N10" s="169">
        <f t="shared" si="8"/>
        <v>170461.06999999998</v>
      </c>
      <c r="O10" s="169">
        <f t="shared" si="9"/>
        <v>35796.82</v>
      </c>
      <c r="P10" s="169">
        <f t="shared" si="10"/>
        <v>206257.88999999998</v>
      </c>
    </row>
    <row r="11" spans="1:16" x14ac:dyDescent="0.2">
      <c r="B11" s="210">
        <f t="shared" ref="B11:P11" si="11">SUM(B6:B10)</f>
        <v>143855.35</v>
      </c>
      <c r="C11" s="210">
        <f t="shared" si="11"/>
        <v>30209.62</v>
      </c>
      <c r="D11" s="170">
        <f t="shared" si="11"/>
        <v>174064.97</v>
      </c>
      <c r="E11" s="170">
        <f t="shared" si="11"/>
        <v>120989.06999999999</v>
      </c>
      <c r="F11" s="170">
        <f t="shared" si="11"/>
        <v>25407.71</v>
      </c>
      <c r="G11" s="170">
        <f t="shared" si="11"/>
        <v>146396.78</v>
      </c>
      <c r="H11" s="170">
        <f t="shared" si="11"/>
        <v>112963.85999999999</v>
      </c>
      <c r="I11" s="170">
        <f t="shared" si="11"/>
        <v>23722.409999999996</v>
      </c>
      <c r="J11" s="170">
        <f t="shared" si="11"/>
        <v>136686.27000000002</v>
      </c>
      <c r="K11" s="170">
        <f t="shared" si="11"/>
        <v>81844.84</v>
      </c>
      <c r="L11" s="170">
        <f t="shared" si="11"/>
        <v>17187.419999999998</v>
      </c>
      <c r="M11" s="170">
        <f t="shared" si="11"/>
        <v>99032.260000000009</v>
      </c>
      <c r="N11" s="170">
        <f t="shared" si="11"/>
        <v>459653.12</v>
      </c>
      <c r="O11" s="170">
        <f t="shared" si="11"/>
        <v>96527.16</v>
      </c>
      <c r="P11" s="170">
        <f t="shared" si="11"/>
        <v>556180.28</v>
      </c>
    </row>
    <row r="12" spans="1:16" x14ac:dyDescent="0.2">
      <c r="P12" s="171"/>
    </row>
    <row r="13" spans="1:16" x14ac:dyDescent="0.2">
      <c r="A13" s="172" t="s">
        <v>128</v>
      </c>
    </row>
    <row r="14" spans="1:16" x14ac:dyDescent="0.2">
      <c r="A14" s="172"/>
    </row>
    <row r="15" spans="1:16" ht="18" customHeight="1" x14ac:dyDescent="0.2">
      <c r="A15" s="173" t="s">
        <v>154</v>
      </c>
    </row>
    <row r="16" spans="1:16" ht="21" customHeight="1" x14ac:dyDescent="0.2">
      <c r="A16" s="173" t="s">
        <v>125</v>
      </c>
      <c r="B16" s="173" t="s">
        <v>126</v>
      </c>
      <c r="C16" s="173" t="s">
        <v>127</v>
      </c>
      <c r="D16" s="173" t="s">
        <v>122</v>
      </c>
    </row>
    <row r="17" spans="1:15" x14ac:dyDescent="0.2">
      <c r="A17" s="174">
        <v>2023</v>
      </c>
      <c r="B17" s="175">
        <f>+B11</f>
        <v>143855.35</v>
      </c>
      <c r="C17" s="175">
        <f>+C11</f>
        <v>30209.62</v>
      </c>
      <c r="D17" s="175">
        <f>+B17+C17</f>
        <v>174064.97</v>
      </c>
      <c r="E17" s="307" t="s">
        <v>283</v>
      </c>
      <c r="F17" s="308"/>
      <c r="G17" s="308"/>
      <c r="H17" s="308"/>
      <c r="I17" s="308"/>
      <c r="J17" s="308"/>
      <c r="K17" s="308"/>
      <c r="L17" s="308"/>
      <c r="M17" s="308"/>
      <c r="N17" s="308"/>
    </row>
    <row r="18" spans="1:15" x14ac:dyDescent="0.2">
      <c r="A18" s="174">
        <v>2024</v>
      </c>
      <c r="B18" s="175">
        <f>+E11</f>
        <v>120989.06999999999</v>
      </c>
      <c r="C18" s="175">
        <f>+F11</f>
        <v>25407.71</v>
      </c>
      <c r="D18" s="175">
        <f>+G11</f>
        <v>146396.78</v>
      </c>
      <c r="E18" s="307"/>
      <c r="F18" s="308"/>
      <c r="G18" s="308"/>
      <c r="H18" s="308"/>
      <c r="I18" s="308"/>
      <c r="J18" s="308"/>
      <c r="K18" s="308"/>
      <c r="L18" s="308"/>
      <c r="M18" s="308"/>
      <c r="N18" s="308"/>
    </row>
    <row r="19" spans="1:15" x14ac:dyDescent="0.2">
      <c r="A19" s="174">
        <v>2025</v>
      </c>
      <c r="B19" s="175">
        <f>+H11</f>
        <v>112963.85999999999</v>
      </c>
      <c r="C19" s="175">
        <f>+I11</f>
        <v>23722.409999999996</v>
      </c>
      <c r="D19" s="175">
        <f>+J11</f>
        <v>136686.27000000002</v>
      </c>
      <c r="E19" s="307"/>
      <c r="F19" s="308"/>
      <c r="G19" s="308"/>
      <c r="H19" s="308"/>
      <c r="I19" s="308"/>
      <c r="J19" s="308"/>
      <c r="K19" s="308"/>
      <c r="L19" s="308"/>
      <c r="M19" s="308"/>
      <c r="N19" s="308"/>
    </row>
    <row r="20" spans="1:15" x14ac:dyDescent="0.2">
      <c r="A20" s="174">
        <v>2026</v>
      </c>
      <c r="B20" s="175">
        <f>+K11</f>
        <v>81844.84</v>
      </c>
      <c r="C20" s="175">
        <f>+L11</f>
        <v>17187.419999999998</v>
      </c>
      <c r="D20" s="175">
        <f>+M11</f>
        <v>99032.260000000009</v>
      </c>
      <c r="E20" s="307"/>
      <c r="F20" s="308"/>
      <c r="G20" s="308"/>
      <c r="H20" s="308"/>
      <c r="I20" s="308"/>
      <c r="J20" s="308"/>
      <c r="K20" s="308"/>
      <c r="L20" s="308"/>
      <c r="M20" s="308"/>
      <c r="N20" s="308"/>
    </row>
    <row r="21" spans="1:15" x14ac:dyDescent="0.2">
      <c r="A21" s="174" t="s">
        <v>116</v>
      </c>
      <c r="B21" s="176">
        <f>SUM(B17:B20)</f>
        <v>459653.12</v>
      </c>
      <c r="C21" s="176">
        <f>SUM(C17:C20)</f>
        <v>96527.159999999989</v>
      </c>
      <c r="D21" s="176">
        <f>SUM(D17:D20)</f>
        <v>556180.28</v>
      </c>
      <c r="E21" s="307"/>
      <c r="F21" s="308"/>
      <c r="G21" s="308"/>
      <c r="H21" s="308"/>
      <c r="I21" s="308"/>
      <c r="J21" s="308"/>
      <c r="K21" s="308"/>
      <c r="L21" s="308"/>
      <c r="M21" s="308"/>
      <c r="N21" s="308"/>
    </row>
    <row r="22" spans="1:15" ht="16.350000000000001" customHeight="1" x14ac:dyDescent="0.2">
      <c r="D22" s="177">
        <f>+B21*1.21</f>
        <v>556180.27520000003</v>
      </c>
      <c r="E22" s="307"/>
      <c r="F22" s="308"/>
      <c r="G22" s="308"/>
      <c r="H22" s="308"/>
      <c r="I22" s="308"/>
      <c r="J22" s="308"/>
      <c r="K22" s="308"/>
      <c r="L22" s="308"/>
      <c r="M22" s="308"/>
      <c r="N22" s="308"/>
    </row>
    <row r="23" spans="1:15" ht="21.75" customHeight="1" x14ac:dyDescent="0.2">
      <c r="D23" s="178"/>
      <c r="E23" s="179"/>
    </row>
    <row r="24" spans="1:15" s="281" customFormat="1" ht="12.75" x14ac:dyDescent="0.2">
      <c r="A24" s="280" t="s">
        <v>128</v>
      </c>
      <c r="O24" s="282"/>
    </row>
    <row r="25" spans="1:15" s="281" customFormat="1" ht="13.5" thickBot="1" x14ac:dyDescent="0.25">
      <c r="L25" s="283"/>
    </row>
    <row r="26" spans="1:15" s="281" customFormat="1" ht="13.5" thickBot="1" x14ac:dyDescent="0.25">
      <c r="A26" s="284" t="s">
        <v>125</v>
      </c>
      <c r="B26" s="285" t="s">
        <v>290</v>
      </c>
      <c r="C26" s="285" t="s">
        <v>291</v>
      </c>
      <c r="D26" s="285" t="s">
        <v>122</v>
      </c>
      <c r="E26" s="285" t="s">
        <v>126</v>
      </c>
      <c r="F26" s="284" t="s">
        <v>127</v>
      </c>
      <c r="H26" s="284" t="s">
        <v>125</v>
      </c>
      <c r="I26" s="284" t="s">
        <v>292</v>
      </c>
      <c r="J26" s="284" t="s">
        <v>293</v>
      </c>
      <c r="N26" s="283"/>
    </row>
    <row r="27" spans="1:15" s="281" customFormat="1" ht="13.5" thickBot="1" x14ac:dyDescent="0.25">
      <c r="A27" s="286">
        <v>2023</v>
      </c>
      <c r="B27" s="124" t="s">
        <v>298</v>
      </c>
      <c r="C27" s="287" t="s">
        <v>294</v>
      </c>
      <c r="D27" s="288">
        <f>+D6+D7+D10</f>
        <v>51864.97</v>
      </c>
      <c r="E27" s="288">
        <f>+B6+B7+B10</f>
        <v>42863.619999999995</v>
      </c>
      <c r="F27" s="289">
        <f>+C6+C7+C10</f>
        <v>9001.35</v>
      </c>
      <c r="H27" s="286">
        <v>2023</v>
      </c>
      <c r="I27" s="290">
        <f>D27</f>
        <v>51864.97</v>
      </c>
      <c r="J27" s="290"/>
      <c r="K27" s="291"/>
      <c r="N27" s="283"/>
    </row>
    <row r="28" spans="1:15" s="281" customFormat="1" ht="13.5" thickBot="1" x14ac:dyDescent="0.25">
      <c r="A28" s="286">
        <v>2023</v>
      </c>
      <c r="B28" s="124" t="s">
        <v>298</v>
      </c>
      <c r="C28" s="287" t="s">
        <v>295</v>
      </c>
      <c r="D28" s="288">
        <f>+D8+D9</f>
        <v>122200</v>
      </c>
      <c r="E28" s="288">
        <f>+B8+B9</f>
        <v>100991.73</v>
      </c>
      <c r="F28" s="289">
        <f>+C8+C9</f>
        <v>21208.27</v>
      </c>
      <c r="H28" s="286">
        <v>2023</v>
      </c>
      <c r="I28" s="290"/>
      <c r="J28" s="290">
        <f>D28</f>
        <v>122200</v>
      </c>
      <c r="K28" s="291"/>
      <c r="N28" s="283"/>
    </row>
    <row r="29" spans="1:15" s="281" customFormat="1" ht="13.5" thickBot="1" x14ac:dyDescent="0.25">
      <c r="A29" s="286">
        <v>2024</v>
      </c>
      <c r="B29" s="124" t="s">
        <v>296</v>
      </c>
      <c r="C29" s="287" t="s">
        <v>294</v>
      </c>
      <c r="D29" s="288">
        <f>+G6+G7+G10</f>
        <v>128396.78</v>
      </c>
      <c r="E29" s="288">
        <f>+E6+E7+E10</f>
        <v>106113.04</v>
      </c>
      <c r="F29" s="289">
        <f>+F6+F7+F10</f>
        <v>22283.739999999998</v>
      </c>
      <c r="H29" s="286">
        <v>2024</v>
      </c>
      <c r="I29" s="290">
        <f>D29</f>
        <v>128396.78</v>
      </c>
      <c r="J29" s="290"/>
      <c r="K29" s="291"/>
      <c r="N29" s="283"/>
    </row>
    <row r="30" spans="1:15" s="281" customFormat="1" ht="13.5" thickBot="1" x14ac:dyDescent="0.25">
      <c r="A30" s="286">
        <v>2024</v>
      </c>
      <c r="B30" s="124" t="s">
        <v>296</v>
      </c>
      <c r="C30" s="287" t="s">
        <v>295</v>
      </c>
      <c r="D30" s="288">
        <f>+G8</f>
        <v>18000</v>
      </c>
      <c r="E30" s="288">
        <f>+E8</f>
        <v>14876.03</v>
      </c>
      <c r="F30" s="289">
        <f>+F8</f>
        <v>3123.97</v>
      </c>
      <c r="H30" s="286">
        <v>2024</v>
      </c>
      <c r="I30" s="290"/>
      <c r="J30" s="290">
        <f>D30</f>
        <v>18000</v>
      </c>
      <c r="K30" s="291"/>
      <c r="N30" s="283"/>
    </row>
    <row r="31" spans="1:15" s="281" customFormat="1" ht="13.5" thickBot="1" x14ac:dyDescent="0.25">
      <c r="A31" s="286">
        <v>2025</v>
      </c>
      <c r="B31" s="124" t="s">
        <v>296</v>
      </c>
      <c r="C31" s="287" t="s">
        <v>294</v>
      </c>
      <c r="D31" s="288">
        <f>+J6+J7+J10</f>
        <v>118686.27</v>
      </c>
      <c r="E31" s="288">
        <f>+H6+H7+H10</f>
        <v>98087.829999999987</v>
      </c>
      <c r="F31" s="288">
        <f>+I6+I7+I10</f>
        <v>20598.439999999999</v>
      </c>
      <c r="H31" s="286">
        <v>2025</v>
      </c>
      <c r="I31" s="290">
        <f>D31</f>
        <v>118686.27</v>
      </c>
      <c r="J31" s="290"/>
      <c r="K31" s="291"/>
      <c r="N31" s="283"/>
    </row>
    <row r="32" spans="1:15" s="281" customFormat="1" ht="13.5" thickBot="1" x14ac:dyDescent="0.25">
      <c r="A32" s="286">
        <v>2025</v>
      </c>
      <c r="B32" s="124" t="s">
        <v>296</v>
      </c>
      <c r="C32" s="287" t="s">
        <v>295</v>
      </c>
      <c r="D32" s="288">
        <f>+J8</f>
        <v>18000</v>
      </c>
      <c r="E32" s="288">
        <f>+H8</f>
        <v>14876.03</v>
      </c>
      <c r="F32" s="288">
        <f>+I8</f>
        <v>3123.97</v>
      </c>
      <c r="H32" s="286">
        <v>2025</v>
      </c>
      <c r="I32" s="290"/>
      <c r="J32" s="290">
        <f>D32</f>
        <v>18000</v>
      </c>
      <c r="K32" s="291"/>
      <c r="N32" s="283"/>
    </row>
    <row r="33" spans="1:14" s="281" customFormat="1" ht="13.5" thickBot="1" x14ac:dyDescent="0.25">
      <c r="A33" s="286">
        <v>2026</v>
      </c>
      <c r="B33" s="124" t="s">
        <v>299</v>
      </c>
      <c r="C33" s="287" t="s">
        <v>294</v>
      </c>
      <c r="D33" s="288">
        <f>+M6+M7+M10</f>
        <v>86604.86</v>
      </c>
      <c r="E33" s="288">
        <f>+K6+K7+K10</f>
        <v>71574.260000000009</v>
      </c>
      <c r="F33" s="288">
        <f>+L6+L7+L10</f>
        <v>15030.599999999999</v>
      </c>
      <c r="H33" s="286">
        <v>2026</v>
      </c>
      <c r="I33" s="290">
        <f>D33</f>
        <v>86604.86</v>
      </c>
      <c r="J33" s="290"/>
      <c r="K33" s="291"/>
      <c r="N33" s="283"/>
    </row>
    <row r="34" spans="1:14" s="281" customFormat="1" ht="13.5" thickBot="1" x14ac:dyDescent="0.25">
      <c r="A34" s="286">
        <v>2026</v>
      </c>
      <c r="B34" s="124" t="s">
        <v>299</v>
      </c>
      <c r="C34" s="287" t="s">
        <v>295</v>
      </c>
      <c r="D34" s="288">
        <f>+M8</f>
        <v>12427.4</v>
      </c>
      <c r="E34" s="288">
        <f>+K8</f>
        <v>10270.58</v>
      </c>
      <c r="F34" s="289">
        <f>+L8</f>
        <v>2156.8200000000002</v>
      </c>
      <c r="H34" s="286">
        <v>2026</v>
      </c>
      <c r="I34" s="290"/>
      <c r="J34" s="290">
        <f>+D34</f>
        <v>12427.4</v>
      </c>
      <c r="K34" s="291"/>
      <c r="N34" s="283"/>
    </row>
    <row r="35" spans="1:14" s="281" customFormat="1" ht="12.75" x14ac:dyDescent="0.2">
      <c r="A35" s="292" t="s">
        <v>116</v>
      </c>
      <c r="B35" s="292" t="s">
        <v>297</v>
      </c>
      <c r="C35" s="292"/>
      <c r="D35" s="292">
        <f>SUM(D27:D34)</f>
        <v>556180.28</v>
      </c>
      <c r="E35" s="292">
        <f>SUM(E27:E34)</f>
        <v>459653.12000000005</v>
      </c>
      <c r="F35" s="292">
        <f>SUM(F27:F34)</f>
        <v>96527.16</v>
      </c>
      <c r="H35" s="292" t="s">
        <v>116</v>
      </c>
      <c r="I35" s="292">
        <f>SUM(I27:I34)</f>
        <v>385552.88</v>
      </c>
      <c r="J35" s="292">
        <f>SUM(J27:J34)</f>
        <v>170627.4</v>
      </c>
      <c r="K35" s="309">
        <f>I35+J35</f>
        <v>556180.28</v>
      </c>
      <c r="N35" s="283"/>
    </row>
    <row r="36" spans="1:14" s="281" customFormat="1" ht="12.75" x14ac:dyDescent="0.2">
      <c r="A36" s="280"/>
      <c r="I36" s="293"/>
      <c r="L36" s="294"/>
    </row>
    <row r="37" spans="1:14" ht="21.75" customHeight="1" x14ac:dyDescent="0.2">
      <c r="D37" s="178"/>
      <c r="E37" s="179"/>
    </row>
    <row r="38" spans="1:14" x14ac:dyDescent="0.2">
      <c r="A38" s="172" t="s">
        <v>130</v>
      </c>
      <c r="E38" s="179"/>
    </row>
    <row r="39" spans="1:14" ht="36" x14ac:dyDescent="0.2">
      <c r="A39" s="180" t="s">
        <v>148</v>
      </c>
      <c r="B39" s="180" t="s">
        <v>149</v>
      </c>
      <c r="C39" s="180" t="s">
        <v>142</v>
      </c>
      <c r="D39" s="180" t="s">
        <v>120</v>
      </c>
      <c r="E39" s="180" t="s">
        <v>143</v>
      </c>
      <c r="F39" s="180" t="s">
        <v>121</v>
      </c>
    </row>
    <row r="40" spans="1:14" ht="48" x14ac:dyDescent="0.2">
      <c r="A40" s="181" t="s">
        <v>175</v>
      </c>
      <c r="B40" s="182">
        <v>556180.28</v>
      </c>
      <c r="C40" s="183">
        <v>0.2</v>
      </c>
      <c r="D40" s="184">
        <v>111236.06</v>
      </c>
      <c r="E40" s="183">
        <v>0.2</v>
      </c>
      <c r="F40" s="184">
        <v>111236.06</v>
      </c>
    </row>
    <row r="41" spans="1:14" x14ac:dyDescent="0.2">
      <c r="A41" s="185" t="s">
        <v>119</v>
      </c>
      <c r="B41" s="186">
        <f>SUM(B40:B40)</f>
        <v>556180.28</v>
      </c>
      <c r="C41" s="187">
        <f>SUM(C40:C40)</f>
        <v>0.2</v>
      </c>
      <c r="D41" s="188">
        <f>SUM(D40:D40)</f>
        <v>111236.06</v>
      </c>
      <c r="E41" s="187">
        <f>SUM(E40:E40)</f>
        <v>0.2</v>
      </c>
      <c r="F41" s="188">
        <f>SUM(F40:F40)</f>
        <v>111236.06</v>
      </c>
    </row>
    <row r="42" spans="1:14" x14ac:dyDescent="0.2">
      <c r="D42" s="189">
        <f>+ROUND(D41/1.21,2)</f>
        <v>91930.63</v>
      </c>
      <c r="F42" s="189">
        <f>+ROUND(F41/1.21,2)</f>
        <v>91930.63</v>
      </c>
    </row>
    <row r="43" spans="1:14" x14ac:dyDescent="0.2">
      <c r="D43" s="190" t="s">
        <v>145</v>
      </c>
      <c r="F43" s="190" t="s">
        <v>145</v>
      </c>
    </row>
    <row r="44" spans="1:14" x14ac:dyDescent="0.2">
      <c r="A44" s="172" t="s">
        <v>132</v>
      </c>
    </row>
    <row r="46" spans="1:14" ht="48" x14ac:dyDescent="0.2">
      <c r="A46" s="191"/>
      <c r="B46" s="192" t="s">
        <v>150</v>
      </c>
      <c r="C46" s="192" t="s">
        <v>118</v>
      </c>
      <c r="D46" s="192" t="s">
        <v>151</v>
      </c>
      <c r="E46" s="192" t="s">
        <v>152</v>
      </c>
      <c r="F46" s="192" t="s">
        <v>153</v>
      </c>
    </row>
    <row r="47" spans="1:14" x14ac:dyDescent="0.2">
      <c r="A47" s="191">
        <v>2023</v>
      </c>
      <c r="B47" s="193">
        <v>143855.35</v>
      </c>
      <c r="C47" s="184"/>
      <c r="D47" s="184">
        <v>21989.84</v>
      </c>
      <c r="E47" s="184">
        <v>-21989.84</v>
      </c>
      <c r="F47" s="237">
        <v>165845.19</v>
      </c>
      <c r="G47" s="195"/>
      <c r="J47" s="171"/>
    </row>
    <row r="48" spans="1:14" x14ac:dyDescent="0.2">
      <c r="A48" s="191">
        <v>2024</v>
      </c>
      <c r="B48" s="193">
        <v>120989.06999999999</v>
      </c>
      <c r="C48" s="184"/>
      <c r="D48" s="184">
        <v>18494.490000000002</v>
      </c>
      <c r="E48" s="184">
        <v>-18494.490000000002</v>
      </c>
      <c r="F48" s="194">
        <v>139483.56</v>
      </c>
      <c r="G48" s="195"/>
      <c r="J48" s="171"/>
    </row>
    <row r="49" spans="1:10" x14ac:dyDescent="0.2">
      <c r="A49" s="191">
        <v>2025</v>
      </c>
      <c r="B49" s="193">
        <v>112963.85999999999</v>
      </c>
      <c r="C49" s="184"/>
      <c r="D49" s="184">
        <v>17267.75</v>
      </c>
      <c r="E49" s="184">
        <v>-17267.75</v>
      </c>
      <c r="F49" s="194">
        <v>130231.60999999999</v>
      </c>
      <c r="G49" s="195"/>
      <c r="H49" s="195"/>
      <c r="J49" s="171"/>
    </row>
    <row r="50" spans="1:10" x14ac:dyDescent="0.2">
      <c r="A50" s="191">
        <v>2026</v>
      </c>
      <c r="B50" s="193">
        <v>81844.84</v>
      </c>
      <c r="C50" s="193">
        <v>21717.75</v>
      </c>
      <c r="D50" s="184">
        <v>15830.66</v>
      </c>
      <c r="E50" s="184">
        <v>-15830.66</v>
      </c>
      <c r="F50" s="194">
        <v>119393.25</v>
      </c>
      <c r="G50" s="195"/>
      <c r="J50" s="171"/>
    </row>
    <row r="51" spans="1:10" x14ac:dyDescent="0.2">
      <c r="A51" s="191">
        <v>2027</v>
      </c>
      <c r="B51" s="193"/>
      <c r="C51" s="193">
        <v>82596.92</v>
      </c>
      <c r="D51" s="184">
        <v>12625.83</v>
      </c>
      <c r="E51" s="184">
        <v>-12625.83</v>
      </c>
      <c r="F51" s="194">
        <v>95222.75</v>
      </c>
      <c r="G51" s="195"/>
      <c r="J51" s="171"/>
    </row>
    <row r="52" spans="1:10" x14ac:dyDescent="0.2">
      <c r="A52" s="191">
        <v>2028</v>
      </c>
      <c r="B52" s="193"/>
      <c r="C52" s="193">
        <v>37433.14</v>
      </c>
      <c r="D52" s="184">
        <v>5722.06</v>
      </c>
      <c r="E52" s="184">
        <v>-5722.06</v>
      </c>
      <c r="F52" s="194">
        <v>43155.199999999997</v>
      </c>
      <c r="G52" s="195"/>
    </row>
    <row r="53" spans="1:10" x14ac:dyDescent="0.2">
      <c r="A53" s="196" t="s">
        <v>116</v>
      </c>
      <c r="B53" s="188">
        <v>459653.12</v>
      </c>
      <c r="C53" s="188">
        <v>141747.81</v>
      </c>
      <c r="D53" s="188">
        <v>91930.63</v>
      </c>
      <c r="E53" s="188">
        <v>-91930.63</v>
      </c>
      <c r="F53" s="188">
        <v>693331.55999999994</v>
      </c>
      <c r="G53" s="249"/>
      <c r="H53" s="197"/>
    </row>
    <row r="54" spans="1:10" x14ac:dyDescent="0.2">
      <c r="A54" s="198"/>
      <c r="B54" s="199"/>
      <c r="C54" s="199"/>
      <c r="D54" s="199"/>
      <c r="E54" s="199"/>
      <c r="F54" s="199"/>
      <c r="G54" s="197"/>
    </row>
    <row r="57" spans="1:10" x14ac:dyDescent="0.2">
      <c r="A57" s="200"/>
      <c r="B57" s="200"/>
      <c r="C57" s="200"/>
    </row>
    <row r="58" spans="1:10" x14ac:dyDescent="0.2">
      <c r="A58" s="201" t="s">
        <v>132</v>
      </c>
      <c r="B58" s="300" t="s">
        <v>176</v>
      </c>
      <c r="C58" s="301"/>
      <c r="D58" s="301"/>
      <c r="E58" s="301"/>
    </row>
    <row r="59" spans="1:10" x14ac:dyDescent="0.2">
      <c r="A59" s="202">
        <f>+F53</f>
        <v>693331.55999999994</v>
      </c>
      <c r="B59" s="302" t="s">
        <v>168</v>
      </c>
      <c r="C59" s="303"/>
      <c r="D59" s="302" t="s">
        <v>169</v>
      </c>
      <c r="E59" s="303"/>
    </row>
    <row r="60" spans="1:10" x14ac:dyDescent="0.2">
      <c r="A60" s="201" t="s">
        <v>177</v>
      </c>
      <c r="B60" s="201" t="s">
        <v>178</v>
      </c>
      <c r="C60" s="201" t="s">
        <v>179</v>
      </c>
      <c r="D60" s="201" t="s">
        <v>180</v>
      </c>
      <c r="E60" s="201" t="s">
        <v>179</v>
      </c>
    </row>
    <row r="61" spans="1:10" x14ac:dyDescent="0.2">
      <c r="A61" s="203">
        <v>5</v>
      </c>
      <c r="B61" s="184">
        <f>+C61/A61</f>
        <v>207999.46799999996</v>
      </c>
      <c r="C61" s="184">
        <f>1.5*A59</f>
        <v>1039997.3399999999</v>
      </c>
      <c r="D61" s="184">
        <f>ROUND(A59*2/3/A61,2)</f>
        <v>92444.21</v>
      </c>
      <c r="E61" s="184">
        <f>+C61</f>
        <v>1039997.3399999999</v>
      </c>
      <c r="F61" s="204"/>
    </row>
    <row r="62" spans="1:10" x14ac:dyDescent="0.2">
      <c r="B62" s="205" t="s">
        <v>181</v>
      </c>
      <c r="C62" s="205" t="s">
        <v>182</v>
      </c>
      <c r="D62" s="206" t="s">
        <v>183</v>
      </c>
      <c r="E62" s="205" t="s">
        <v>182</v>
      </c>
    </row>
    <row r="63" spans="1:10" x14ac:dyDescent="0.2">
      <c r="D63" s="200"/>
    </row>
    <row r="64" spans="1:10" x14ac:dyDescent="0.2">
      <c r="D64" s="200" t="s">
        <v>134</v>
      </c>
    </row>
    <row r="65" spans="2:4" x14ac:dyDescent="0.2">
      <c r="D65" s="207"/>
    </row>
    <row r="66" spans="2:4" x14ac:dyDescent="0.2">
      <c r="D66" s="207"/>
    </row>
    <row r="67" spans="2:4" x14ac:dyDescent="0.2">
      <c r="D67" s="200"/>
    </row>
    <row r="68" spans="2:4" x14ac:dyDescent="0.2">
      <c r="D68" s="200"/>
    </row>
    <row r="69" spans="2:4" x14ac:dyDescent="0.2">
      <c r="D69" s="200"/>
    </row>
    <row r="70" spans="2:4" x14ac:dyDescent="0.2">
      <c r="B70" s="171"/>
      <c r="D70" s="200"/>
    </row>
    <row r="71" spans="2:4" x14ac:dyDescent="0.2">
      <c r="D71" s="200"/>
    </row>
    <row r="72" spans="2:4" x14ac:dyDescent="0.2">
      <c r="D72" s="200"/>
    </row>
  </sheetData>
  <sheetProtection algorithmName="SHA-512" hashValue="A8lhb/fpb7NtkqXdJmlcubXe7eCDYrHxqEHwrir88If76R5UZz3zZuIXoqs5Xp2g6R8sjxBNGYMzOlPcE49H2A==" saltValue="kukm+D+C3gNU2UZFSSf6cA==" spinCount="100000" sheet="1" objects="1" scenarios="1"/>
  <mergeCells count="8">
    <mergeCell ref="B58:E58"/>
    <mergeCell ref="B59:C59"/>
    <mergeCell ref="D59:E59"/>
    <mergeCell ref="B4:D4"/>
    <mergeCell ref="H4:J4"/>
    <mergeCell ref="E4:G4"/>
    <mergeCell ref="E17:N22"/>
    <mergeCell ref="K4:M4"/>
  </mergeCells>
  <pageMargins left="0.7" right="0.7" top="0.75" bottom="0.75" header="0.3" footer="0.3"/>
  <pageSetup paperSize="9" orientation="portrait" r:id="rId1"/>
  <ignoredErrors>
    <ignoredError sqref="B20 B21:D21 C20:D20 D2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C18" sqref="C18:C19"/>
    </sheetView>
  </sheetViews>
  <sheetFormatPr baseColWidth="10" defaultColWidth="14.42578125" defaultRowHeight="15" x14ac:dyDescent="0.25"/>
  <cols>
    <col min="1" max="2" width="11.42578125" style="101" customWidth="1"/>
    <col min="3" max="3" width="44.42578125" style="101" customWidth="1"/>
    <col min="4" max="4" width="14.42578125" style="101" bestFit="1" customWidth="1"/>
    <col min="5" max="5" width="13.140625" style="101" customWidth="1"/>
    <col min="6" max="7" width="15.85546875" style="101" customWidth="1"/>
    <col min="8" max="8" width="14.140625" style="101" customWidth="1"/>
    <col min="9" max="9" width="17" style="101" customWidth="1"/>
    <col min="10" max="10" width="13.5703125" style="101" customWidth="1"/>
    <col min="11" max="11" width="18.42578125" style="101" bestFit="1" customWidth="1"/>
    <col min="12" max="12" width="17.5703125" style="101" customWidth="1"/>
    <col min="13" max="26" width="11.42578125" style="101" customWidth="1"/>
    <col min="27" max="16384" width="14.42578125" style="101"/>
  </cols>
  <sheetData>
    <row r="1" spans="1:11" x14ac:dyDescent="0.25">
      <c r="G1" s="102"/>
    </row>
    <row r="2" spans="1:11" x14ac:dyDescent="0.25">
      <c r="A2" s="103" t="s">
        <v>155</v>
      </c>
      <c r="B2" s="279"/>
      <c r="C2" s="104"/>
      <c r="D2" s="104"/>
      <c r="E2" s="104"/>
      <c r="F2" s="104"/>
      <c r="G2" s="105"/>
      <c r="H2" s="104"/>
      <c r="I2" s="104"/>
    </row>
    <row r="3" spans="1:11" ht="15.75" customHeight="1" x14ac:dyDescent="0.25">
      <c r="G3" s="102"/>
    </row>
    <row r="4" spans="1:11" s="100" customFormat="1" ht="44.25" customHeight="1" x14ac:dyDescent="0.25">
      <c r="A4" s="137"/>
      <c r="B4" s="138"/>
      <c r="C4" s="136" t="s">
        <v>156</v>
      </c>
      <c r="D4" s="139" t="s">
        <v>157</v>
      </c>
      <c r="E4" s="138" t="s">
        <v>158</v>
      </c>
      <c r="F4" s="139" t="s">
        <v>289</v>
      </c>
      <c r="G4" s="140" t="s">
        <v>159</v>
      </c>
      <c r="H4" s="138" t="s">
        <v>160</v>
      </c>
      <c r="I4" s="139" t="s">
        <v>161</v>
      </c>
      <c r="J4" s="139" t="s">
        <v>162</v>
      </c>
      <c r="K4" s="140" t="s">
        <v>174</v>
      </c>
    </row>
    <row r="5" spans="1:11" ht="15.75" customHeight="1" x14ac:dyDescent="0.25">
      <c r="A5" s="107"/>
      <c r="B5" s="106"/>
      <c r="C5" s="132">
        <f>'Taules IJ'!B21</f>
        <v>459653.12</v>
      </c>
      <c r="D5" s="108">
        <f>ROUND(C5*0.2, 2)</f>
        <v>91930.62</v>
      </c>
      <c r="E5" s="109">
        <f>ROUND(C5-D5, 2)</f>
        <v>367722.5</v>
      </c>
      <c r="F5" s="108">
        <f>ROUND(C5*0.064, 2)</f>
        <v>29417.8</v>
      </c>
      <c r="G5" s="110">
        <f>ROUND(D5+F5, 2)</f>
        <v>121348.42</v>
      </c>
      <c r="H5" s="109">
        <f>ROUND(E5-F5, 2)</f>
        <v>338304.7</v>
      </c>
      <c r="I5" s="108">
        <f>ROUND(H5*(0.34/1.34), 2)</f>
        <v>85838.51</v>
      </c>
      <c r="J5" s="108">
        <f>ROUND(H5-I5, 2)</f>
        <v>252466.19</v>
      </c>
      <c r="K5" s="110">
        <f>+H5</f>
        <v>338304.7</v>
      </c>
    </row>
    <row r="6" spans="1:11" ht="15.75" customHeight="1" x14ac:dyDescent="0.25">
      <c r="A6" s="111"/>
      <c r="G6" s="102"/>
    </row>
    <row r="7" spans="1:11" ht="15.75" customHeight="1" x14ac:dyDescent="0.25">
      <c r="C7" s="148" t="s">
        <v>163</v>
      </c>
      <c r="D7" s="148"/>
      <c r="G7" s="102"/>
    </row>
    <row r="8" spans="1:11" ht="15.75" customHeight="1" x14ac:dyDescent="0.25">
      <c r="C8" s="150" t="s">
        <v>164</v>
      </c>
      <c r="D8" s="152">
        <f>J5</f>
        <v>252466.19</v>
      </c>
      <c r="G8" s="102"/>
    </row>
    <row r="9" spans="1:11" ht="15.75" customHeight="1" x14ac:dyDescent="0.25">
      <c r="C9" s="150" t="s">
        <v>284</v>
      </c>
      <c r="D9" s="152">
        <f>I5</f>
        <v>85838.51</v>
      </c>
      <c r="G9" s="102"/>
    </row>
    <row r="10" spans="1:11" ht="15.75" customHeight="1" x14ac:dyDescent="0.25">
      <c r="C10" s="150" t="s">
        <v>165</v>
      </c>
      <c r="D10" s="153">
        <f>+K5</f>
        <v>338304.7</v>
      </c>
      <c r="G10" s="102"/>
    </row>
    <row r="11" spans="1:11" ht="15.75" customHeight="1" x14ac:dyDescent="0.25">
      <c r="C11" s="112"/>
      <c r="D11" s="154"/>
      <c r="G11" s="102"/>
    </row>
    <row r="12" spans="1:11" ht="15.75" customHeight="1" x14ac:dyDescent="0.25">
      <c r="C12" s="148" t="s">
        <v>166</v>
      </c>
      <c r="D12" s="155"/>
      <c r="G12" s="102"/>
    </row>
    <row r="13" spans="1:11" ht="15.75" customHeight="1" x14ac:dyDescent="0.25">
      <c r="C13" s="151" t="s">
        <v>285</v>
      </c>
      <c r="D13" s="152">
        <f>F5</f>
        <v>29417.8</v>
      </c>
      <c r="G13" s="102"/>
    </row>
    <row r="14" spans="1:11" ht="15.75" customHeight="1" x14ac:dyDescent="0.25">
      <c r="C14" s="151" t="s">
        <v>286</v>
      </c>
      <c r="D14" s="152">
        <f>D5</f>
        <v>91930.62</v>
      </c>
      <c r="G14" s="102"/>
    </row>
    <row r="15" spans="1:11" ht="15.75" customHeight="1" x14ac:dyDescent="0.25">
      <c r="C15" s="151" t="s">
        <v>167</v>
      </c>
      <c r="D15" s="156">
        <f>G5</f>
        <v>121348.42</v>
      </c>
      <c r="G15" s="102"/>
    </row>
    <row r="16" spans="1:11" ht="15.75" customHeight="1" x14ac:dyDescent="0.25">
      <c r="C16" s="113"/>
      <c r="D16" s="113"/>
      <c r="G16" s="102"/>
    </row>
    <row r="17" spans="3:12" ht="15.75" customHeight="1" x14ac:dyDescent="0.25">
      <c r="C17" s="148" t="s">
        <v>170</v>
      </c>
      <c r="D17" s="149">
        <f>D10+D15</f>
        <v>459653.12</v>
      </c>
      <c r="G17" s="102"/>
      <c r="K17" s="114"/>
      <c r="L17" s="114"/>
    </row>
    <row r="18" spans="3:12" x14ac:dyDescent="0.25">
      <c r="C18" s="278" t="s">
        <v>287</v>
      </c>
      <c r="G18" s="102"/>
    </row>
    <row r="19" spans="3:12" x14ac:dyDescent="0.25">
      <c r="C19" s="278" t="s">
        <v>288</v>
      </c>
      <c r="G19" s="102"/>
    </row>
    <row r="20" spans="3:12" x14ac:dyDescent="0.25">
      <c r="G20" s="102"/>
    </row>
    <row r="21" spans="3:12" x14ac:dyDescent="0.25">
      <c r="G21" s="102"/>
    </row>
    <row r="22" spans="3:12" x14ac:dyDescent="0.25">
      <c r="G22" s="102"/>
    </row>
    <row r="23" spans="3:12" x14ac:dyDescent="0.25">
      <c r="G23" s="102"/>
    </row>
    <row r="24" spans="3:12" x14ac:dyDescent="0.25">
      <c r="G24" s="102"/>
    </row>
    <row r="25" spans="3:12" x14ac:dyDescent="0.25">
      <c r="G25" s="102"/>
    </row>
    <row r="26" spans="3:12" x14ac:dyDescent="0.25">
      <c r="G26" s="102"/>
    </row>
    <row r="27" spans="3:12" x14ac:dyDescent="0.25">
      <c r="G27" s="102"/>
    </row>
    <row r="28" spans="3:12" x14ac:dyDescent="0.25">
      <c r="G28" s="102"/>
    </row>
    <row r="29" spans="3:12" x14ac:dyDescent="0.25">
      <c r="G29" s="102"/>
    </row>
    <row r="30" spans="3:12" x14ac:dyDescent="0.25">
      <c r="G30" s="102"/>
    </row>
    <row r="31" spans="3:12" x14ac:dyDescent="0.25">
      <c r="G31" s="102"/>
    </row>
    <row r="32" spans="3:12" x14ac:dyDescent="0.25">
      <c r="G32" s="102"/>
    </row>
    <row r="33" spans="7:7" x14ac:dyDescent="0.25">
      <c r="G33" s="102"/>
    </row>
    <row r="34" spans="7:7" x14ac:dyDescent="0.25">
      <c r="G34" s="102"/>
    </row>
    <row r="35" spans="7:7" x14ac:dyDescent="0.25">
      <c r="G35" s="102"/>
    </row>
    <row r="36" spans="7:7" x14ac:dyDescent="0.25">
      <c r="G36" s="102"/>
    </row>
    <row r="37" spans="7:7" x14ac:dyDescent="0.25">
      <c r="G37" s="102"/>
    </row>
    <row r="38" spans="7:7" x14ac:dyDescent="0.25">
      <c r="G38" s="102"/>
    </row>
    <row r="39" spans="7:7" x14ac:dyDescent="0.25">
      <c r="G39" s="102"/>
    </row>
    <row r="40" spans="7:7" x14ac:dyDescent="0.25">
      <c r="G40" s="102"/>
    </row>
    <row r="41" spans="7:7" x14ac:dyDescent="0.25">
      <c r="G41" s="102"/>
    </row>
    <row r="42" spans="7:7" x14ac:dyDescent="0.25">
      <c r="G42" s="102"/>
    </row>
    <row r="43" spans="7:7" x14ac:dyDescent="0.25">
      <c r="G43" s="102"/>
    </row>
    <row r="44" spans="7:7" x14ac:dyDescent="0.25">
      <c r="G44" s="102"/>
    </row>
    <row r="45" spans="7:7" x14ac:dyDescent="0.25">
      <c r="G45" s="102"/>
    </row>
    <row r="46" spans="7:7" x14ac:dyDescent="0.25">
      <c r="G46" s="102"/>
    </row>
    <row r="47" spans="7:7" x14ac:dyDescent="0.25">
      <c r="G47" s="102"/>
    </row>
    <row r="48" spans="7:7" x14ac:dyDescent="0.25">
      <c r="G48" s="102"/>
    </row>
    <row r="49" spans="7:7" x14ac:dyDescent="0.25">
      <c r="G49" s="102"/>
    </row>
    <row r="50" spans="7:7" x14ac:dyDescent="0.25">
      <c r="G50" s="102"/>
    </row>
    <row r="51" spans="7:7" x14ac:dyDescent="0.25">
      <c r="G51" s="102"/>
    </row>
    <row r="52" spans="7:7" x14ac:dyDescent="0.25">
      <c r="G52" s="102"/>
    </row>
    <row r="53" spans="7:7" x14ac:dyDescent="0.25">
      <c r="G53" s="102"/>
    </row>
    <row r="54" spans="7:7" x14ac:dyDescent="0.25">
      <c r="G54" s="102"/>
    </row>
    <row r="55" spans="7:7" x14ac:dyDescent="0.25">
      <c r="G55" s="102"/>
    </row>
    <row r="56" spans="7:7" x14ac:dyDescent="0.25">
      <c r="G56" s="102"/>
    </row>
    <row r="57" spans="7:7" x14ac:dyDescent="0.25">
      <c r="G57" s="102"/>
    </row>
    <row r="58" spans="7:7" x14ac:dyDescent="0.25">
      <c r="G58" s="102"/>
    </row>
    <row r="59" spans="7:7" x14ac:dyDescent="0.25">
      <c r="G59" s="102"/>
    </row>
    <row r="60" spans="7:7" x14ac:dyDescent="0.25">
      <c r="G60" s="102"/>
    </row>
    <row r="61" spans="7:7" x14ac:dyDescent="0.25">
      <c r="G61" s="102"/>
    </row>
    <row r="62" spans="7:7" x14ac:dyDescent="0.25">
      <c r="G62" s="102"/>
    </row>
    <row r="63" spans="7:7" x14ac:dyDescent="0.25">
      <c r="G63" s="102"/>
    </row>
    <row r="64" spans="7:7" x14ac:dyDescent="0.25">
      <c r="G64" s="102"/>
    </row>
    <row r="65" spans="7:7" x14ac:dyDescent="0.25">
      <c r="G65" s="102"/>
    </row>
    <row r="66" spans="7:7" x14ac:dyDescent="0.25">
      <c r="G66" s="102"/>
    </row>
    <row r="67" spans="7:7" x14ac:dyDescent="0.25">
      <c r="G67" s="102"/>
    </row>
    <row r="68" spans="7:7" x14ac:dyDescent="0.25">
      <c r="G68" s="102"/>
    </row>
    <row r="69" spans="7:7" x14ac:dyDescent="0.25">
      <c r="G69" s="102"/>
    </row>
    <row r="70" spans="7:7" x14ac:dyDescent="0.25">
      <c r="G70" s="102"/>
    </row>
    <row r="71" spans="7:7" x14ac:dyDescent="0.25">
      <c r="G71" s="102"/>
    </row>
    <row r="72" spans="7:7" x14ac:dyDescent="0.25">
      <c r="G72" s="102"/>
    </row>
    <row r="73" spans="7:7" x14ac:dyDescent="0.25">
      <c r="G73" s="102"/>
    </row>
    <row r="74" spans="7:7" x14ac:dyDescent="0.25">
      <c r="G74" s="102"/>
    </row>
    <row r="75" spans="7:7" x14ac:dyDescent="0.25">
      <c r="G75" s="102"/>
    </row>
    <row r="76" spans="7:7" x14ac:dyDescent="0.25">
      <c r="G76" s="102"/>
    </row>
    <row r="77" spans="7:7" x14ac:dyDescent="0.25">
      <c r="G77" s="102"/>
    </row>
    <row r="78" spans="7:7" x14ac:dyDescent="0.25">
      <c r="G78" s="102"/>
    </row>
    <row r="79" spans="7:7" x14ac:dyDescent="0.25">
      <c r="G79" s="102"/>
    </row>
    <row r="80" spans="7:7" x14ac:dyDescent="0.25">
      <c r="G80" s="102"/>
    </row>
    <row r="81" spans="7:7" x14ac:dyDescent="0.25">
      <c r="G81" s="102"/>
    </row>
    <row r="82" spans="7:7" x14ac:dyDescent="0.25">
      <c r="G82" s="102"/>
    </row>
    <row r="83" spans="7:7" x14ac:dyDescent="0.25">
      <c r="G83" s="102"/>
    </row>
    <row r="84" spans="7:7" x14ac:dyDescent="0.25">
      <c r="G84" s="102"/>
    </row>
    <row r="85" spans="7:7" x14ac:dyDescent="0.25">
      <c r="G85" s="102"/>
    </row>
    <row r="86" spans="7:7" x14ac:dyDescent="0.25">
      <c r="G86" s="102"/>
    </row>
    <row r="87" spans="7:7" x14ac:dyDescent="0.25">
      <c r="G87" s="102"/>
    </row>
    <row r="88" spans="7:7" x14ac:dyDescent="0.25">
      <c r="G88" s="102"/>
    </row>
    <row r="89" spans="7:7" x14ac:dyDescent="0.25">
      <c r="G89" s="102"/>
    </row>
    <row r="90" spans="7:7" x14ac:dyDescent="0.25">
      <c r="G90" s="102"/>
    </row>
    <row r="91" spans="7:7" x14ac:dyDescent="0.25">
      <c r="G91" s="102"/>
    </row>
    <row r="92" spans="7:7" x14ac:dyDescent="0.25">
      <c r="G92" s="102"/>
    </row>
    <row r="93" spans="7:7" x14ac:dyDescent="0.25">
      <c r="G93" s="102"/>
    </row>
    <row r="94" spans="7:7" x14ac:dyDescent="0.25">
      <c r="G94" s="102"/>
    </row>
    <row r="95" spans="7:7" x14ac:dyDescent="0.25">
      <c r="G95" s="102"/>
    </row>
    <row r="96" spans="7:7" x14ac:dyDescent="0.25">
      <c r="G96" s="102"/>
    </row>
    <row r="97" spans="7:7" x14ac:dyDescent="0.25">
      <c r="G97" s="102"/>
    </row>
    <row r="98" spans="7:7" x14ac:dyDescent="0.25">
      <c r="G98" s="102"/>
    </row>
    <row r="99" spans="7:7" x14ac:dyDescent="0.25">
      <c r="G99" s="102"/>
    </row>
    <row r="100" spans="7:7" x14ac:dyDescent="0.25">
      <c r="G100" s="102"/>
    </row>
    <row r="101" spans="7:7" x14ac:dyDescent="0.25">
      <c r="G101" s="102"/>
    </row>
    <row r="102" spans="7:7" x14ac:dyDescent="0.25">
      <c r="G102" s="102"/>
    </row>
    <row r="103" spans="7:7" x14ac:dyDescent="0.25">
      <c r="G103" s="102"/>
    </row>
    <row r="104" spans="7:7" x14ac:dyDescent="0.25">
      <c r="G104" s="102"/>
    </row>
    <row r="105" spans="7:7" x14ac:dyDescent="0.25">
      <c r="G105" s="102"/>
    </row>
    <row r="106" spans="7:7" x14ac:dyDescent="0.25">
      <c r="G106" s="102"/>
    </row>
    <row r="107" spans="7:7" x14ac:dyDescent="0.25">
      <c r="G107" s="102"/>
    </row>
    <row r="108" spans="7:7" x14ac:dyDescent="0.25">
      <c r="G108" s="102"/>
    </row>
    <row r="109" spans="7:7" x14ac:dyDescent="0.25">
      <c r="G109" s="102"/>
    </row>
    <row r="110" spans="7:7" x14ac:dyDescent="0.25">
      <c r="G110" s="102"/>
    </row>
    <row r="111" spans="7:7" x14ac:dyDescent="0.25">
      <c r="G111" s="102"/>
    </row>
    <row r="112" spans="7:7" x14ac:dyDescent="0.25">
      <c r="G112" s="102"/>
    </row>
    <row r="113" spans="7:7" x14ac:dyDescent="0.25">
      <c r="G113" s="102"/>
    </row>
    <row r="114" spans="7:7" x14ac:dyDescent="0.25">
      <c r="G114" s="102"/>
    </row>
    <row r="115" spans="7:7" x14ac:dyDescent="0.25">
      <c r="G115" s="102"/>
    </row>
    <row r="116" spans="7:7" x14ac:dyDescent="0.25">
      <c r="G116" s="102"/>
    </row>
    <row r="117" spans="7:7" x14ac:dyDescent="0.25">
      <c r="G117" s="102"/>
    </row>
    <row r="118" spans="7:7" x14ac:dyDescent="0.25">
      <c r="G118" s="102"/>
    </row>
    <row r="119" spans="7:7" x14ac:dyDescent="0.25">
      <c r="G119" s="102"/>
    </row>
    <row r="120" spans="7:7" x14ac:dyDescent="0.25">
      <c r="G120" s="102"/>
    </row>
    <row r="121" spans="7:7" x14ac:dyDescent="0.25">
      <c r="G121" s="102"/>
    </row>
    <row r="122" spans="7:7" x14ac:dyDescent="0.25">
      <c r="G122" s="102"/>
    </row>
    <row r="123" spans="7:7" x14ac:dyDescent="0.25">
      <c r="G123" s="102"/>
    </row>
    <row r="124" spans="7:7" x14ac:dyDescent="0.25">
      <c r="G124" s="102"/>
    </row>
    <row r="125" spans="7:7" x14ac:dyDescent="0.25">
      <c r="G125" s="102"/>
    </row>
    <row r="126" spans="7:7" x14ac:dyDescent="0.25">
      <c r="G126" s="102"/>
    </row>
    <row r="127" spans="7:7" x14ac:dyDescent="0.25">
      <c r="G127" s="102"/>
    </row>
    <row r="128" spans="7:7" x14ac:dyDescent="0.25">
      <c r="G128" s="102"/>
    </row>
    <row r="129" spans="7:7" x14ac:dyDescent="0.25">
      <c r="G129" s="102"/>
    </row>
    <row r="130" spans="7:7" x14ac:dyDescent="0.25">
      <c r="G130" s="102"/>
    </row>
    <row r="131" spans="7:7" x14ac:dyDescent="0.25">
      <c r="G131" s="102"/>
    </row>
    <row r="132" spans="7:7" x14ac:dyDescent="0.25">
      <c r="G132" s="102"/>
    </row>
    <row r="133" spans="7:7" x14ac:dyDescent="0.25">
      <c r="G133" s="102"/>
    </row>
    <row r="134" spans="7:7" x14ac:dyDescent="0.25">
      <c r="G134" s="102"/>
    </row>
    <row r="135" spans="7:7" x14ac:dyDescent="0.25">
      <c r="G135" s="102"/>
    </row>
    <row r="136" spans="7:7" x14ac:dyDescent="0.25">
      <c r="G136" s="102"/>
    </row>
    <row r="137" spans="7:7" x14ac:dyDescent="0.25">
      <c r="G137" s="102"/>
    </row>
    <row r="138" spans="7:7" x14ac:dyDescent="0.25">
      <c r="G138" s="102"/>
    </row>
    <row r="139" spans="7:7" x14ac:dyDescent="0.25">
      <c r="G139" s="102"/>
    </row>
    <row r="140" spans="7:7" x14ac:dyDescent="0.25">
      <c r="G140" s="102"/>
    </row>
    <row r="141" spans="7:7" x14ac:dyDescent="0.25">
      <c r="G141" s="102"/>
    </row>
    <row r="142" spans="7:7" x14ac:dyDescent="0.25">
      <c r="G142" s="102"/>
    </row>
    <row r="143" spans="7:7" x14ac:dyDescent="0.25">
      <c r="G143" s="102"/>
    </row>
    <row r="144" spans="7:7" x14ac:dyDescent="0.25">
      <c r="G144" s="102"/>
    </row>
    <row r="145" spans="7:7" x14ac:dyDescent="0.25">
      <c r="G145" s="102"/>
    </row>
    <row r="146" spans="7:7" x14ac:dyDescent="0.25">
      <c r="G146" s="102"/>
    </row>
    <row r="147" spans="7:7" x14ac:dyDescent="0.25">
      <c r="G147" s="102"/>
    </row>
    <row r="148" spans="7:7" x14ac:dyDescent="0.25">
      <c r="G148" s="102"/>
    </row>
    <row r="149" spans="7:7" x14ac:dyDescent="0.25">
      <c r="G149" s="102"/>
    </row>
    <row r="150" spans="7:7" x14ac:dyDescent="0.25">
      <c r="G150" s="102"/>
    </row>
    <row r="151" spans="7:7" x14ac:dyDescent="0.25">
      <c r="G151" s="102"/>
    </row>
    <row r="152" spans="7:7" x14ac:dyDescent="0.25">
      <c r="G152" s="102"/>
    </row>
    <row r="153" spans="7:7" x14ac:dyDescent="0.25">
      <c r="G153" s="102"/>
    </row>
    <row r="154" spans="7:7" x14ac:dyDescent="0.25">
      <c r="G154" s="102"/>
    </row>
    <row r="155" spans="7:7" x14ac:dyDescent="0.25">
      <c r="G155" s="102"/>
    </row>
    <row r="156" spans="7:7" x14ac:dyDescent="0.25">
      <c r="G156" s="102"/>
    </row>
    <row r="157" spans="7:7" x14ac:dyDescent="0.25">
      <c r="G157" s="102"/>
    </row>
    <row r="158" spans="7:7" x14ac:dyDescent="0.25">
      <c r="G158" s="102"/>
    </row>
    <row r="159" spans="7:7" x14ac:dyDescent="0.25">
      <c r="G159" s="102"/>
    </row>
    <row r="160" spans="7:7" x14ac:dyDescent="0.25">
      <c r="G160" s="102"/>
    </row>
    <row r="161" spans="7:7" x14ac:dyDescent="0.25">
      <c r="G161" s="102"/>
    </row>
    <row r="162" spans="7:7" x14ac:dyDescent="0.25">
      <c r="G162" s="102"/>
    </row>
    <row r="163" spans="7:7" x14ac:dyDescent="0.25">
      <c r="G163" s="102"/>
    </row>
    <row r="164" spans="7:7" x14ac:dyDescent="0.25">
      <c r="G164" s="102"/>
    </row>
    <row r="165" spans="7:7" x14ac:dyDescent="0.25">
      <c r="G165" s="102"/>
    </row>
    <row r="166" spans="7:7" x14ac:dyDescent="0.25">
      <c r="G166" s="102"/>
    </row>
    <row r="167" spans="7:7" x14ac:dyDescent="0.25">
      <c r="G167" s="102"/>
    </row>
    <row r="168" spans="7:7" x14ac:dyDescent="0.25">
      <c r="G168" s="102"/>
    </row>
    <row r="169" spans="7:7" x14ac:dyDescent="0.25">
      <c r="G169" s="102"/>
    </row>
    <row r="170" spans="7:7" x14ac:dyDescent="0.25">
      <c r="G170" s="102"/>
    </row>
    <row r="171" spans="7:7" x14ac:dyDescent="0.25">
      <c r="G171" s="102"/>
    </row>
    <row r="172" spans="7:7" x14ac:dyDescent="0.25">
      <c r="G172" s="102"/>
    </row>
    <row r="173" spans="7:7" x14ac:dyDescent="0.25">
      <c r="G173" s="102"/>
    </row>
    <row r="174" spans="7:7" x14ac:dyDescent="0.25">
      <c r="G174" s="102"/>
    </row>
    <row r="175" spans="7:7" x14ac:dyDescent="0.25">
      <c r="G175" s="102"/>
    </row>
    <row r="176" spans="7:7" x14ac:dyDescent="0.25">
      <c r="G176" s="102"/>
    </row>
    <row r="177" spans="7:7" x14ac:dyDescent="0.25">
      <c r="G177" s="102"/>
    </row>
    <row r="178" spans="7:7" x14ac:dyDescent="0.25">
      <c r="G178" s="102"/>
    </row>
    <row r="179" spans="7:7" x14ac:dyDescent="0.25">
      <c r="G179" s="102"/>
    </row>
    <row r="180" spans="7:7" x14ac:dyDescent="0.25">
      <c r="G180" s="102"/>
    </row>
    <row r="181" spans="7:7" x14ac:dyDescent="0.25">
      <c r="G181" s="102"/>
    </row>
    <row r="182" spans="7:7" x14ac:dyDescent="0.25">
      <c r="G182" s="102"/>
    </row>
    <row r="183" spans="7:7" x14ac:dyDescent="0.25">
      <c r="G183" s="102"/>
    </row>
    <row r="184" spans="7:7" x14ac:dyDescent="0.25">
      <c r="G184" s="102"/>
    </row>
    <row r="185" spans="7:7" x14ac:dyDescent="0.25">
      <c r="G185" s="102"/>
    </row>
    <row r="186" spans="7:7" x14ac:dyDescent="0.25">
      <c r="G186" s="102"/>
    </row>
    <row r="187" spans="7:7" x14ac:dyDescent="0.25">
      <c r="G187" s="102"/>
    </row>
    <row r="188" spans="7:7" x14ac:dyDescent="0.25">
      <c r="G188" s="102"/>
    </row>
    <row r="189" spans="7:7" x14ac:dyDescent="0.25">
      <c r="G189" s="102"/>
    </row>
    <row r="190" spans="7:7" x14ac:dyDescent="0.25">
      <c r="G190" s="102"/>
    </row>
    <row r="191" spans="7:7" x14ac:dyDescent="0.25">
      <c r="G191" s="102"/>
    </row>
    <row r="192" spans="7:7" x14ac:dyDescent="0.25">
      <c r="G192" s="102"/>
    </row>
    <row r="193" spans="7:7" x14ac:dyDescent="0.25">
      <c r="G193" s="102"/>
    </row>
    <row r="194" spans="7:7" x14ac:dyDescent="0.25">
      <c r="G194" s="102"/>
    </row>
    <row r="195" spans="7:7" x14ac:dyDescent="0.25">
      <c r="G195" s="102"/>
    </row>
    <row r="196" spans="7:7" x14ac:dyDescent="0.25">
      <c r="G196" s="102"/>
    </row>
    <row r="197" spans="7:7" x14ac:dyDescent="0.25">
      <c r="G197" s="102"/>
    </row>
    <row r="198" spans="7:7" x14ac:dyDescent="0.25">
      <c r="G198" s="102"/>
    </row>
    <row r="199" spans="7:7" x14ac:dyDescent="0.25">
      <c r="G199" s="102"/>
    </row>
    <row r="200" spans="7:7" x14ac:dyDescent="0.25">
      <c r="G200" s="102"/>
    </row>
    <row r="201" spans="7:7" x14ac:dyDescent="0.25">
      <c r="G201" s="102"/>
    </row>
    <row r="202" spans="7:7" x14ac:dyDescent="0.25">
      <c r="G202" s="102"/>
    </row>
    <row r="203" spans="7:7" x14ac:dyDescent="0.25">
      <c r="G203" s="102"/>
    </row>
    <row r="204" spans="7:7" x14ac:dyDescent="0.25">
      <c r="G204" s="102"/>
    </row>
    <row r="205" spans="7:7" x14ac:dyDescent="0.25">
      <c r="G205" s="102"/>
    </row>
    <row r="206" spans="7:7" x14ac:dyDescent="0.25">
      <c r="G206" s="102"/>
    </row>
    <row r="207" spans="7:7" x14ac:dyDescent="0.25">
      <c r="G207" s="102"/>
    </row>
    <row r="208" spans="7:7" x14ac:dyDescent="0.25">
      <c r="G208" s="102"/>
    </row>
    <row r="209" spans="7:7" x14ac:dyDescent="0.25">
      <c r="G209" s="102"/>
    </row>
    <row r="210" spans="7:7" x14ac:dyDescent="0.25">
      <c r="G210" s="102"/>
    </row>
    <row r="211" spans="7:7" x14ac:dyDescent="0.25">
      <c r="G211" s="102"/>
    </row>
    <row r="212" spans="7:7" x14ac:dyDescent="0.25">
      <c r="G212" s="102"/>
    </row>
    <row r="213" spans="7:7" x14ac:dyDescent="0.25">
      <c r="G213" s="102"/>
    </row>
    <row r="214" spans="7:7" x14ac:dyDescent="0.25">
      <c r="G214" s="102"/>
    </row>
    <row r="215" spans="7:7" x14ac:dyDescent="0.25">
      <c r="G215" s="102"/>
    </row>
    <row r="216" spans="7:7" x14ac:dyDescent="0.25">
      <c r="G216" s="102"/>
    </row>
    <row r="217" spans="7:7" x14ac:dyDescent="0.25">
      <c r="G217" s="102"/>
    </row>
    <row r="218" spans="7:7" x14ac:dyDescent="0.25">
      <c r="G218" s="102"/>
    </row>
    <row r="219" spans="7:7" x14ac:dyDescent="0.25">
      <c r="G219" s="102"/>
    </row>
    <row r="220" spans="7:7" x14ac:dyDescent="0.25">
      <c r="G220" s="102"/>
    </row>
    <row r="221" spans="7:7" x14ac:dyDescent="0.25">
      <c r="G221" s="102"/>
    </row>
    <row r="222" spans="7:7" x14ac:dyDescent="0.25">
      <c r="G222" s="102"/>
    </row>
    <row r="223" spans="7:7" x14ac:dyDescent="0.25">
      <c r="G223" s="102"/>
    </row>
    <row r="224" spans="7:7" x14ac:dyDescent="0.25">
      <c r="G224" s="102"/>
    </row>
    <row r="225" spans="7:7" x14ac:dyDescent="0.25">
      <c r="G225" s="102"/>
    </row>
    <row r="226" spans="7:7" x14ac:dyDescent="0.25">
      <c r="G226" s="102"/>
    </row>
    <row r="227" spans="7:7" x14ac:dyDescent="0.25">
      <c r="G227" s="102"/>
    </row>
    <row r="228" spans="7:7" x14ac:dyDescent="0.25">
      <c r="G228" s="102"/>
    </row>
    <row r="229" spans="7:7" x14ac:dyDescent="0.25">
      <c r="G229" s="102"/>
    </row>
    <row r="230" spans="7:7" x14ac:dyDescent="0.25">
      <c r="G230" s="102"/>
    </row>
    <row r="231" spans="7:7" x14ac:dyDescent="0.25">
      <c r="G231" s="102"/>
    </row>
    <row r="232" spans="7:7" x14ac:dyDescent="0.25">
      <c r="G232" s="102"/>
    </row>
    <row r="233" spans="7:7" x14ac:dyDescent="0.25">
      <c r="G233" s="102"/>
    </row>
    <row r="234" spans="7:7" x14ac:dyDescent="0.25">
      <c r="G234" s="102"/>
    </row>
    <row r="235" spans="7:7" x14ac:dyDescent="0.25">
      <c r="G235" s="102"/>
    </row>
    <row r="236" spans="7:7" x14ac:dyDescent="0.25">
      <c r="G236" s="102"/>
    </row>
    <row r="237" spans="7:7" x14ac:dyDescent="0.25">
      <c r="G237" s="102"/>
    </row>
    <row r="238" spans="7:7" x14ac:dyDescent="0.25">
      <c r="G238" s="102"/>
    </row>
    <row r="239" spans="7:7" x14ac:dyDescent="0.25">
      <c r="G239" s="102"/>
    </row>
    <row r="240" spans="7:7" x14ac:dyDescent="0.25">
      <c r="G240" s="102"/>
    </row>
    <row r="241" spans="7:7" x14ac:dyDescent="0.25">
      <c r="G241" s="102"/>
    </row>
    <row r="242" spans="7:7" x14ac:dyDescent="0.25">
      <c r="G242" s="102"/>
    </row>
    <row r="243" spans="7:7" x14ac:dyDescent="0.25">
      <c r="G243" s="102"/>
    </row>
    <row r="244" spans="7:7" x14ac:dyDescent="0.25">
      <c r="G244" s="102"/>
    </row>
    <row r="245" spans="7:7" x14ac:dyDescent="0.25">
      <c r="G245" s="102"/>
    </row>
    <row r="246" spans="7:7" x14ac:dyDescent="0.25">
      <c r="G246" s="102"/>
    </row>
    <row r="247" spans="7:7" x14ac:dyDescent="0.25">
      <c r="G247" s="102"/>
    </row>
    <row r="248" spans="7:7" x14ac:dyDescent="0.25">
      <c r="G248" s="102"/>
    </row>
    <row r="249" spans="7:7" x14ac:dyDescent="0.25">
      <c r="G249" s="102"/>
    </row>
    <row r="250" spans="7:7" x14ac:dyDescent="0.25">
      <c r="G250" s="102"/>
    </row>
    <row r="251" spans="7:7" x14ac:dyDescent="0.25">
      <c r="G251" s="102"/>
    </row>
    <row r="252" spans="7:7" x14ac:dyDescent="0.25">
      <c r="G252" s="102"/>
    </row>
    <row r="253" spans="7:7" x14ac:dyDescent="0.25">
      <c r="G253" s="102"/>
    </row>
    <row r="254" spans="7:7" x14ac:dyDescent="0.25">
      <c r="G254" s="102"/>
    </row>
    <row r="255" spans="7:7" x14ac:dyDescent="0.25">
      <c r="G255" s="102"/>
    </row>
    <row r="256" spans="7:7" x14ac:dyDescent="0.25">
      <c r="G256" s="102"/>
    </row>
    <row r="257" spans="7:7" x14ac:dyDescent="0.25">
      <c r="G257" s="102"/>
    </row>
    <row r="258" spans="7:7" x14ac:dyDescent="0.25">
      <c r="G258" s="102"/>
    </row>
    <row r="259" spans="7:7" x14ac:dyDescent="0.25">
      <c r="G259" s="102"/>
    </row>
    <row r="260" spans="7:7" x14ac:dyDescent="0.25">
      <c r="G260" s="102"/>
    </row>
    <row r="261" spans="7:7" x14ac:dyDescent="0.25">
      <c r="G261" s="102"/>
    </row>
    <row r="262" spans="7:7" x14ac:dyDescent="0.25">
      <c r="G262" s="102"/>
    </row>
    <row r="263" spans="7:7" x14ac:dyDescent="0.25">
      <c r="G263" s="102"/>
    </row>
    <row r="264" spans="7:7" x14ac:dyDescent="0.25">
      <c r="G264" s="102"/>
    </row>
    <row r="265" spans="7:7" x14ac:dyDescent="0.25">
      <c r="G265" s="102"/>
    </row>
    <row r="266" spans="7:7" x14ac:dyDescent="0.25">
      <c r="G266" s="102"/>
    </row>
    <row r="267" spans="7:7" x14ac:dyDescent="0.25">
      <c r="G267" s="102"/>
    </row>
    <row r="268" spans="7:7" x14ac:dyDescent="0.25">
      <c r="G268" s="102"/>
    </row>
    <row r="269" spans="7:7" x14ac:dyDescent="0.25">
      <c r="G269" s="102"/>
    </row>
    <row r="270" spans="7:7" x14ac:dyDescent="0.25">
      <c r="G270" s="102"/>
    </row>
    <row r="271" spans="7:7" x14ac:dyDescent="0.25">
      <c r="G271" s="102"/>
    </row>
    <row r="272" spans="7:7" x14ac:dyDescent="0.25">
      <c r="G272" s="102"/>
    </row>
    <row r="273" spans="7:7" x14ac:dyDescent="0.25">
      <c r="G273" s="102"/>
    </row>
    <row r="274" spans="7:7" x14ac:dyDescent="0.25">
      <c r="G274" s="102"/>
    </row>
    <row r="275" spans="7:7" x14ac:dyDescent="0.25">
      <c r="G275" s="102"/>
    </row>
    <row r="276" spans="7:7" x14ac:dyDescent="0.25">
      <c r="G276" s="102"/>
    </row>
    <row r="277" spans="7:7" x14ac:dyDescent="0.25">
      <c r="G277" s="102"/>
    </row>
    <row r="278" spans="7:7" x14ac:dyDescent="0.25">
      <c r="G278" s="102"/>
    </row>
    <row r="279" spans="7:7" x14ac:dyDescent="0.25">
      <c r="G279" s="102"/>
    </row>
    <row r="280" spans="7:7" x14ac:dyDescent="0.25">
      <c r="G280" s="102"/>
    </row>
    <row r="281" spans="7:7" x14ac:dyDescent="0.25">
      <c r="G281" s="102"/>
    </row>
    <row r="282" spans="7:7" x14ac:dyDescent="0.25">
      <c r="G282" s="102"/>
    </row>
    <row r="283" spans="7:7" x14ac:dyDescent="0.25">
      <c r="G283" s="102"/>
    </row>
    <row r="284" spans="7:7" x14ac:dyDescent="0.25">
      <c r="G284" s="102"/>
    </row>
    <row r="285" spans="7:7" x14ac:dyDescent="0.25">
      <c r="G285" s="102"/>
    </row>
    <row r="286" spans="7:7" x14ac:dyDescent="0.25">
      <c r="G286" s="102"/>
    </row>
    <row r="287" spans="7:7" x14ac:dyDescent="0.25">
      <c r="G287" s="102"/>
    </row>
    <row r="288" spans="7:7" x14ac:dyDescent="0.25">
      <c r="G288" s="102"/>
    </row>
    <row r="289" spans="7:7" x14ac:dyDescent="0.25">
      <c r="G289" s="102"/>
    </row>
    <row r="290" spans="7:7" x14ac:dyDescent="0.25">
      <c r="G290" s="102"/>
    </row>
    <row r="291" spans="7:7" x14ac:dyDescent="0.25">
      <c r="G291" s="102"/>
    </row>
    <row r="292" spans="7:7" x14ac:dyDescent="0.25">
      <c r="G292" s="102"/>
    </row>
    <row r="293" spans="7:7" x14ac:dyDescent="0.25">
      <c r="G293" s="102"/>
    </row>
    <row r="294" spans="7:7" x14ac:dyDescent="0.25">
      <c r="G294" s="102"/>
    </row>
    <row r="295" spans="7:7" x14ac:dyDescent="0.25">
      <c r="G295" s="102"/>
    </row>
    <row r="296" spans="7:7" x14ac:dyDescent="0.25">
      <c r="G296" s="102"/>
    </row>
    <row r="297" spans="7:7" x14ac:dyDescent="0.25">
      <c r="G297" s="102"/>
    </row>
    <row r="298" spans="7:7" x14ac:dyDescent="0.25">
      <c r="G298" s="102"/>
    </row>
    <row r="299" spans="7:7" x14ac:dyDescent="0.25">
      <c r="G299" s="102"/>
    </row>
    <row r="300" spans="7:7" x14ac:dyDescent="0.25">
      <c r="G300" s="102"/>
    </row>
    <row r="301" spans="7:7" x14ac:dyDescent="0.25">
      <c r="G301" s="102"/>
    </row>
    <row r="302" spans="7:7" x14ac:dyDescent="0.25">
      <c r="G302" s="102"/>
    </row>
    <row r="303" spans="7:7" x14ac:dyDescent="0.25">
      <c r="G303" s="102"/>
    </row>
    <row r="304" spans="7:7" x14ac:dyDescent="0.25">
      <c r="G304" s="102"/>
    </row>
    <row r="305" spans="7:7" x14ac:dyDescent="0.25">
      <c r="G305" s="102"/>
    </row>
    <row r="306" spans="7:7" x14ac:dyDescent="0.25">
      <c r="G306" s="102"/>
    </row>
    <row r="307" spans="7:7" x14ac:dyDescent="0.25">
      <c r="G307" s="102"/>
    </row>
    <row r="308" spans="7:7" x14ac:dyDescent="0.25">
      <c r="G308" s="102"/>
    </row>
    <row r="309" spans="7:7" x14ac:dyDescent="0.25">
      <c r="G309" s="102"/>
    </row>
    <row r="310" spans="7:7" x14ac:dyDescent="0.25">
      <c r="G310" s="102"/>
    </row>
    <row r="311" spans="7:7" x14ac:dyDescent="0.25">
      <c r="G311" s="102"/>
    </row>
    <row r="312" spans="7:7" x14ac:dyDescent="0.25">
      <c r="G312" s="102"/>
    </row>
    <row r="313" spans="7:7" x14ac:dyDescent="0.25">
      <c r="G313" s="102"/>
    </row>
    <row r="314" spans="7:7" x14ac:dyDescent="0.25">
      <c r="G314" s="102"/>
    </row>
    <row r="315" spans="7:7" x14ac:dyDescent="0.25">
      <c r="G315" s="102"/>
    </row>
    <row r="316" spans="7:7" x14ac:dyDescent="0.25">
      <c r="G316" s="102"/>
    </row>
    <row r="317" spans="7:7" x14ac:dyDescent="0.25">
      <c r="G317" s="102"/>
    </row>
    <row r="318" spans="7:7" x14ac:dyDescent="0.25">
      <c r="G318" s="102"/>
    </row>
    <row r="319" spans="7:7" x14ac:dyDescent="0.25">
      <c r="G319" s="102"/>
    </row>
    <row r="320" spans="7:7" x14ac:dyDescent="0.25">
      <c r="G320" s="102"/>
    </row>
    <row r="321" spans="7:7" x14ac:dyDescent="0.25">
      <c r="G321" s="102"/>
    </row>
    <row r="322" spans="7:7" x14ac:dyDescent="0.25">
      <c r="G322" s="102"/>
    </row>
    <row r="323" spans="7:7" x14ac:dyDescent="0.25">
      <c r="G323" s="102"/>
    </row>
    <row r="324" spans="7:7" x14ac:dyDescent="0.25">
      <c r="G324" s="102"/>
    </row>
    <row r="325" spans="7:7" x14ac:dyDescent="0.25">
      <c r="G325" s="102"/>
    </row>
    <row r="326" spans="7:7" x14ac:dyDescent="0.25">
      <c r="G326" s="102"/>
    </row>
    <row r="327" spans="7:7" x14ac:dyDescent="0.25">
      <c r="G327" s="102"/>
    </row>
    <row r="328" spans="7:7" x14ac:dyDescent="0.25">
      <c r="G328" s="102"/>
    </row>
    <row r="329" spans="7:7" x14ac:dyDescent="0.25">
      <c r="G329" s="102"/>
    </row>
    <row r="330" spans="7:7" x14ac:dyDescent="0.25">
      <c r="G330" s="102"/>
    </row>
    <row r="331" spans="7:7" x14ac:dyDescent="0.25">
      <c r="G331" s="102"/>
    </row>
    <row r="332" spans="7:7" x14ac:dyDescent="0.25">
      <c r="G332" s="102"/>
    </row>
    <row r="333" spans="7:7" x14ac:dyDescent="0.25">
      <c r="G333" s="102"/>
    </row>
    <row r="334" spans="7:7" x14ac:dyDescent="0.25">
      <c r="G334" s="102"/>
    </row>
    <row r="335" spans="7:7" x14ac:dyDescent="0.25">
      <c r="G335" s="102"/>
    </row>
    <row r="336" spans="7:7" x14ac:dyDescent="0.25">
      <c r="G336" s="102"/>
    </row>
    <row r="337" spans="7:7" x14ac:dyDescent="0.25">
      <c r="G337" s="102"/>
    </row>
    <row r="338" spans="7:7" x14ac:dyDescent="0.25">
      <c r="G338" s="102"/>
    </row>
    <row r="339" spans="7:7" x14ac:dyDescent="0.25">
      <c r="G339" s="102"/>
    </row>
    <row r="340" spans="7:7" x14ac:dyDescent="0.25">
      <c r="G340" s="102"/>
    </row>
    <row r="341" spans="7:7" x14ac:dyDescent="0.25">
      <c r="G341" s="102"/>
    </row>
    <row r="342" spans="7:7" x14ac:dyDescent="0.25">
      <c r="G342" s="102"/>
    </row>
    <row r="343" spans="7:7" x14ac:dyDescent="0.25">
      <c r="G343" s="102"/>
    </row>
    <row r="344" spans="7:7" x14ac:dyDescent="0.25">
      <c r="G344" s="102"/>
    </row>
    <row r="345" spans="7:7" x14ac:dyDescent="0.25">
      <c r="G345" s="102"/>
    </row>
    <row r="346" spans="7:7" x14ac:dyDescent="0.25">
      <c r="G346" s="102"/>
    </row>
    <row r="347" spans="7:7" x14ac:dyDescent="0.25">
      <c r="G347" s="102"/>
    </row>
    <row r="348" spans="7:7" x14ac:dyDescent="0.25">
      <c r="G348" s="102"/>
    </row>
    <row r="349" spans="7:7" x14ac:dyDescent="0.25">
      <c r="G349" s="102"/>
    </row>
    <row r="350" spans="7:7" x14ac:dyDescent="0.25">
      <c r="G350" s="102"/>
    </row>
    <row r="351" spans="7:7" x14ac:dyDescent="0.25">
      <c r="G351" s="102"/>
    </row>
    <row r="352" spans="7:7" x14ac:dyDescent="0.25">
      <c r="G352" s="102"/>
    </row>
    <row r="353" spans="7:7" x14ac:dyDescent="0.25">
      <c r="G353" s="102"/>
    </row>
    <row r="354" spans="7:7" x14ac:dyDescent="0.25">
      <c r="G354" s="102"/>
    </row>
    <row r="355" spans="7:7" x14ac:dyDescent="0.25">
      <c r="G355" s="102"/>
    </row>
    <row r="356" spans="7:7" x14ac:dyDescent="0.25">
      <c r="G356" s="102"/>
    </row>
    <row r="357" spans="7:7" x14ac:dyDescent="0.25">
      <c r="G357" s="102"/>
    </row>
    <row r="358" spans="7:7" x14ac:dyDescent="0.25">
      <c r="G358" s="102"/>
    </row>
    <row r="359" spans="7:7" x14ac:dyDescent="0.25">
      <c r="G359" s="102"/>
    </row>
    <row r="360" spans="7:7" x14ac:dyDescent="0.25">
      <c r="G360" s="102"/>
    </row>
    <row r="361" spans="7:7" x14ac:dyDescent="0.25">
      <c r="G361" s="102"/>
    </row>
    <row r="362" spans="7:7" x14ac:dyDescent="0.25">
      <c r="G362" s="102"/>
    </row>
    <row r="363" spans="7:7" x14ac:dyDescent="0.25">
      <c r="G363" s="102"/>
    </row>
    <row r="364" spans="7:7" x14ac:dyDescent="0.25">
      <c r="G364" s="102"/>
    </row>
    <row r="365" spans="7:7" x14ac:dyDescent="0.25">
      <c r="G365" s="102"/>
    </row>
    <row r="366" spans="7:7" x14ac:dyDescent="0.25">
      <c r="G366" s="102"/>
    </row>
    <row r="367" spans="7:7" x14ac:dyDescent="0.25">
      <c r="G367" s="102"/>
    </row>
    <row r="368" spans="7:7" x14ac:dyDescent="0.25">
      <c r="G368" s="102"/>
    </row>
    <row r="369" spans="7:7" x14ac:dyDescent="0.25">
      <c r="G369" s="102"/>
    </row>
    <row r="370" spans="7:7" x14ac:dyDescent="0.25">
      <c r="G370" s="102"/>
    </row>
    <row r="371" spans="7:7" x14ac:dyDescent="0.25">
      <c r="G371" s="102"/>
    </row>
    <row r="372" spans="7:7" x14ac:dyDescent="0.25">
      <c r="G372" s="102"/>
    </row>
    <row r="373" spans="7:7" x14ac:dyDescent="0.25">
      <c r="G373" s="102"/>
    </row>
    <row r="374" spans="7:7" x14ac:dyDescent="0.25">
      <c r="G374" s="102"/>
    </row>
    <row r="375" spans="7:7" x14ac:dyDescent="0.25">
      <c r="G375" s="102"/>
    </row>
    <row r="376" spans="7:7" x14ac:dyDescent="0.25">
      <c r="G376" s="102"/>
    </row>
    <row r="377" spans="7:7" x14ac:dyDescent="0.25">
      <c r="G377" s="102"/>
    </row>
    <row r="378" spans="7:7" x14ac:dyDescent="0.25">
      <c r="G378" s="102"/>
    </row>
    <row r="379" spans="7:7" x14ac:dyDescent="0.25">
      <c r="G379" s="102"/>
    </row>
    <row r="380" spans="7:7" x14ac:dyDescent="0.25">
      <c r="G380" s="102"/>
    </row>
    <row r="381" spans="7:7" x14ac:dyDescent="0.25">
      <c r="G381" s="102"/>
    </row>
    <row r="382" spans="7:7" x14ac:dyDescent="0.25">
      <c r="G382" s="102"/>
    </row>
    <row r="383" spans="7:7" x14ac:dyDescent="0.25">
      <c r="G383" s="102"/>
    </row>
    <row r="384" spans="7:7" x14ac:dyDescent="0.25">
      <c r="G384" s="102"/>
    </row>
    <row r="385" spans="7:7" x14ac:dyDescent="0.25">
      <c r="G385" s="102"/>
    </row>
    <row r="386" spans="7:7" x14ac:dyDescent="0.25">
      <c r="G386" s="102"/>
    </row>
    <row r="387" spans="7:7" x14ac:dyDescent="0.25">
      <c r="G387" s="102"/>
    </row>
    <row r="388" spans="7:7" x14ac:dyDescent="0.25">
      <c r="G388" s="102"/>
    </row>
    <row r="389" spans="7:7" x14ac:dyDescent="0.25">
      <c r="G389" s="102"/>
    </row>
    <row r="390" spans="7:7" x14ac:dyDescent="0.25">
      <c r="G390" s="102"/>
    </row>
    <row r="391" spans="7:7" x14ac:dyDescent="0.25">
      <c r="G391" s="102"/>
    </row>
    <row r="392" spans="7:7" x14ac:dyDescent="0.25">
      <c r="G392" s="102"/>
    </row>
    <row r="393" spans="7:7" x14ac:dyDescent="0.25">
      <c r="G393" s="102"/>
    </row>
    <row r="394" spans="7:7" x14ac:dyDescent="0.25">
      <c r="G394" s="102"/>
    </row>
    <row r="395" spans="7:7" x14ac:dyDescent="0.25">
      <c r="G395" s="102"/>
    </row>
    <row r="396" spans="7:7" x14ac:dyDescent="0.25">
      <c r="G396" s="102"/>
    </row>
    <row r="397" spans="7:7" x14ac:dyDescent="0.25">
      <c r="G397" s="102"/>
    </row>
    <row r="398" spans="7:7" x14ac:dyDescent="0.25">
      <c r="G398" s="102"/>
    </row>
    <row r="399" spans="7:7" x14ac:dyDescent="0.25">
      <c r="G399" s="102"/>
    </row>
    <row r="400" spans="7:7" x14ac:dyDescent="0.25">
      <c r="G400" s="102"/>
    </row>
    <row r="401" spans="7:7" x14ac:dyDescent="0.25">
      <c r="G401" s="102"/>
    </row>
    <row r="402" spans="7:7" x14ac:dyDescent="0.25">
      <c r="G402" s="102"/>
    </row>
    <row r="403" spans="7:7" x14ac:dyDescent="0.25">
      <c r="G403" s="102"/>
    </row>
    <row r="404" spans="7:7" x14ac:dyDescent="0.25">
      <c r="G404" s="102"/>
    </row>
    <row r="405" spans="7:7" x14ac:dyDescent="0.25">
      <c r="G405" s="102"/>
    </row>
    <row r="406" spans="7:7" x14ac:dyDescent="0.25">
      <c r="G406" s="102"/>
    </row>
    <row r="407" spans="7:7" x14ac:dyDescent="0.25">
      <c r="G407" s="102"/>
    </row>
    <row r="408" spans="7:7" x14ac:dyDescent="0.25">
      <c r="G408" s="102"/>
    </row>
    <row r="409" spans="7:7" x14ac:dyDescent="0.25">
      <c r="G409" s="102"/>
    </row>
    <row r="410" spans="7:7" x14ac:dyDescent="0.25">
      <c r="G410" s="102"/>
    </row>
    <row r="411" spans="7:7" x14ac:dyDescent="0.25">
      <c r="G411" s="102"/>
    </row>
    <row r="412" spans="7:7" x14ac:dyDescent="0.25">
      <c r="G412" s="102"/>
    </row>
    <row r="413" spans="7:7" x14ac:dyDescent="0.25">
      <c r="G413" s="102"/>
    </row>
    <row r="414" spans="7:7" x14ac:dyDescent="0.25">
      <c r="G414" s="102"/>
    </row>
    <row r="415" spans="7:7" x14ac:dyDescent="0.25">
      <c r="G415" s="102"/>
    </row>
    <row r="416" spans="7:7" x14ac:dyDescent="0.25">
      <c r="G416" s="102"/>
    </row>
    <row r="417" spans="7:7" x14ac:dyDescent="0.25">
      <c r="G417" s="102"/>
    </row>
    <row r="418" spans="7:7" x14ac:dyDescent="0.25">
      <c r="G418" s="102"/>
    </row>
    <row r="419" spans="7:7" x14ac:dyDescent="0.25">
      <c r="G419" s="102"/>
    </row>
    <row r="420" spans="7:7" x14ac:dyDescent="0.25">
      <c r="G420" s="102"/>
    </row>
    <row r="421" spans="7:7" x14ac:dyDescent="0.25">
      <c r="G421" s="102"/>
    </row>
    <row r="422" spans="7:7" x14ac:dyDescent="0.25">
      <c r="G422" s="102"/>
    </row>
    <row r="423" spans="7:7" x14ac:dyDescent="0.25">
      <c r="G423" s="102"/>
    </row>
    <row r="424" spans="7:7" x14ac:dyDescent="0.25">
      <c r="G424" s="102"/>
    </row>
    <row r="425" spans="7:7" x14ac:dyDescent="0.25">
      <c r="G425" s="102"/>
    </row>
    <row r="426" spans="7:7" x14ac:dyDescent="0.25">
      <c r="G426" s="102"/>
    </row>
    <row r="427" spans="7:7" x14ac:dyDescent="0.25">
      <c r="G427" s="102"/>
    </row>
    <row r="428" spans="7:7" x14ac:dyDescent="0.25">
      <c r="G428" s="102"/>
    </row>
    <row r="429" spans="7:7" x14ac:dyDescent="0.25">
      <c r="G429" s="102"/>
    </row>
    <row r="430" spans="7:7" x14ac:dyDescent="0.25">
      <c r="G430" s="102"/>
    </row>
    <row r="431" spans="7:7" x14ac:dyDescent="0.25">
      <c r="G431" s="102"/>
    </row>
    <row r="432" spans="7:7" x14ac:dyDescent="0.25">
      <c r="G432" s="102"/>
    </row>
    <row r="433" spans="7:7" x14ac:dyDescent="0.25">
      <c r="G433" s="102"/>
    </row>
    <row r="434" spans="7:7" x14ac:dyDescent="0.25">
      <c r="G434" s="102"/>
    </row>
    <row r="435" spans="7:7" x14ac:dyDescent="0.25">
      <c r="G435" s="102"/>
    </row>
    <row r="436" spans="7:7" x14ac:dyDescent="0.25">
      <c r="G436" s="102"/>
    </row>
    <row r="437" spans="7:7" x14ac:dyDescent="0.25">
      <c r="G437" s="102"/>
    </row>
    <row r="438" spans="7:7" x14ac:dyDescent="0.25">
      <c r="G438" s="102"/>
    </row>
    <row r="439" spans="7:7" x14ac:dyDescent="0.25">
      <c r="G439" s="102"/>
    </row>
    <row r="440" spans="7:7" x14ac:dyDescent="0.25">
      <c r="G440" s="102"/>
    </row>
    <row r="441" spans="7:7" x14ac:dyDescent="0.25">
      <c r="G441" s="102"/>
    </row>
    <row r="442" spans="7:7" x14ac:dyDescent="0.25">
      <c r="G442" s="102"/>
    </row>
    <row r="443" spans="7:7" x14ac:dyDescent="0.25">
      <c r="G443" s="102"/>
    </row>
    <row r="444" spans="7:7" x14ac:dyDescent="0.25">
      <c r="G444" s="102"/>
    </row>
    <row r="445" spans="7:7" x14ac:dyDescent="0.25">
      <c r="G445" s="102"/>
    </row>
    <row r="446" spans="7:7" x14ac:dyDescent="0.25">
      <c r="G446" s="102"/>
    </row>
    <row r="447" spans="7:7" x14ac:dyDescent="0.25">
      <c r="G447" s="102"/>
    </row>
    <row r="448" spans="7:7" x14ac:dyDescent="0.25">
      <c r="G448" s="102"/>
    </row>
    <row r="449" spans="7:7" x14ac:dyDescent="0.25">
      <c r="G449" s="102"/>
    </row>
    <row r="450" spans="7:7" x14ac:dyDescent="0.25">
      <c r="G450" s="102"/>
    </row>
    <row r="451" spans="7:7" x14ac:dyDescent="0.25">
      <c r="G451" s="102"/>
    </row>
    <row r="452" spans="7:7" x14ac:dyDescent="0.25">
      <c r="G452" s="102"/>
    </row>
    <row r="453" spans="7:7" x14ac:dyDescent="0.25">
      <c r="G453" s="102"/>
    </row>
    <row r="454" spans="7:7" x14ac:dyDescent="0.25">
      <c r="G454" s="102"/>
    </row>
    <row r="455" spans="7:7" x14ac:dyDescent="0.25">
      <c r="G455" s="102"/>
    </row>
    <row r="456" spans="7:7" x14ac:dyDescent="0.25">
      <c r="G456" s="102"/>
    </row>
    <row r="457" spans="7:7" x14ac:dyDescent="0.25">
      <c r="G457" s="102"/>
    </row>
    <row r="458" spans="7:7" x14ac:dyDescent="0.25">
      <c r="G458" s="102"/>
    </row>
    <row r="459" spans="7:7" x14ac:dyDescent="0.25">
      <c r="G459" s="102"/>
    </row>
    <row r="460" spans="7:7" x14ac:dyDescent="0.25">
      <c r="G460" s="102"/>
    </row>
    <row r="461" spans="7:7" x14ac:dyDescent="0.25">
      <c r="G461" s="102"/>
    </row>
    <row r="462" spans="7:7" x14ac:dyDescent="0.25">
      <c r="G462" s="102"/>
    </row>
    <row r="463" spans="7:7" x14ac:dyDescent="0.25">
      <c r="G463" s="102"/>
    </row>
    <row r="464" spans="7:7" x14ac:dyDescent="0.25">
      <c r="G464" s="102"/>
    </row>
    <row r="465" spans="7:7" x14ac:dyDescent="0.25">
      <c r="G465" s="102"/>
    </row>
    <row r="466" spans="7:7" x14ac:dyDescent="0.25">
      <c r="G466" s="102"/>
    </row>
    <row r="467" spans="7:7" x14ac:dyDescent="0.25">
      <c r="G467" s="102"/>
    </row>
    <row r="468" spans="7:7" x14ac:dyDescent="0.25">
      <c r="G468" s="102"/>
    </row>
    <row r="469" spans="7:7" x14ac:dyDescent="0.25">
      <c r="G469" s="102"/>
    </row>
    <row r="470" spans="7:7" x14ac:dyDescent="0.25">
      <c r="G470" s="102"/>
    </row>
    <row r="471" spans="7:7" x14ac:dyDescent="0.25">
      <c r="G471" s="102"/>
    </row>
    <row r="472" spans="7:7" x14ac:dyDescent="0.25">
      <c r="G472" s="102"/>
    </row>
    <row r="473" spans="7:7" x14ac:dyDescent="0.25">
      <c r="G473" s="102"/>
    </row>
    <row r="474" spans="7:7" x14ac:dyDescent="0.25">
      <c r="G474" s="102"/>
    </row>
    <row r="475" spans="7:7" x14ac:dyDescent="0.25">
      <c r="G475" s="102"/>
    </row>
    <row r="476" spans="7:7" x14ac:dyDescent="0.25">
      <c r="G476" s="102"/>
    </row>
    <row r="477" spans="7:7" x14ac:dyDescent="0.25">
      <c r="G477" s="102"/>
    </row>
    <row r="478" spans="7:7" x14ac:dyDescent="0.25">
      <c r="G478" s="102"/>
    </row>
    <row r="479" spans="7:7" x14ac:dyDescent="0.25">
      <c r="G479" s="102"/>
    </row>
    <row r="480" spans="7:7" x14ac:dyDescent="0.25">
      <c r="G480" s="102"/>
    </row>
    <row r="481" spans="7:7" x14ac:dyDescent="0.25">
      <c r="G481" s="102"/>
    </row>
    <row r="482" spans="7:7" x14ac:dyDescent="0.25">
      <c r="G482" s="102"/>
    </row>
    <row r="483" spans="7:7" x14ac:dyDescent="0.25">
      <c r="G483" s="102"/>
    </row>
    <row r="484" spans="7:7" x14ac:dyDescent="0.25">
      <c r="G484" s="102"/>
    </row>
    <row r="485" spans="7:7" x14ac:dyDescent="0.25">
      <c r="G485" s="102"/>
    </row>
    <row r="486" spans="7:7" x14ac:dyDescent="0.25">
      <c r="G486" s="102"/>
    </row>
    <row r="487" spans="7:7" x14ac:dyDescent="0.25">
      <c r="G487" s="102"/>
    </row>
    <row r="488" spans="7:7" x14ac:dyDescent="0.25">
      <c r="G488" s="102"/>
    </row>
    <row r="489" spans="7:7" x14ac:dyDescent="0.25">
      <c r="G489" s="102"/>
    </row>
    <row r="490" spans="7:7" x14ac:dyDescent="0.25">
      <c r="G490" s="102"/>
    </row>
    <row r="491" spans="7:7" x14ac:dyDescent="0.25">
      <c r="G491" s="102"/>
    </row>
    <row r="492" spans="7:7" x14ac:dyDescent="0.25">
      <c r="G492" s="102"/>
    </row>
    <row r="493" spans="7:7" x14ac:dyDescent="0.25">
      <c r="G493" s="102"/>
    </row>
    <row r="494" spans="7:7" x14ac:dyDescent="0.25">
      <c r="G494" s="102"/>
    </row>
    <row r="495" spans="7:7" x14ac:dyDescent="0.25">
      <c r="G495" s="102"/>
    </row>
    <row r="496" spans="7:7" x14ac:dyDescent="0.25">
      <c r="G496" s="102"/>
    </row>
    <row r="497" spans="7:7" x14ac:dyDescent="0.25">
      <c r="G497" s="102"/>
    </row>
    <row r="498" spans="7:7" x14ac:dyDescent="0.25">
      <c r="G498" s="102"/>
    </row>
    <row r="499" spans="7:7" x14ac:dyDescent="0.25">
      <c r="G499" s="102"/>
    </row>
    <row r="500" spans="7:7" x14ac:dyDescent="0.25">
      <c r="G500" s="102"/>
    </row>
    <row r="501" spans="7:7" x14ac:dyDescent="0.25">
      <c r="G501" s="102"/>
    </row>
    <row r="502" spans="7:7" x14ac:dyDescent="0.25">
      <c r="G502" s="102"/>
    </row>
    <row r="503" spans="7:7" x14ac:dyDescent="0.25">
      <c r="G503" s="102"/>
    </row>
    <row r="504" spans="7:7" x14ac:dyDescent="0.25">
      <c r="G504" s="102"/>
    </row>
    <row r="505" spans="7:7" x14ac:dyDescent="0.25">
      <c r="G505" s="102"/>
    </row>
    <row r="506" spans="7:7" x14ac:dyDescent="0.25">
      <c r="G506" s="102"/>
    </row>
    <row r="507" spans="7:7" x14ac:dyDescent="0.25">
      <c r="G507" s="102"/>
    </row>
    <row r="508" spans="7:7" x14ac:dyDescent="0.25">
      <c r="G508" s="102"/>
    </row>
    <row r="509" spans="7:7" x14ac:dyDescent="0.25">
      <c r="G509" s="102"/>
    </row>
    <row r="510" spans="7:7" x14ac:dyDescent="0.25">
      <c r="G510" s="102"/>
    </row>
    <row r="511" spans="7:7" x14ac:dyDescent="0.25">
      <c r="G511" s="102"/>
    </row>
    <row r="512" spans="7:7" x14ac:dyDescent="0.25">
      <c r="G512" s="102"/>
    </row>
    <row r="513" spans="7:7" x14ac:dyDescent="0.25">
      <c r="G513" s="102"/>
    </row>
    <row r="514" spans="7:7" x14ac:dyDescent="0.25">
      <c r="G514" s="102"/>
    </row>
    <row r="515" spans="7:7" x14ac:dyDescent="0.25">
      <c r="G515" s="102"/>
    </row>
    <row r="516" spans="7:7" x14ac:dyDescent="0.25">
      <c r="G516" s="102"/>
    </row>
    <row r="517" spans="7:7" x14ac:dyDescent="0.25">
      <c r="G517" s="102"/>
    </row>
    <row r="518" spans="7:7" x14ac:dyDescent="0.25">
      <c r="G518" s="102"/>
    </row>
    <row r="519" spans="7:7" x14ac:dyDescent="0.25">
      <c r="G519" s="102"/>
    </row>
    <row r="520" spans="7:7" x14ac:dyDescent="0.25">
      <c r="G520" s="102"/>
    </row>
    <row r="521" spans="7:7" x14ac:dyDescent="0.25">
      <c r="G521" s="102"/>
    </row>
    <row r="522" spans="7:7" x14ac:dyDescent="0.25">
      <c r="G522" s="102"/>
    </row>
    <row r="523" spans="7:7" x14ac:dyDescent="0.25">
      <c r="G523" s="102"/>
    </row>
    <row r="524" spans="7:7" x14ac:dyDescent="0.25">
      <c r="G524" s="102"/>
    </row>
    <row r="525" spans="7:7" x14ac:dyDescent="0.25">
      <c r="G525" s="102"/>
    </row>
    <row r="526" spans="7:7" x14ac:dyDescent="0.25">
      <c r="G526" s="102"/>
    </row>
    <row r="527" spans="7:7" x14ac:dyDescent="0.25">
      <c r="G527" s="102"/>
    </row>
    <row r="528" spans="7:7" x14ac:dyDescent="0.25">
      <c r="G528" s="102"/>
    </row>
    <row r="529" spans="7:7" x14ac:dyDescent="0.25">
      <c r="G529" s="102"/>
    </row>
    <row r="530" spans="7:7" x14ac:dyDescent="0.25">
      <c r="G530" s="102"/>
    </row>
    <row r="531" spans="7:7" x14ac:dyDescent="0.25">
      <c r="G531" s="102"/>
    </row>
    <row r="532" spans="7:7" x14ac:dyDescent="0.25">
      <c r="G532" s="102"/>
    </row>
    <row r="533" spans="7:7" x14ac:dyDescent="0.25">
      <c r="G533" s="102"/>
    </row>
    <row r="534" spans="7:7" x14ac:dyDescent="0.25">
      <c r="G534" s="102"/>
    </row>
    <row r="535" spans="7:7" x14ac:dyDescent="0.25">
      <c r="G535" s="102"/>
    </row>
    <row r="536" spans="7:7" x14ac:dyDescent="0.25">
      <c r="G536" s="102"/>
    </row>
    <row r="537" spans="7:7" x14ac:dyDescent="0.25">
      <c r="G537" s="102"/>
    </row>
    <row r="538" spans="7:7" x14ac:dyDescent="0.25">
      <c r="G538" s="102"/>
    </row>
    <row r="539" spans="7:7" x14ac:dyDescent="0.25">
      <c r="G539" s="102"/>
    </row>
    <row r="540" spans="7:7" x14ac:dyDescent="0.25">
      <c r="G540" s="102"/>
    </row>
    <row r="541" spans="7:7" x14ac:dyDescent="0.25">
      <c r="G541" s="102"/>
    </row>
    <row r="542" spans="7:7" x14ac:dyDescent="0.25">
      <c r="G542" s="102"/>
    </row>
    <row r="543" spans="7:7" x14ac:dyDescent="0.25">
      <c r="G543" s="102"/>
    </row>
    <row r="544" spans="7:7" x14ac:dyDescent="0.25">
      <c r="G544" s="102"/>
    </row>
    <row r="545" spans="7:7" x14ac:dyDescent="0.25">
      <c r="G545" s="102"/>
    </row>
    <row r="546" spans="7:7" x14ac:dyDescent="0.25">
      <c r="G546" s="102"/>
    </row>
    <row r="547" spans="7:7" x14ac:dyDescent="0.25">
      <c r="G547" s="102"/>
    </row>
    <row r="548" spans="7:7" x14ac:dyDescent="0.25">
      <c r="G548" s="102"/>
    </row>
    <row r="549" spans="7:7" x14ac:dyDescent="0.25">
      <c r="G549" s="102"/>
    </row>
    <row r="550" spans="7:7" x14ac:dyDescent="0.25">
      <c r="G550" s="102"/>
    </row>
    <row r="551" spans="7:7" x14ac:dyDescent="0.25">
      <c r="G551" s="102"/>
    </row>
    <row r="552" spans="7:7" x14ac:dyDescent="0.25">
      <c r="G552" s="102"/>
    </row>
    <row r="553" spans="7:7" x14ac:dyDescent="0.25">
      <c r="G553" s="102"/>
    </row>
    <row r="554" spans="7:7" x14ac:dyDescent="0.25">
      <c r="G554" s="102"/>
    </row>
    <row r="555" spans="7:7" x14ac:dyDescent="0.25">
      <c r="G555" s="102"/>
    </row>
    <row r="556" spans="7:7" x14ac:dyDescent="0.25">
      <c r="G556" s="102"/>
    </row>
    <row r="557" spans="7:7" x14ac:dyDescent="0.25">
      <c r="G557" s="102"/>
    </row>
    <row r="558" spans="7:7" x14ac:dyDescent="0.25">
      <c r="G558" s="102"/>
    </row>
    <row r="559" spans="7:7" x14ac:dyDescent="0.25">
      <c r="G559" s="102"/>
    </row>
    <row r="560" spans="7:7" x14ac:dyDescent="0.25">
      <c r="G560" s="102"/>
    </row>
    <row r="561" spans="7:7" x14ac:dyDescent="0.25">
      <c r="G561" s="102"/>
    </row>
    <row r="562" spans="7:7" x14ac:dyDescent="0.25">
      <c r="G562" s="102"/>
    </row>
    <row r="563" spans="7:7" x14ac:dyDescent="0.25">
      <c r="G563" s="102"/>
    </row>
    <row r="564" spans="7:7" x14ac:dyDescent="0.25">
      <c r="G564" s="102"/>
    </row>
    <row r="565" spans="7:7" x14ac:dyDescent="0.25">
      <c r="G565" s="102"/>
    </row>
    <row r="566" spans="7:7" x14ac:dyDescent="0.25">
      <c r="G566" s="102"/>
    </row>
    <row r="567" spans="7:7" x14ac:dyDescent="0.25">
      <c r="G567" s="102"/>
    </row>
    <row r="568" spans="7:7" x14ac:dyDescent="0.25">
      <c r="G568" s="102"/>
    </row>
    <row r="569" spans="7:7" x14ac:dyDescent="0.25">
      <c r="G569" s="102"/>
    </row>
    <row r="570" spans="7:7" x14ac:dyDescent="0.25">
      <c r="G570" s="102"/>
    </row>
    <row r="571" spans="7:7" x14ac:dyDescent="0.25">
      <c r="G571" s="102"/>
    </row>
    <row r="572" spans="7:7" x14ac:dyDescent="0.25">
      <c r="G572" s="102"/>
    </row>
    <row r="573" spans="7:7" x14ac:dyDescent="0.25">
      <c r="G573" s="102"/>
    </row>
    <row r="574" spans="7:7" x14ac:dyDescent="0.25">
      <c r="G574" s="102"/>
    </row>
    <row r="575" spans="7:7" x14ac:dyDescent="0.25">
      <c r="G575" s="102"/>
    </row>
    <row r="576" spans="7:7" x14ac:dyDescent="0.25">
      <c r="G576" s="102"/>
    </row>
    <row r="577" spans="7:7" x14ac:dyDescent="0.25">
      <c r="G577" s="102"/>
    </row>
    <row r="578" spans="7:7" x14ac:dyDescent="0.25">
      <c r="G578" s="102"/>
    </row>
    <row r="579" spans="7:7" x14ac:dyDescent="0.25">
      <c r="G579" s="102"/>
    </row>
    <row r="580" spans="7:7" x14ac:dyDescent="0.25">
      <c r="G580" s="102"/>
    </row>
    <row r="581" spans="7:7" x14ac:dyDescent="0.25">
      <c r="G581" s="102"/>
    </row>
    <row r="582" spans="7:7" x14ac:dyDescent="0.25">
      <c r="G582" s="102"/>
    </row>
    <row r="583" spans="7:7" x14ac:dyDescent="0.25">
      <c r="G583" s="102"/>
    </row>
    <row r="584" spans="7:7" x14ac:dyDescent="0.25">
      <c r="G584" s="102"/>
    </row>
    <row r="585" spans="7:7" x14ac:dyDescent="0.25">
      <c r="G585" s="102"/>
    </row>
    <row r="586" spans="7:7" x14ac:dyDescent="0.25">
      <c r="G586" s="102"/>
    </row>
    <row r="587" spans="7:7" x14ac:dyDescent="0.25">
      <c r="G587" s="102"/>
    </row>
    <row r="588" spans="7:7" x14ac:dyDescent="0.25">
      <c r="G588" s="102"/>
    </row>
    <row r="589" spans="7:7" x14ac:dyDescent="0.25">
      <c r="G589" s="102"/>
    </row>
    <row r="590" spans="7:7" x14ac:dyDescent="0.25">
      <c r="G590" s="102"/>
    </row>
    <row r="591" spans="7:7" x14ac:dyDescent="0.25">
      <c r="G591" s="102"/>
    </row>
    <row r="592" spans="7:7" x14ac:dyDescent="0.25">
      <c r="G592" s="102"/>
    </row>
    <row r="593" spans="7:7" x14ac:dyDescent="0.25">
      <c r="G593" s="102"/>
    </row>
    <row r="594" spans="7:7" x14ac:dyDescent="0.25">
      <c r="G594" s="102"/>
    </row>
    <row r="595" spans="7:7" x14ac:dyDescent="0.25">
      <c r="G595" s="102"/>
    </row>
    <row r="596" spans="7:7" x14ac:dyDescent="0.25">
      <c r="G596" s="102"/>
    </row>
    <row r="597" spans="7:7" x14ac:dyDescent="0.25">
      <c r="G597" s="102"/>
    </row>
    <row r="598" spans="7:7" x14ac:dyDescent="0.25">
      <c r="G598" s="102"/>
    </row>
    <row r="599" spans="7:7" x14ac:dyDescent="0.25">
      <c r="G599" s="102"/>
    </row>
    <row r="600" spans="7:7" x14ac:dyDescent="0.25">
      <c r="G600" s="102"/>
    </row>
    <row r="601" spans="7:7" x14ac:dyDescent="0.25">
      <c r="G601" s="102"/>
    </row>
    <row r="602" spans="7:7" x14ac:dyDescent="0.25">
      <c r="G602" s="102"/>
    </row>
    <row r="603" spans="7:7" x14ac:dyDescent="0.25">
      <c r="G603" s="102"/>
    </row>
    <row r="604" spans="7:7" x14ac:dyDescent="0.25">
      <c r="G604" s="102"/>
    </row>
    <row r="605" spans="7:7" x14ac:dyDescent="0.25">
      <c r="G605" s="102"/>
    </row>
    <row r="606" spans="7:7" x14ac:dyDescent="0.25">
      <c r="G606" s="102"/>
    </row>
    <row r="607" spans="7:7" x14ac:dyDescent="0.25">
      <c r="G607" s="102"/>
    </row>
    <row r="608" spans="7:7" x14ac:dyDescent="0.25">
      <c r="G608" s="102"/>
    </row>
    <row r="609" spans="7:7" x14ac:dyDescent="0.25">
      <c r="G609" s="102"/>
    </row>
    <row r="610" spans="7:7" x14ac:dyDescent="0.25">
      <c r="G610" s="102"/>
    </row>
    <row r="611" spans="7:7" x14ac:dyDescent="0.25">
      <c r="G611" s="102"/>
    </row>
    <row r="612" spans="7:7" x14ac:dyDescent="0.25">
      <c r="G612" s="102"/>
    </row>
    <row r="613" spans="7:7" x14ac:dyDescent="0.25">
      <c r="G613" s="102"/>
    </row>
    <row r="614" spans="7:7" x14ac:dyDescent="0.25">
      <c r="G614" s="102"/>
    </row>
    <row r="615" spans="7:7" x14ac:dyDescent="0.25">
      <c r="G615" s="102"/>
    </row>
    <row r="616" spans="7:7" x14ac:dyDescent="0.25">
      <c r="G616" s="102"/>
    </row>
    <row r="617" spans="7:7" x14ac:dyDescent="0.25">
      <c r="G617" s="102"/>
    </row>
    <row r="618" spans="7:7" x14ac:dyDescent="0.25">
      <c r="G618" s="102"/>
    </row>
    <row r="619" spans="7:7" x14ac:dyDescent="0.25">
      <c r="G619" s="102"/>
    </row>
    <row r="620" spans="7:7" x14ac:dyDescent="0.25">
      <c r="G620" s="102"/>
    </row>
    <row r="621" spans="7:7" x14ac:dyDescent="0.25">
      <c r="G621" s="102"/>
    </row>
    <row r="622" spans="7:7" x14ac:dyDescent="0.25">
      <c r="G622" s="102"/>
    </row>
    <row r="623" spans="7:7" x14ac:dyDescent="0.25">
      <c r="G623" s="102"/>
    </row>
    <row r="624" spans="7:7" x14ac:dyDescent="0.25">
      <c r="G624" s="102"/>
    </row>
    <row r="625" spans="7:7" x14ac:dyDescent="0.25">
      <c r="G625" s="102"/>
    </row>
    <row r="626" spans="7:7" x14ac:dyDescent="0.25">
      <c r="G626" s="102"/>
    </row>
    <row r="627" spans="7:7" x14ac:dyDescent="0.25">
      <c r="G627" s="102"/>
    </row>
    <row r="628" spans="7:7" x14ac:dyDescent="0.25">
      <c r="G628" s="102"/>
    </row>
    <row r="629" spans="7:7" x14ac:dyDescent="0.25">
      <c r="G629" s="102"/>
    </row>
    <row r="630" spans="7:7" x14ac:dyDescent="0.25">
      <c r="G630" s="102"/>
    </row>
    <row r="631" spans="7:7" x14ac:dyDescent="0.25">
      <c r="G631" s="102"/>
    </row>
    <row r="632" spans="7:7" x14ac:dyDescent="0.25">
      <c r="G632" s="102"/>
    </row>
    <row r="633" spans="7:7" x14ac:dyDescent="0.25">
      <c r="G633" s="102"/>
    </row>
    <row r="634" spans="7:7" x14ac:dyDescent="0.25">
      <c r="G634" s="102"/>
    </row>
    <row r="635" spans="7:7" x14ac:dyDescent="0.25">
      <c r="G635" s="102"/>
    </row>
    <row r="636" spans="7:7" x14ac:dyDescent="0.25">
      <c r="G636" s="102"/>
    </row>
    <row r="637" spans="7:7" x14ac:dyDescent="0.25">
      <c r="G637" s="102"/>
    </row>
    <row r="638" spans="7:7" x14ac:dyDescent="0.25">
      <c r="G638" s="102"/>
    </row>
    <row r="639" spans="7:7" x14ac:dyDescent="0.25">
      <c r="G639" s="102"/>
    </row>
    <row r="640" spans="7:7" x14ac:dyDescent="0.25">
      <c r="G640" s="102"/>
    </row>
    <row r="641" spans="7:7" x14ac:dyDescent="0.25">
      <c r="G641" s="102"/>
    </row>
    <row r="642" spans="7:7" x14ac:dyDescent="0.25">
      <c r="G642" s="102"/>
    </row>
    <row r="643" spans="7:7" x14ac:dyDescent="0.25">
      <c r="G643" s="102"/>
    </row>
    <row r="644" spans="7:7" x14ac:dyDescent="0.25">
      <c r="G644" s="102"/>
    </row>
    <row r="645" spans="7:7" x14ac:dyDescent="0.25">
      <c r="G645" s="102"/>
    </row>
    <row r="646" spans="7:7" x14ac:dyDescent="0.25">
      <c r="G646" s="102"/>
    </row>
    <row r="647" spans="7:7" x14ac:dyDescent="0.25">
      <c r="G647" s="102"/>
    </row>
    <row r="648" spans="7:7" x14ac:dyDescent="0.25">
      <c r="G648" s="102"/>
    </row>
    <row r="649" spans="7:7" x14ac:dyDescent="0.25">
      <c r="G649" s="102"/>
    </row>
    <row r="650" spans="7:7" x14ac:dyDescent="0.25">
      <c r="G650" s="102"/>
    </row>
    <row r="651" spans="7:7" x14ac:dyDescent="0.25">
      <c r="G651" s="102"/>
    </row>
    <row r="652" spans="7:7" x14ac:dyDescent="0.25">
      <c r="G652" s="102"/>
    </row>
    <row r="653" spans="7:7" x14ac:dyDescent="0.25">
      <c r="G653" s="102"/>
    </row>
    <row r="654" spans="7:7" x14ac:dyDescent="0.25">
      <c r="G654" s="102"/>
    </row>
    <row r="655" spans="7:7" x14ac:dyDescent="0.25">
      <c r="G655" s="102"/>
    </row>
    <row r="656" spans="7:7" x14ac:dyDescent="0.25">
      <c r="G656" s="102"/>
    </row>
    <row r="657" spans="7:7" x14ac:dyDescent="0.25">
      <c r="G657" s="102"/>
    </row>
    <row r="658" spans="7:7" x14ac:dyDescent="0.25">
      <c r="G658" s="102"/>
    </row>
    <row r="659" spans="7:7" x14ac:dyDescent="0.25">
      <c r="G659" s="102"/>
    </row>
    <row r="660" spans="7:7" x14ac:dyDescent="0.25">
      <c r="G660" s="102"/>
    </row>
    <row r="661" spans="7:7" x14ac:dyDescent="0.25">
      <c r="G661" s="102"/>
    </row>
    <row r="662" spans="7:7" x14ac:dyDescent="0.25">
      <c r="G662" s="102"/>
    </row>
    <row r="663" spans="7:7" x14ac:dyDescent="0.25">
      <c r="G663" s="102"/>
    </row>
    <row r="664" spans="7:7" x14ac:dyDescent="0.25">
      <c r="G664" s="102"/>
    </row>
    <row r="665" spans="7:7" x14ac:dyDescent="0.25">
      <c r="G665" s="102"/>
    </row>
    <row r="666" spans="7:7" x14ac:dyDescent="0.25">
      <c r="G666" s="102"/>
    </row>
    <row r="667" spans="7:7" x14ac:dyDescent="0.25">
      <c r="G667" s="102"/>
    </row>
    <row r="668" spans="7:7" x14ac:dyDescent="0.25">
      <c r="G668" s="102"/>
    </row>
    <row r="669" spans="7:7" x14ac:dyDescent="0.25">
      <c r="G669" s="102"/>
    </row>
    <row r="670" spans="7:7" x14ac:dyDescent="0.25">
      <c r="G670" s="102"/>
    </row>
    <row r="671" spans="7:7" x14ac:dyDescent="0.25">
      <c r="G671" s="102"/>
    </row>
    <row r="672" spans="7:7" x14ac:dyDescent="0.25">
      <c r="G672" s="102"/>
    </row>
    <row r="673" spans="7:7" x14ac:dyDescent="0.25">
      <c r="G673" s="102"/>
    </row>
    <row r="674" spans="7:7" x14ac:dyDescent="0.25">
      <c r="G674" s="102"/>
    </row>
    <row r="675" spans="7:7" x14ac:dyDescent="0.25">
      <c r="G675" s="102"/>
    </row>
    <row r="676" spans="7:7" x14ac:dyDescent="0.25">
      <c r="G676" s="102"/>
    </row>
    <row r="677" spans="7:7" x14ac:dyDescent="0.25">
      <c r="G677" s="102"/>
    </row>
    <row r="678" spans="7:7" x14ac:dyDescent="0.25">
      <c r="G678" s="102"/>
    </row>
    <row r="679" spans="7:7" x14ac:dyDescent="0.25">
      <c r="G679" s="102"/>
    </row>
    <row r="680" spans="7:7" x14ac:dyDescent="0.25">
      <c r="G680" s="102"/>
    </row>
    <row r="681" spans="7:7" x14ac:dyDescent="0.25">
      <c r="G681" s="102"/>
    </row>
    <row r="682" spans="7:7" x14ac:dyDescent="0.25">
      <c r="G682" s="102"/>
    </row>
    <row r="683" spans="7:7" x14ac:dyDescent="0.25">
      <c r="G683" s="102"/>
    </row>
    <row r="684" spans="7:7" x14ac:dyDescent="0.25">
      <c r="G684" s="102"/>
    </row>
    <row r="685" spans="7:7" x14ac:dyDescent="0.25">
      <c r="G685" s="102"/>
    </row>
    <row r="686" spans="7:7" x14ac:dyDescent="0.25">
      <c r="G686" s="102"/>
    </row>
    <row r="687" spans="7:7" x14ac:dyDescent="0.25">
      <c r="G687" s="102"/>
    </row>
    <row r="688" spans="7:7" x14ac:dyDescent="0.25">
      <c r="G688" s="102"/>
    </row>
    <row r="689" spans="7:7" x14ac:dyDescent="0.25">
      <c r="G689" s="102"/>
    </row>
    <row r="690" spans="7:7" x14ac:dyDescent="0.25">
      <c r="G690" s="102"/>
    </row>
    <row r="691" spans="7:7" x14ac:dyDescent="0.25">
      <c r="G691" s="102"/>
    </row>
    <row r="692" spans="7:7" x14ac:dyDescent="0.25">
      <c r="G692" s="102"/>
    </row>
    <row r="693" spans="7:7" x14ac:dyDescent="0.25">
      <c r="G693" s="102"/>
    </row>
    <row r="694" spans="7:7" x14ac:dyDescent="0.25">
      <c r="G694" s="102"/>
    </row>
    <row r="695" spans="7:7" x14ac:dyDescent="0.25">
      <c r="G695" s="102"/>
    </row>
    <row r="696" spans="7:7" x14ac:dyDescent="0.25">
      <c r="G696" s="102"/>
    </row>
    <row r="697" spans="7:7" x14ac:dyDescent="0.25">
      <c r="G697" s="102"/>
    </row>
    <row r="698" spans="7:7" x14ac:dyDescent="0.25">
      <c r="G698" s="102"/>
    </row>
    <row r="699" spans="7:7" x14ac:dyDescent="0.25">
      <c r="G699" s="102"/>
    </row>
    <row r="700" spans="7:7" x14ac:dyDescent="0.25">
      <c r="G700" s="102"/>
    </row>
    <row r="701" spans="7:7" x14ac:dyDescent="0.25">
      <c r="G701" s="102"/>
    </row>
    <row r="702" spans="7:7" x14ac:dyDescent="0.25">
      <c r="G702" s="102"/>
    </row>
    <row r="703" spans="7:7" x14ac:dyDescent="0.25">
      <c r="G703" s="102"/>
    </row>
    <row r="704" spans="7:7" x14ac:dyDescent="0.25">
      <c r="G704" s="102"/>
    </row>
    <row r="705" spans="7:7" x14ac:dyDescent="0.25">
      <c r="G705" s="102"/>
    </row>
    <row r="706" spans="7:7" x14ac:dyDescent="0.25">
      <c r="G706" s="102"/>
    </row>
    <row r="707" spans="7:7" x14ac:dyDescent="0.25">
      <c r="G707" s="102"/>
    </row>
    <row r="708" spans="7:7" x14ac:dyDescent="0.25">
      <c r="G708" s="102"/>
    </row>
    <row r="709" spans="7:7" x14ac:dyDescent="0.25">
      <c r="G709" s="102"/>
    </row>
    <row r="710" spans="7:7" x14ac:dyDescent="0.25">
      <c r="G710" s="102"/>
    </row>
    <row r="711" spans="7:7" x14ac:dyDescent="0.25">
      <c r="G711" s="102"/>
    </row>
    <row r="712" spans="7:7" x14ac:dyDescent="0.25">
      <c r="G712" s="102"/>
    </row>
    <row r="713" spans="7:7" x14ac:dyDescent="0.25">
      <c r="G713" s="102"/>
    </row>
    <row r="714" spans="7:7" x14ac:dyDescent="0.25">
      <c r="G714" s="102"/>
    </row>
    <row r="715" spans="7:7" x14ac:dyDescent="0.25">
      <c r="G715" s="102"/>
    </row>
    <row r="716" spans="7:7" x14ac:dyDescent="0.25">
      <c r="G716" s="102"/>
    </row>
    <row r="717" spans="7:7" x14ac:dyDescent="0.25">
      <c r="G717" s="102"/>
    </row>
    <row r="718" spans="7:7" x14ac:dyDescent="0.25">
      <c r="G718" s="102"/>
    </row>
    <row r="719" spans="7:7" x14ac:dyDescent="0.25">
      <c r="G719" s="102"/>
    </row>
    <row r="720" spans="7:7" x14ac:dyDescent="0.25">
      <c r="G720" s="102"/>
    </row>
    <row r="721" spans="7:7" x14ac:dyDescent="0.25">
      <c r="G721" s="102"/>
    </row>
    <row r="722" spans="7:7" x14ac:dyDescent="0.25">
      <c r="G722" s="102"/>
    </row>
    <row r="723" spans="7:7" x14ac:dyDescent="0.25">
      <c r="G723" s="102"/>
    </row>
    <row r="724" spans="7:7" x14ac:dyDescent="0.25">
      <c r="G724" s="102"/>
    </row>
    <row r="725" spans="7:7" x14ac:dyDescent="0.25">
      <c r="G725" s="102"/>
    </row>
    <row r="726" spans="7:7" x14ac:dyDescent="0.25">
      <c r="G726" s="102"/>
    </row>
    <row r="727" spans="7:7" x14ac:dyDescent="0.25">
      <c r="G727" s="102"/>
    </row>
    <row r="728" spans="7:7" x14ac:dyDescent="0.25">
      <c r="G728" s="102"/>
    </row>
    <row r="729" spans="7:7" x14ac:dyDescent="0.25">
      <c r="G729" s="102"/>
    </row>
    <row r="730" spans="7:7" x14ac:dyDescent="0.25">
      <c r="G730" s="102"/>
    </row>
    <row r="731" spans="7:7" x14ac:dyDescent="0.25">
      <c r="G731" s="102"/>
    </row>
    <row r="732" spans="7:7" x14ac:dyDescent="0.25">
      <c r="G732" s="102"/>
    </row>
    <row r="733" spans="7:7" x14ac:dyDescent="0.25">
      <c r="G733" s="102"/>
    </row>
    <row r="734" spans="7:7" x14ac:dyDescent="0.25">
      <c r="G734" s="102"/>
    </row>
    <row r="735" spans="7:7" x14ac:dyDescent="0.25">
      <c r="G735" s="102"/>
    </row>
    <row r="736" spans="7:7" x14ac:dyDescent="0.25">
      <c r="G736" s="102"/>
    </row>
    <row r="737" spans="7:7" x14ac:dyDescent="0.25">
      <c r="G737" s="102"/>
    </row>
    <row r="738" spans="7:7" x14ac:dyDescent="0.25">
      <c r="G738" s="102"/>
    </row>
    <row r="739" spans="7:7" x14ac:dyDescent="0.25">
      <c r="G739" s="102"/>
    </row>
    <row r="740" spans="7:7" x14ac:dyDescent="0.25">
      <c r="G740" s="102"/>
    </row>
    <row r="741" spans="7:7" x14ac:dyDescent="0.25">
      <c r="G741" s="102"/>
    </row>
    <row r="742" spans="7:7" x14ac:dyDescent="0.25">
      <c r="G742" s="102"/>
    </row>
    <row r="743" spans="7:7" x14ac:dyDescent="0.25">
      <c r="G743" s="102"/>
    </row>
    <row r="744" spans="7:7" x14ac:dyDescent="0.25">
      <c r="G744" s="102"/>
    </row>
    <row r="745" spans="7:7" x14ac:dyDescent="0.25">
      <c r="G745" s="102"/>
    </row>
    <row r="746" spans="7:7" x14ac:dyDescent="0.25">
      <c r="G746" s="102"/>
    </row>
    <row r="747" spans="7:7" x14ac:dyDescent="0.25">
      <c r="G747" s="102"/>
    </row>
    <row r="748" spans="7:7" x14ac:dyDescent="0.25">
      <c r="G748" s="102"/>
    </row>
    <row r="749" spans="7:7" x14ac:dyDescent="0.25">
      <c r="G749" s="102"/>
    </row>
    <row r="750" spans="7:7" x14ac:dyDescent="0.25">
      <c r="G750" s="102"/>
    </row>
    <row r="751" spans="7:7" x14ac:dyDescent="0.25">
      <c r="G751" s="102"/>
    </row>
    <row r="752" spans="7:7" x14ac:dyDescent="0.25">
      <c r="G752" s="102"/>
    </row>
    <row r="753" spans="7:7" x14ac:dyDescent="0.25">
      <c r="G753" s="102"/>
    </row>
    <row r="754" spans="7:7" x14ac:dyDescent="0.25">
      <c r="G754" s="102"/>
    </row>
    <row r="755" spans="7:7" x14ac:dyDescent="0.25">
      <c r="G755" s="102"/>
    </row>
    <row r="756" spans="7:7" x14ac:dyDescent="0.25">
      <c r="G756" s="102"/>
    </row>
    <row r="757" spans="7:7" x14ac:dyDescent="0.25">
      <c r="G757" s="102"/>
    </row>
    <row r="758" spans="7:7" x14ac:dyDescent="0.25">
      <c r="G758" s="102"/>
    </row>
    <row r="759" spans="7:7" x14ac:dyDescent="0.25">
      <c r="G759" s="102"/>
    </row>
    <row r="760" spans="7:7" x14ac:dyDescent="0.25">
      <c r="G760" s="102"/>
    </row>
    <row r="761" spans="7:7" x14ac:dyDescent="0.25">
      <c r="G761" s="102"/>
    </row>
    <row r="762" spans="7:7" x14ac:dyDescent="0.25">
      <c r="G762" s="102"/>
    </row>
    <row r="763" spans="7:7" x14ac:dyDescent="0.25">
      <c r="G763" s="102"/>
    </row>
    <row r="764" spans="7:7" x14ac:dyDescent="0.25">
      <c r="G764" s="102"/>
    </row>
    <row r="765" spans="7:7" x14ac:dyDescent="0.25">
      <c r="G765" s="102"/>
    </row>
    <row r="766" spans="7:7" x14ac:dyDescent="0.25">
      <c r="G766" s="102"/>
    </row>
    <row r="767" spans="7:7" x14ac:dyDescent="0.25">
      <c r="G767" s="102"/>
    </row>
    <row r="768" spans="7:7" x14ac:dyDescent="0.25">
      <c r="G768" s="102"/>
    </row>
    <row r="769" spans="7:7" x14ac:dyDescent="0.25">
      <c r="G769" s="102"/>
    </row>
    <row r="770" spans="7:7" x14ac:dyDescent="0.25">
      <c r="G770" s="102"/>
    </row>
    <row r="771" spans="7:7" x14ac:dyDescent="0.25">
      <c r="G771" s="102"/>
    </row>
    <row r="772" spans="7:7" x14ac:dyDescent="0.25">
      <c r="G772" s="102"/>
    </row>
  </sheetData>
  <sheetProtection algorithmName="SHA-512" hashValue="STGKmECf9ABuzTvpHErrpTtV/M32wlAWqHt+565J99Y6VJKWLB9knJxmodnW+lKrTCYNSyUGA8I/46LpNWNrsA==" saltValue="GKeaPOatOE+6wJ3Erth7e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5703125" customWidth="1"/>
    <col min="3" max="3" width="37.5703125" bestFit="1" customWidth="1"/>
    <col min="4" max="4" width="9.425781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42578125" bestFit="1" customWidth="1"/>
    <col min="3" max="3" width="5.140625" customWidth="1"/>
    <col min="4" max="6" width="20" customWidth="1"/>
    <col min="7" max="7" width="20.5703125" customWidth="1"/>
    <col min="8" max="9" width="17.5703125" customWidth="1"/>
    <col min="10" max="10" width="20.140625" customWidth="1"/>
    <col min="11" max="12" width="17.5703125" customWidth="1"/>
    <col min="13" max="13" width="20.140625" customWidth="1"/>
    <col min="14" max="14" width="19" customWidth="1"/>
    <col min="15" max="15" width="18.425781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15"/>
      <c r="B1" s="116"/>
      <c r="C1" s="117"/>
      <c r="D1" s="118"/>
      <c r="E1" s="119"/>
      <c r="F1" s="119"/>
    </row>
    <row r="2" spans="1:6" ht="15.75" thickBot="1" x14ac:dyDescent="0.3">
      <c r="A2" s="120"/>
      <c r="B2" s="121"/>
      <c r="C2" s="122"/>
      <c r="D2" s="122"/>
      <c r="E2" s="121"/>
      <c r="F2" s="121"/>
    </row>
    <row r="3" spans="1:6" ht="15.75" thickBot="1" x14ac:dyDescent="0.3">
      <c r="A3" s="123"/>
      <c r="B3" s="124"/>
      <c r="C3" s="124"/>
      <c r="D3" s="126"/>
      <c r="E3" s="126"/>
      <c r="F3" s="126"/>
    </row>
    <row r="4" spans="1:6" ht="15.75" thickBot="1" x14ac:dyDescent="0.3">
      <c r="A4" s="123"/>
      <c r="B4" s="124"/>
      <c r="C4" s="124"/>
      <c r="D4" s="126"/>
      <c r="E4" s="126"/>
      <c r="F4" s="126"/>
    </row>
    <row r="5" spans="1:6" ht="15.75" thickBot="1" x14ac:dyDescent="0.3">
      <c r="A5" s="123"/>
      <c r="B5" s="124"/>
      <c r="C5" s="124"/>
      <c r="D5" s="126"/>
      <c r="E5" s="126"/>
      <c r="F5" s="126"/>
    </row>
    <row r="6" spans="1:6" ht="15.75" thickBot="1" x14ac:dyDescent="0.3">
      <c r="A6" s="123"/>
      <c r="B6" s="124"/>
      <c r="C6" s="124"/>
      <c r="D6" s="126"/>
      <c r="E6" s="126"/>
      <c r="F6" s="126"/>
    </row>
    <row r="7" spans="1:6" ht="15.75" thickBot="1" x14ac:dyDescent="0.3">
      <c r="A7" s="123"/>
      <c r="B7" s="124"/>
      <c r="C7" s="124"/>
      <c r="D7" s="126"/>
      <c r="E7" s="126"/>
      <c r="F7" s="126"/>
    </row>
    <row r="8" spans="1:6" ht="15.75" thickBot="1" x14ac:dyDescent="0.3">
      <c r="A8" s="123"/>
      <c r="B8" s="127"/>
      <c r="C8" s="127"/>
      <c r="D8" s="128"/>
      <c r="E8" s="129"/>
      <c r="F8" s="130"/>
    </row>
    <row r="9" spans="1:6" x14ac:dyDescent="0.25">
      <c r="A9" s="131"/>
    </row>
    <row r="10" spans="1:6" x14ac:dyDescent="0.25">
      <c r="D10" s="125"/>
      <c r="E10" s="125"/>
      <c r="F10" s="125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H16" sqref="H16"/>
    </sheetView>
  </sheetViews>
  <sheetFormatPr baseColWidth="10" defaultColWidth="9.140625" defaultRowHeight="15" x14ac:dyDescent="0.25"/>
  <cols>
    <col min="3" max="3" width="6.42578125" customWidth="1"/>
    <col min="4" max="4" width="8.42578125" customWidth="1"/>
    <col min="5" max="5" width="16.140625" customWidth="1"/>
    <col min="6" max="6" width="14.5703125" customWidth="1"/>
    <col min="7" max="7" width="13.5703125" bestFit="1" customWidth="1"/>
    <col min="8" max="9" width="11.85546875" bestFit="1" customWidth="1"/>
    <col min="11" max="11" width="14.42578125" bestFit="1" customWidth="1"/>
  </cols>
  <sheetData>
    <row r="1" spans="1:11" x14ac:dyDescent="0.25">
      <c r="E1" t="s">
        <v>216</v>
      </c>
      <c r="F1">
        <f>1011.51*0.8</f>
        <v>809.20800000000008</v>
      </c>
      <c r="G1" t="s">
        <v>217</v>
      </c>
      <c r="H1">
        <v>1011.51</v>
      </c>
      <c r="I1">
        <f>F1*47</f>
        <v>38032.776000000005</v>
      </c>
    </row>
    <row r="2" spans="1:11" x14ac:dyDescent="0.25">
      <c r="A2" s="215"/>
      <c r="B2" s="215" t="s">
        <v>218</v>
      </c>
      <c r="C2" s="215"/>
      <c r="D2" s="215" t="s">
        <v>219</v>
      </c>
      <c r="E2" s="215" t="s">
        <v>220</v>
      </c>
      <c r="F2" s="215" t="s">
        <v>221</v>
      </c>
      <c r="G2" s="215" t="s">
        <v>222</v>
      </c>
      <c r="H2" s="215" t="s">
        <v>203</v>
      </c>
      <c r="I2" s="215" t="s">
        <v>245</v>
      </c>
    </row>
    <row r="3" spans="1:11" ht="15.75" thickBot="1" x14ac:dyDescent="0.3">
      <c r="A3">
        <v>2022</v>
      </c>
      <c r="B3">
        <v>47</v>
      </c>
      <c r="D3">
        <v>13</v>
      </c>
    </row>
    <row r="4" spans="1:11" x14ac:dyDescent="0.25">
      <c r="A4" s="216">
        <v>2023</v>
      </c>
      <c r="B4" s="217"/>
      <c r="C4" s="217"/>
      <c r="D4" s="217"/>
      <c r="E4" s="218"/>
      <c r="F4" s="218"/>
      <c r="G4" s="211"/>
    </row>
    <row r="5" spans="1:11" x14ac:dyDescent="0.25">
      <c r="A5" s="219"/>
      <c r="B5" s="25"/>
      <c r="C5" s="25"/>
      <c r="D5" s="25"/>
      <c r="E5" s="220"/>
      <c r="F5" s="220"/>
      <c r="G5" s="221"/>
    </row>
    <row r="6" spans="1:11" x14ac:dyDescent="0.25">
      <c r="A6" s="219"/>
      <c r="B6" s="25">
        <v>34</v>
      </c>
      <c r="C6" s="25" t="s">
        <v>225</v>
      </c>
      <c r="D6" s="25">
        <v>3</v>
      </c>
      <c r="E6" s="220">
        <f t="shared" ref="E6:E16" si="0">($F$1/12)*3*B6</f>
        <v>6878.2680000000009</v>
      </c>
      <c r="F6" s="220">
        <f t="shared" ref="F6:F15" si="1">D6*$H$1</f>
        <v>3034.5299999999997</v>
      </c>
      <c r="G6" s="241">
        <f>SUM(E6:F7)</f>
        <v>19218.690000000002</v>
      </c>
      <c r="H6" s="248">
        <f>SUM(E6:E7)</f>
        <v>13149.630000000001</v>
      </c>
      <c r="I6" s="248">
        <f>SUM(F6:F7)</f>
        <v>6069.0599999999995</v>
      </c>
      <c r="J6" s="227">
        <f>Perfils!$G$26</f>
        <v>54.56</v>
      </c>
      <c r="K6" s="56">
        <f>F1/J6</f>
        <v>14.831524926686217</v>
      </c>
    </row>
    <row r="7" spans="1:11" ht="15.75" thickBot="1" x14ac:dyDescent="0.3">
      <c r="A7" s="222"/>
      <c r="B7" s="223">
        <f>B6-D7</f>
        <v>31</v>
      </c>
      <c r="C7" s="223" t="s">
        <v>226</v>
      </c>
      <c r="D7" s="223">
        <v>3</v>
      </c>
      <c r="E7" s="224">
        <f t="shared" si="0"/>
        <v>6271.362000000001</v>
      </c>
      <c r="F7" s="224">
        <f t="shared" si="1"/>
        <v>3034.5299999999997</v>
      </c>
      <c r="G7" s="225"/>
      <c r="H7" s="28"/>
    </row>
    <row r="8" spans="1:11" x14ac:dyDescent="0.25">
      <c r="A8" s="216">
        <v>2024</v>
      </c>
      <c r="B8" s="217">
        <f>B7-D7</f>
        <v>28</v>
      </c>
      <c r="C8" s="217" t="s">
        <v>223</v>
      </c>
      <c r="D8" s="217">
        <v>3</v>
      </c>
      <c r="E8" s="218">
        <f t="shared" si="0"/>
        <v>5664.4560000000001</v>
      </c>
      <c r="F8" s="218">
        <f t="shared" si="1"/>
        <v>3034.5299999999997</v>
      </c>
      <c r="G8" s="211">
        <f>SUM(E8:F11)</f>
        <v>31154.507999999998</v>
      </c>
      <c r="H8" s="248">
        <f>SUM(E8:E11)</f>
        <v>19016.388000000003</v>
      </c>
      <c r="I8" s="248">
        <f>SUM(F8:F11)</f>
        <v>12138.119999999999</v>
      </c>
    </row>
    <row r="9" spans="1:11" x14ac:dyDescent="0.25">
      <c r="A9" s="219"/>
      <c r="B9" s="25">
        <f>B8-D8</f>
        <v>25</v>
      </c>
      <c r="C9" s="25" t="s">
        <v>224</v>
      </c>
      <c r="D9" s="25">
        <v>3</v>
      </c>
      <c r="E9" s="220">
        <f t="shared" si="0"/>
        <v>5057.55</v>
      </c>
      <c r="F9" s="220">
        <f t="shared" si="1"/>
        <v>3034.5299999999997</v>
      </c>
      <c r="G9" s="221"/>
      <c r="H9" s="28"/>
    </row>
    <row r="10" spans="1:11" x14ac:dyDescent="0.25">
      <c r="A10" s="219"/>
      <c r="B10" s="25">
        <f>B9-D9</f>
        <v>22</v>
      </c>
      <c r="C10" s="25" t="s">
        <v>225</v>
      </c>
      <c r="D10" s="25">
        <v>3</v>
      </c>
      <c r="E10" s="220">
        <f t="shared" si="0"/>
        <v>4450.6440000000002</v>
      </c>
      <c r="F10" s="220">
        <f t="shared" si="1"/>
        <v>3034.5299999999997</v>
      </c>
      <c r="G10" s="221"/>
      <c r="H10" s="28"/>
    </row>
    <row r="11" spans="1:11" ht="15.75" thickBot="1" x14ac:dyDescent="0.3">
      <c r="A11" s="222"/>
      <c r="B11" s="223">
        <f>B10-D11</f>
        <v>19</v>
      </c>
      <c r="C11" s="223" t="s">
        <v>226</v>
      </c>
      <c r="D11" s="223">
        <v>3</v>
      </c>
      <c r="E11" s="224">
        <f t="shared" si="0"/>
        <v>3843.7380000000003</v>
      </c>
      <c r="F11" s="224">
        <f t="shared" si="1"/>
        <v>3034.5299999999997</v>
      </c>
      <c r="G11" s="226"/>
      <c r="H11" s="28"/>
    </row>
    <row r="12" spans="1:11" x14ac:dyDescent="0.25">
      <c r="A12" s="216">
        <v>2025</v>
      </c>
      <c r="B12" s="217">
        <f t="shared" ref="B12:B17" si="2">B11-D11</f>
        <v>16</v>
      </c>
      <c r="C12" s="217" t="s">
        <v>223</v>
      </c>
      <c r="D12" s="217">
        <v>3</v>
      </c>
      <c r="E12" s="218">
        <f t="shared" si="0"/>
        <v>3236.8320000000003</v>
      </c>
      <c r="F12" s="218">
        <f t="shared" si="1"/>
        <v>3034.5299999999997</v>
      </c>
      <c r="G12" s="211">
        <f>SUM(E12:F15)</f>
        <v>21444.011999999999</v>
      </c>
      <c r="H12" s="247">
        <f>SUM(E12:E15)</f>
        <v>9305.8920000000016</v>
      </c>
      <c r="I12" s="248">
        <f>SUM(F12:F15)</f>
        <v>12138.119999999999</v>
      </c>
    </row>
    <row r="13" spans="1:11" x14ac:dyDescent="0.25">
      <c r="A13" s="219"/>
      <c r="B13" s="25">
        <f t="shared" si="2"/>
        <v>13</v>
      </c>
      <c r="C13" s="25" t="s">
        <v>224</v>
      </c>
      <c r="D13" s="25">
        <v>3</v>
      </c>
      <c r="E13" s="220">
        <f t="shared" si="0"/>
        <v>2629.9260000000004</v>
      </c>
      <c r="F13" s="220">
        <f t="shared" si="1"/>
        <v>3034.5299999999997</v>
      </c>
      <c r="G13" s="221"/>
      <c r="H13" s="28"/>
    </row>
    <row r="14" spans="1:11" x14ac:dyDescent="0.25">
      <c r="A14" s="219"/>
      <c r="B14" s="25">
        <f t="shared" si="2"/>
        <v>10</v>
      </c>
      <c r="C14" s="25" t="s">
        <v>225</v>
      </c>
      <c r="D14" s="25">
        <v>3</v>
      </c>
      <c r="E14" s="220">
        <f t="shared" si="0"/>
        <v>2023.0200000000002</v>
      </c>
      <c r="F14" s="220">
        <f t="shared" si="1"/>
        <v>3034.5299999999997</v>
      </c>
      <c r="G14" s="221"/>
      <c r="H14" s="28"/>
    </row>
    <row r="15" spans="1:11" ht="15.75" thickBot="1" x14ac:dyDescent="0.3">
      <c r="A15" s="222"/>
      <c r="B15" s="223">
        <f t="shared" si="2"/>
        <v>7</v>
      </c>
      <c r="C15" s="223" t="s">
        <v>226</v>
      </c>
      <c r="D15" s="223">
        <v>3</v>
      </c>
      <c r="E15" s="224">
        <f t="shared" si="0"/>
        <v>1416.114</v>
      </c>
      <c r="F15" s="224">
        <f t="shared" si="1"/>
        <v>3034.5299999999997</v>
      </c>
      <c r="G15" s="226"/>
      <c r="H15" s="28"/>
    </row>
    <row r="16" spans="1:11" x14ac:dyDescent="0.25">
      <c r="A16" s="219">
        <v>2026</v>
      </c>
      <c r="B16" s="23">
        <f t="shared" si="2"/>
        <v>4</v>
      </c>
      <c r="C16" s="23" t="s">
        <v>223</v>
      </c>
      <c r="D16" s="23">
        <v>4</v>
      </c>
      <c r="E16" s="220">
        <f t="shared" si="0"/>
        <v>809.20800000000008</v>
      </c>
      <c r="F16" s="240">
        <f t="shared" ref="F16:F17" si="3">D16*$H$1</f>
        <v>4046.04</v>
      </c>
      <c r="G16" s="241">
        <f>SUM(E16:F17)</f>
        <v>4855.2479999999996</v>
      </c>
      <c r="H16" s="247">
        <f>SUM(E16:E17)</f>
        <v>809.20800000000008</v>
      </c>
      <c r="I16" s="247">
        <f>SUM(F16:F17)</f>
        <v>4046.04</v>
      </c>
    </row>
    <row r="17" spans="1:8" ht="15.75" thickBot="1" x14ac:dyDescent="0.3">
      <c r="A17" s="243"/>
      <c r="B17" s="244">
        <f t="shared" si="2"/>
        <v>0</v>
      </c>
      <c r="C17" s="244" t="s">
        <v>224</v>
      </c>
      <c r="D17" s="244"/>
      <c r="E17" s="245">
        <f t="shared" ref="E17" si="4">(B17/12)*$F$1*3</f>
        <v>0</v>
      </c>
      <c r="F17" s="245">
        <f t="shared" si="3"/>
        <v>0</v>
      </c>
      <c r="G17" s="246"/>
      <c r="H17" s="28"/>
    </row>
    <row r="18" spans="1:8" x14ac:dyDescent="0.25">
      <c r="A18" s="239"/>
      <c r="B18" s="239"/>
      <c r="C18" s="239"/>
      <c r="D18" s="239"/>
      <c r="E18" s="239"/>
      <c r="F18" s="239"/>
      <c r="G18" s="239"/>
    </row>
    <row r="19" spans="1:8" x14ac:dyDescent="0.25">
      <c r="A19" s="239"/>
      <c r="B19" s="239"/>
      <c r="C19" s="239"/>
      <c r="D19" s="239"/>
      <c r="E19" s="242">
        <f>SUM(E6:E18)</f>
        <v>42281.118000000002</v>
      </c>
      <c r="F19" s="242">
        <f>SUM(F6:F18)</f>
        <v>34391.339999999989</v>
      </c>
      <c r="G19" s="242">
        <f>SUM(G6:G18)</f>
        <v>76672.458000000013</v>
      </c>
    </row>
    <row r="20" spans="1:8" x14ac:dyDescent="0.25">
      <c r="A20" s="239"/>
      <c r="B20" s="239"/>
      <c r="C20" s="239"/>
      <c r="D20" s="239"/>
      <c r="E20" s="239"/>
      <c r="F20" s="239"/>
      <c r="G20" s="239"/>
    </row>
  </sheetData>
  <sheetProtection algorithmName="SHA-512" hashValue="Ec+dmDvmv9pJ/glYP4UgogT7iwMJnMM+0oyIUScrEAK6QQh5acv0mqSO3UCoTx4JiRL4/HsIUJy6jPXF/tQC0A==" saltValue="8QqbKTimvAwh9/METvfU8w==" spinCount="100000" sheet="1" objects="1" scenarios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2"/>
  <sheetViews>
    <sheetView workbookViewId="0">
      <selection activeCell="I35" sqref="I35"/>
    </sheetView>
  </sheetViews>
  <sheetFormatPr baseColWidth="10" defaultColWidth="9.140625" defaultRowHeight="15" x14ac:dyDescent="0.25"/>
  <cols>
    <col min="2" max="2" width="24.7109375" customWidth="1"/>
    <col min="3" max="3" width="11.7109375" customWidth="1"/>
  </cols>
  <sheetData>
    <row r="2" spans="2:3" x14ac:dyDescent="0.25">
      <c r="B2" t="s">
        <v>257</v>
      </c>
    </row>
    <row r="4" spans="2:3" x14ac:dyDescent="0.25">
      <c r="B4" t="s">
        <v>261</v>
      </c>
      <c r="C4">
        <v>40</v>
      </c>
    </row>
    <row r="5" spans="2:3" x14ac:dyDescent="0.25">
      <c r="B5" t="s">
        <v>265</v>
      </c>
      <c r="C5" t="s">
        <v>258</v>
      </c>
    </row>
    <row r="6" spans="2:3" x14ac:dyDescent="0.25">
      <c r="B6" t="s">
        <v>264</v>
      </c>
    </row>
    <row r="7" spans="2:3" x14ac:dyDescent="0.25">
      <c r="B7" t="s">
        <v>263</v>
      </c>
      <c r="C7" s="75">
        <f>+Perfils!D10</f>
        <v>950</v>
      </c>
    </row>
    <row r="8" spans="2:3" x14ac:dyDescent="0.25">
      <c r="B8" s="66" t="s">
        <v>262</v>
      </c>
      <c r="C8" s="266">
        <f>+ROUND(C4*C7,2)</f>
        <v>38000</v>
      </c>
    </row>
    <row r="9" spans="2:3" x14ac:dyDescent="0.25">
      <c r="B9" s="66"/>
      <c r="C9" s="266"/>
    </row>
    <row r="10" spans="2:3" x14ac:dyDescent="0.25">
      <c r="B10" t="s">
        <v>259</v>
      </c>
    </row>
    <row r="12" spans="2:3" x14ac:dyDescent="0.25">
      <c r="B12" t="s">
        <v>261</v>
      </c>
      <c r="C12">
        <v>40</v>
      </c>
    </row>
    <row r="13" spans="2:3" x14ac:dyDescent="0.25">
      <c r="B13" t="s">
        <v>265</v>
      </c>
      <c r="C13" t="s">
        <v>258</v>
      </c>
    </row>
    <row r="14" spans="2:3" x14ac:dyDescent="0.25">
      <c r="B14" t="s">
        <v>264</v>
      </c>
    </row>
    <row r="15" spans="2:3" x14ac:dyDescent="0.25">
      <c r="B15" t="s">
        <v>263</v>
      </c>
      <c r="C15" s="75">
        <f>+Perfils!D11</f>
        <v>1050</v>
      </c>
    </row>
    <row r="16" spans="2:3" x14ac:dyDescent="0.25">
      <c r="B16" s="66" t="s">
        <v>262</v>
      </c>
      <c r="C16" s="266">
        <f>+ROUND(C12*C15,2)</f>
        <v>42000</v>
      </c>
    </row>
    <row r="17" spans="2:3" x14ac:dyDescent="0.25">
      <c r="B17" s="66"/>
      <c r="C17" s="266"/>
    </row>
    <row r="18" spans="2:3" x14ac:dyDescent="0.25">
      <c r="B18" t="s">
        <v>260</v>
      </c>
    </row>
    <row r="20" spans="2:3" x14ac:dyDescent="0.25">
      <c r="B20" t="s">
        <v>261</v>
      </c>
      <c r="C20">
        <v>20</v>
      </c>
    </row>
    <row r="21" spans="2:3" x14ac:dyDescent="0.25">
      <c r="B21" t="s">
        <v>263</v>
      </c>
      <c r="C21" s="75">
        <f>+Perfils!D12</f>
        <v>1210</v>
      </c>
    </row>
    <row r="22" spans="2:3" x14ac:dyDescent="0.25">
      <c r="B22" s="66" t="s">
        <v>262</v>
      </c>
      <c r="C22" s="266">
        <f>+ROUND(C20*C21,2)</f>
        <v>24200</v>
      </c>
    </row>
  </sheetData>
  <sheetProtection algorithmName="SHA-512" hashValue="tZTSeDJ2//nBAox+m6Th1h5ogjvIbASTONt09jPmmS8FjHPFCw2yJT9wiWXlnGG2dTYsWa/DWeNwIHAKI/DYgw==" saltValue="uHsiSuyzU0A28Ha3nv/Xqg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  <vt:lpstr>Càlcul imports quioscos</vt:lpstr>
      <vt:lpstr>Evol identificats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2023-04-18T12:14:06Z</dcterms:modified>
</cp:coreProperties>
</file>