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6" tabRatio="500" firstSheet="1" activeTab="2"/>
  </bookViews>
  <sheets>
    <sheet name="criteris automàtics" sheetId="1" r:id="rId1"/>
    <sheet name="Perfils" sheetId="2" r:id="rId2"/>
    <sheet name="Infraestructura-Talles" sheetId="3" r:id="rId3"/>
    <sheet name="Càlcul pressupost " sheetId="4" r:id="rId4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69" i="4" l="1"/>
  <c r="F71" i="4" s="1"/>
  <c r="P68" i="4"/>
  <c r="L68" i="4"/>
  <c r="L69" i="4" s="1"/>
  <c r="L71" i="4" s="1"/>
  <c r="I68" i="4"/>
  <c r="I69" i="4" s="1"/>
  <c r="I71" i="4" s="1"/>
  <c r="F68" i="4"/>
  <c r="P63" i="4"/>
  <c r="P61" i="4"/>
  <c r="P60" i="4"/>
  <c r="L60" i="4"/>
  <c r="L61" i="4" s="1"/>
  <c r="L63" i="4" s="1"/>
  <c r="I60" i="4"/>
  <c r="I61" i="4" s="1"/>
  <c r="I63" i="4" s="1"/>
  <c r="F60" i="4"/>
  <c r="F61" i="4" s="1"/>
  <c r="F63" i="4" s="1"/>
  <c r="S63" i="4" s="1"/>
  <c r="P53" i="4"/>
  <c r="P55" i="4" s="1"/>
  <c r="L53" i="4"/>
  <c r="L55" i="4" s="1"/>
  <c r="I53" i="4"/>
  <c r="I55" i="4" s="1"/>
  <c r="P52" i="4"/>
  <c r="L52" i="4"/>
  <c r="I52" i="4"/>
  <c r="F52" i="4"/>
  <c r="F53" i="4" s="1"/>
  <c r="F55" i="4" s="1"/>
  <c r="S55" i="4" s="1"/>
  <c r="F46" i="4"/>
  <c r="S46" i="4" s="1"/>
  <c r="P44" i="4"/>
  <c r="P46" i="4" s="1"/>
  <c r="L44" i="4"/>
  <c r="L46" i="4" s="1"/>
  <c r="I44" i="4"/>
  <c r="I46" i="4" s="1"/>
  <c r="F44" i="4"/>
  <c r="P38" i="4"/>
  <c r="I38" i="4"/>
  <c r="P36" i="4"/>
  <c r="L36" i="4"/>
  <c r="L38" i="4" s="1"/>
  <c r="I36" i="4"/>
  <c r="F36" i="4"/>
  <c r="F38" i="4" s="1"/>
  <c r="P30" i="4"/>
  <c r="I30" i="4"/>
  <c r="P28" i="4"/>
  <c r="L28" i="4"/>
  <c r="L30" i="4" s="1"/>
  <c r="I28" i="4"/>
  <c r="F28" i="4"/>
  <c r="F30" i="4" s="1"/>
  <c r="S30" i="4" s="1"/>
  <c r="P22" i="4"/>
  <c r="L22" i="4"/>
  <c r="P20" i="4"/>
  <c r="L20" i="4"/>
  <c r="I20" i="4"/>
  <c r="I22" i="4" s="1"/>
  <c r="S22" i="4" s="1"/>
  <c r="F20" i="4"/>
  <c r="F22" i="4" s="1"/>
  <c r="T19" i="4"/>
  <c r="S19" i="4"/>
  <c r="H48" i="3"/>
  <c r="J48" i="3" s="1"/>
  <c r="K48" i="3" s="1"/>
  <c r="E48" i="3"/>
  <c r="K47" i="3"/>
  <c r="J47" i="3"/>
  <c r="G47" i="3"/>
  <c r="K46" i="3"/>
  <c r="J46" i="3"/>
  <c r="G46" i="3"/>
  <c r="J45" i="3"/>
  <c r="K45" i="3" s="1"/>
  <c r="G45" i="3"/>
  <c r="K44" i="3"/>
  <c r="K49" i="3" s="1"/>
  <c r="J44" i="3"/>
  <c r="G44" i="3"/>
  <c r="J34" i="3"/>
  <c r="K34" i="3" s="1"/>
  <c r="H34" i="3"/>
  <c r="G34" i="3"/>
  <c r="G33" i="3"/>
  <c r="H33" i="3" s="1"/>
  <c r="J33" i="3" s="1"/>
  <c r="K33" i="3" s="1"/>
  <c r="J32" i="3"/>
  <c r="K32" i="3" s="1"/>
  <c r="H32" i="3"/>
  <c r="G32" i="3"/>
  <c r="G31" i="3"/>
  <c r="H31" i="3" s="1"/>
  <c r="J31" i="3" s="1"/>
  <c r="I21" i="3"/>
  <c r="H20" i="3"/>
  <c r="J20" i="3" s="1"/>
  <c r="K20" i="3" s="1"/>
  <c r="G20" i="3"/>
  <c r="H19" i="3"/>
  <c r="J19" i="3" s="1"/>
  <c r="K19" i="3" s="1"/>
  <c r="G19" i="3"/>
  <c r="H18" i="3"/>
  <c r="J18" i="3" s="1"/>
  <c r="K18" i="3" s="1"/>
  <c r="G18" i="3"/>
  <c r="H17" i="3"/>
  <c r="J17" i="3" s="1"/>
  <c r="K17" i="3" s="1"/>
  <c r="G17" i="3"/>
  <c r="H16" i="3"/>
  <c r="J16" i="3" s="1"/>
  <c r="K16" i="3" s="1"/>
  <c r="G16" i="3"/>
  <c r="H15" i="3"/>
  <c r="J15" i="3" s="1"/>
  <c r="K15" i="3" s="1"/>
  <c r="G15" i="3"/>
  <c r="H14" i="3"/>
  <c r="J14" i="3" s="1"/>
  <c r="G14" i="3"/>
  <c r="I8" i="3"/>
  <c r="K7" i="3"/>
  <c r="J7" i="3"/>
  <c r="H7" i="3"/>
  <c r="H6" i="3"/>
  <c r="J6" i="3" s="1"/>
  <c r="K6" i="3" s="1"/>
  <c r="J5" i="3"/>
  <c r="J8" i="3" s="1"/>
  <c r="H5" i="3"/>
  <c r="H42" i="2"/>
  <c r="F41" i="2"/>
  <c r="C41" i="2"/>
  <c r="F40" i="2"/>
  <c r="C40" i="2"/>
  <c r="F39" i="2"/>
  <c r="C39" i="2"/>
  <c r="F38" i="2"/>
  <c r="C38" i="2"/>
  <c r="F37" i="2"/>
  <c r="C37" i="2"/>
  <c r="H36" i="2"/>
  <c r="F35" i="2"/>
  <c r="C35" i="2"/>
  <c r="F34" i="2"/>
  <c r="C34" i="2"/>
  <c r="F33" i="2"/>
  <c r="C33" i="2"/>
  <c r="F32" i="2"/>
  <c r="E32" i="2"/>
  <c r="G32" i="2" s="1"/>
  <c r="C32" i="2"/>
  <c r="F31" i="2"/>
  <c r="C31" i="2"/>
  <c r="F30" i="2"/>
  <c r="E30" i="2"/>
  <c r="G30" i="2" s="1"/>
  <c r="C30" i="2"/>
  <c r="F29" i="2"/>
  <c r="C29" i="2"/>
  <c r="H28" i="2"/>
  <c r="F27" i="2"/>
  <c r="C27" i="2"/>
  <c r="F26" i="2"/>
  <c r="C26" i="2"/>
  <c r="F25" i="2"/>
  <c r="C25" i="2"/>
  <c r="F24" i="2"/>
  <c r="C24" i="2"/>
  <c r="F23" i="2"/>
  <c r="C23" i="2"/>
  <c r="F22" i="2"/>
  <c r="C22" i="2"/>
  <c r="F21" i="2"/>
  <c r="C21" i="2"/>
  <c r="H20" i="2"/>
  <c r="F19" i="2"/>
  <c r="C19" i="2"/>
  <c r="F18" i="2"/>
  <c r="C18" i="2"/>
  <c r="F17" i="2"/>
  <c r="E17" i="2"/>
  <c r="G17" i="2" s="1"/>
  <c r="C17" i="2"/>
  <c r="F16" i="2"/>
  <c r="C16" i="2"/>
  <c r="F15" i="2"/>
  <c r="E15" i="2"/>
  <c r="G15" i="2" s="1"/>
  <c r="C15" i="2"/>
  <c r="F14" i="2"/>
  <c r="C14" i="2"/>
  <c r="D10" i="2"/>
  <c r="E41" i="2" s="1"/>
  <c r="G41" i="2" s="1"/>
  <c r="D9" i="2"/>
  <c r="E35" i="2" s="1"/>
  <c r="G35" i="2" s="1"/>
  <c r="D8" i="2"/>
  <c r="E26" i="2" s="1"/>
  <c r="G26" i="2" s="1"/>
  <c r="D7" i="2"/>
  <c r="E33" i="2" s="1"/>
  <c r="G33" i="2" s="1"/>
  <c r="D6" i="2"/>
  <c r="E24" i="2" s="1"/>
  <c r="G24" i="2" s="1"/>
  <c r="D5" i="2"/>
  <c r="E31" i="2" s="1"/>
  <c r="G31" i="2" s="1"/>
  <c r="D4" i="2"/>
  <c r="E22" i="2" s="1"/>
  <c r="G22" i="2" s="1"/>
  <c r="D3" i="2"/>
  <c r="E29" i="2" s="1"/>
  <c r="G29" i="2" s="1"/>
  <c r="D41" i="1"/>
  <c r="E38" i="1"/>
  <c r="E36" i="1"/>
  <c r="E35" i="1"/>
  <c r="E34" i="1"/>
  <c r="E32" i="1"/>
  <c r="E30" i="1"/>
  <c r="E28" i="1"/>
  <c r="E27" i="1"/>
  <c r="E26" i="1"/>
  <c r="E23" i="1"/>
  <c r="E22" i="1"/>
  <c r="E21" i="1"/>
  <c r="E20" i="1"/>
  <c r="E18" i="1"/>
  <c r="E13" i="1"/>
  <c r="E10" i="1"/>
  <c r="E7" i="1"/>
  <c r="E6" i="1"/>
  <c r="E41" i="1" s="1"/>
  <c r="K31" i="3" l="1"/>
  <c r="K35" i="3" s="1"/>
  <c r="J35" i="3"/>
  <c r="J49" i="3"/>
  <c r="J52" i="3"/>
  <c r="S38" i="4"/>
  <c r="J21" i="3"/>
  <c r="K14" i="3"/>
  <c r="K21" i="3" s="1"/>
  <c r="E21" i="2"/>
  <c r="G21" i="2" s="1"/>
  <c r="E23" i="2"/>
  <c r="G23" i="2" s="1"/>
  <c r="E25" i="2"/>
  <c r="G25" i="2" s="1"/>
  <c r="E27" i="2"/>
  <c r="G27" i="2" s="1"/>
  <c r="E38" i="2"/>
  <c r="G38" i="2" s="1"/>
  <c r="E40" i="2"/>
  <c r="G40" i="2" s="1"/>
  <c r="P69" i="4"/>
  <c r="P71" i="4" s="1"/>
  <c r="S71" i="4" s="1"/>
  <c r="E19" i="2"/>
  <c r="G19" i="2" s="1"/>
  <c r="E34" i="2"/>
  <c r="G34" i="2" s="1"/>
  <c r="G36" i="2" s="1"/>
  <c r="K5" i="3"/>
  <c r="K8" i="3" s="1"/>
  <c r="K52" i="3" s="1"/>
  <c r="G48" i="3"/>
  <c r="E37" i="2"/>
  <c r="G37" i="2" s="1"/>
  <c r="E39" i="2"/>
  <c r="G39" i="2" s="1"/>
  <c r="E14" i="2"/>
  <c r="G14" i="2" s="1"/>
  <c r="E16" i="2"/>
  <c r="G16" i="2" s="1"/>
  <c r="E18" i="2"/>
  <c r="G18" i="2" s="1"/>
  <c r="M60" i="4" l="1"/>
  <c r="N60" i="4" s="1"/>
  <c r="N61" i="4" s="1"/>
  <c r="O8" i="4" s="1"/>
  <c r="M19" i="4"/>
  <c r="N19" i="4" s="1"/>
  <c r="N20" i="4" s="1"/>
  <c r="F8" i="4" s="1"/>
  <c r="M43" i="4"/>
  <c r="N43" i="4" s="1"/>
  <c r="N44" i="4" s="1"/>
  <c r="I8" i="4" s="1"/>
  <c r="I14" i="4" s="1"/>
  <c r="M35" i="4"/>
  <c r="N35" i="4" s="1"/>
  <c r="N36" i="4" s="1"/>
  <c r="H8" i="4" s="1"/>
  <c r="H14" i="4" s="1"/>
  <c r="M68" i="4"/>
  <c r="N68" i="4" s="1"/>
  <c r="N69" i="4" s="1"/>
  <c r="P8" i="4" s="1"/>
  <c r="M27" i="4"/>
  <c r="N27" i="4" s="1"/>
  <c r="N28" i="4" s="1"/>
  <c r="G8" i="4" s="1"/>
  <c r="G14" i="4" s="1"/>
  <c r="M52" i="4"/>
  <c r="N52" i="4" s="1"/>
  <c r="N53" i="4" s="1"/>
  <c r="N8" i="4" s="1"/>
  <c r="G20" i="2"/>
  <c r="O19" i="4"/>
  <c r="O20" i="4" s="1"/>
  <c r="F9" i="4" s="1"/>
  <c r="O43" i="4"/>
  <c r="O44" i="4" s="1"/>
  <c r="I9" i="4" s="1"/>
  <c r="O35" i="4"/>
  <c r="O27" i="4"/>
  <c r="O28" i="4" s="1"/>
  <c r="G9" i="4" s="1"/>
  <c r="G28" i="2"/>
  <c r="G42" i="2"/>
  <c r="G60" i="4" l="1"/>
  <c r="H60" i="4" s="1"/>
  <c r="G35" i="4"/>
  <c r="H35" i="4" s="1"/>
  <c r="G27" i="4"/>
  <c r="H27" i="4" s="1"/>
  <c r="G68" i="4"/>
  <c r="H68" i="4" s="1"/>
  <c r="G52" i="4"/>
  <c r="H52" i="4" s="1"/>
  <c r="G19" i="4"/>
  <c r="H19" i="4" s="1"/>
  <c r="G43" i="4"/>
  <c r="H43" i="4" s="1"/>
  <c r="Q8" i="4"/>
  <c r="R8" i="4" s="1"/>
  <c r="Q43" i="4"/>
  <c r="R43" i="4" s="1"/>
  <c r="R44" i="4" s="1"/>
  <c r="I10" i="4" s="1"/>
  <c r="Q68" i="4"/>
  <c r="R68" i="4" s="1"/>
  <c r="R69" i="4" s="1"/>
  <c r="P10" i="4" s="1"/>
  <c r="Q35" i="4"/>
  <c r="R35" i="4" s="1"/>
  <c r="R36" i="4" s="1"/>
  <c r="H10" i="4" s="1"/>
  <c r="Q27" i="4"/>
  <c r="R27" i="4" s="1"/>
  <c r="R28" i="4" s="1"/>
  <c r="G10" i="4" s="1"/>
  <c r="Q52" i="4"/>
  <c r="R52" i="4" s="1"/>
  <c r="R53" i="4" s="1"/>
  <c r="N10" i="4" s="1"/>
  <c r="Q10" i="4" s="1"/>
  <c r="R10" i="4" s="1"/>
  <c r="Q60" i="4"/>
  <c r="R60" i="4" s="1"/>
  <c r="R61" i="4" s="1"/>
  <c r="O10" i="4" s="1"/>
  <c r="Q19" i="4"/>
  <c r="R19" i="4" s="1"/>
  <c r="R20" i="4" s="1"/>
  <c r="F10" i="4" s="1"/>
  <c r="J68" i="4"/>
  <c r="K68" i="4" s="1"/>
  <c r="K69" i="4" s="1"/>
  <c r="P7" i="4" s="1"/>
  <c r="J52" i="4"/>
  <c r="K52" i="4" s="1"/>
  <c r="K53" i="4" s="1"/>
  <c r="N7" i="4" s="1"/>
  <c r="J19" i="4"/>
  <c r="K19" i="4" s="1"/>
  <c r="K20" i="4" s="1"/>
  <c r="F7" i="4" s="1"/>
  <c r="J60" i="4"/>
  <c r="K60" i="4" s="1"/>
  <c r="K61" i="4" s="1"/>
  <c r="O7" i="4" s="1"/>
  <c r="J43" i="4"/>
  <c r="K43" i="4" s="1"/>
  <c r="K44" i="4" s="1"/>
  <c r="I7" i="4" s="1"/>
  <c r="J35" i="4"/>
  <c r="K35" i="4" s="1"/>
  <c r="K36" i="4" s="1"/>
  <c r="H7" i="4" s="1"/>
  <c r="J27" i="4"/>
  <c r="K27" i="4" s="1"/>
  <c r="K28" i="4" s="1"/>
  <c r="G7" i="4" s="1"/>
  <c r="J9" i="4"/>
  <c r="K9" i="4" s="1"/>
  <c r="O60" i="4"/>
  <c r="O36" i="4"/>
  <c r="H9" i="4" s="1"/>
  <c r="O52" i="4"/>
  <c r="O53" i="4" s="1"/>
  <c r="N9" i="4" s="1"/>
  <c r="J8" i="4"/>
  <c r="F14" i="4"/>
  <c r="J10" i="4" l="1"/>
  <c r="K10" i="4" s="1"/>
  <c r="H44" i="4"/>
  <c r="I6" i="4" s="1"/>
  <c r="I11" i="4" s="1"/>
  <c r="I13" i="4" s="1"/>
  <c r="S43" i="4"/>
  <c r="S44" i="4" s="1"/>
  <c r="O68" i="4"/>
  <c r="O69" i="4" s="1"/>
  <c r="P9" i="4" s="1"/>
  <c r="O61" i="4"/>
  <c r="O9" i="4" s="1"/>
  <c r="H20" i="4"/>
  <c r="F6" i="4" s="1"/>
  <c r="W19" i="4"/>
  <c r="W20" i="4" s="1"/>
  <c r="J14" i="4"/>
  <c r="K8" i="4"/>
  <c r="K14" i="4" s="1"/>
  <c r="S52" i="4"/>
  <c r="S53" i="4" s="1"/>
  <c r="H53" i="4"/>
  <c r="N6" i="4" s="1"/>
  <c r="H69" i="4"/>
  <c r="P6" i="4" s="1"/>
  <c r="P11" i="4" s="1"/>
  <c r="S68" i="4"/>
  <c r="S69" i="4" s="1"/>
  <c r="S27" i="4"/>
  <c r="S28" i="4" s="1"/>
  <c r="H28" i="4"/>
  <c r="G6" i="4" s="1"/>
  <c r="G11" i="4" s="1"/>
  <c r="G13" i="4" s="1"/>
  <c r="Q9" i="4"/>
  <c r="R9" i="4" s="1"/>
  <c r="J7" i="4"/>
  <c r="K7" i="4" s="1"/>
  <c r="H36" i="4"/>
  <c r="H6" i="4" s="1"/>
  <c r="H11" i="4" s="1"/>
  <c r="H13" i="4" s="1"/>
  <c r="S35" i="4"/>
  <c r="S36" i="4" s="1"/>
  <c r="Q7" i="4"/>
  <c r="R7" i="4" s="1"/>
  <c r="H61" i="4"/>
  <c r="O6" i="4" s="1"/>
  <c r="O11" i="4" s="1"/>
  <c r="S60" i="4"/>
  <c r="S61" i="4" s="1"/>
  <c r="J6" i="4" l="1"/>
  <c r="V19" i="4"/>
  <c r="V20" i="4" s="1"/>
  <c r="F11" i="4"/>
  <c r="F13" i="4" s="1"/>
  <c r="Q6" i="4"/>
  <c r="N11" i="4"/>
  <c r="R6" i="4" l="1"/>
  <c r="R11" i="4" s="1"/>
  <c r="Q11" i="4"/>
  <c r="J11" i="4"/>
  <c r="J13" i="4" s="1"/>
  <c r="K6" i="4"/>
  <c r="K11" i="4" s="1"/>
  <c r="C3" i="1" l="1"/>
  <c r="K13" i="4"/>
</calcChain>
</file>

<file path=xl/sharedStrings.xml><?xml version="1.0" encoding="utf-8"?>
<sst xmlns="http://schemas.openxmlformats.org/spreadsheetml/2006/main" count="418" uniqueCount="209">
  <si>
    <t>CRITERIS VINCULATS A L’OBJECTE DEL CONTRACTE AVALUABLES DE FORMA AUTOMÀTICA (FINS A 51 PUNTS)</t>
  </si>
  <si>
    <t>màxima puntuació</t>
  </si>
  <si>
    <t>punts estimats</t>
  </si>
  <si>
    <t>Preu ofert  (fins a 20 punts)</t>
  </si>
  <si>
    <t xml:space="preserve">camp automàtic: </t>
  </si>
  <si>
    <r>
      <rPr>
        <sz val="11"/>
        <color rgb="FF000000"/>
        <rFont val="Calibri"/>
        <family val="2"/>
        <charset val="1"/>
      </rPr>
      <t>Càlcul automàtic import oferta (</t>
    </r>
    <r>
      <rPr>
        <b/>
        <sz val="11"/>
        <color rgb="FF000000"/>
        <rFont val="Calibri"/>
        <family val="2"/>
        <charset val="1"/>
      </rPr>
      <t>iva exclòs</t>
    </r>
    <r>
      <rPr>
        <sz val="11"/>
        <color rgb="FF000000"/>
        <rFont val="Calibri"/>
        <family val="2"/>
        <charset val="1"/>
      </rPr>
      <t xml:space="preserve">) a partir d'omplir : de la pestanya </t>
    </r>
    <r>
      <rPr>
        <b/>
        <u/>
        <sz val="11"/>
        <color rgb="FF000000"/>
        <rFont val="Calibri"/>
        <family val="2"/>
        <charset val="1"/>
      </rPr>
      <t xml:space="preserve">Perfils, </t>
    </r>
    <r>
      <rPr>
        <sz val="11"/>
        <color rgb="FF000000"/>
        <rFont val="Calibri"/>
        <family val="2"/>
        <charset val="1"/>
      </rPr>
      <t xml:space="preserve">caselles grogues (de E3 a E10), i pestanya </t>
    </r>
    <r>
      <rPr>
        <b/>
        <u/>
        <sz val="11"/>
        <color rgb="FF000000"/>
        <rFont val="Calibri"/>
        <family val="2"/>
        <charset val="1"/>
      </rPr>
      <t>Infraestructura-Talles</t>
    </r>
    <r>
      <rPr>
        <sz val="11"/>
        <color rgb="FF000000"/>
        <rFont val="Calibri"/>
        <family val="2"/>
        <charset val="1"/>
      </rPr>
      <t>:  caselles grogues (columna G).</t>
    </r>
  </si>
  <si>
    <t>(a completar per IMI)</t>
  </si>
  <si>
    <t>Millora en els Acords de Nivell de Servei (fins a 10 punts)</t>
  </si>
  <si>
    <t>marcar amb «X» el que correspongui:</t>
  </si>
  <si>
    <t>Millora en el temps de resolució d’incidències (Inc Treso), per al cas d’aplicacions de criticitat Estratègica:</t>
  </si>
  <si>
    <t>Millora ANS per a incidències greus a un màxim de 4 hores de temps de resolució:............ 2 punts</t>
  </si>
  <si>
    <t>Millora ANS per a incidències normals a un màxim de 8 hores de temps de resolució:...... 3 punts</t>
  </si>
  <si>
    <t>Millora en el temps de resolució de peticions de configuració d’Administració de sistemes (Pet Treso):</t>
  </si>
  <si>
    <t>Millora ANS per a peticions a un màxim de 2 dies............................ 3 punts</t>
  </si>
  <si>
    <t>Millora en el temps d’anàlisi i planificació de peticions (Plani):</t>
  </si>
  <si>
    <t>Millora ANS per a anàlisi i planificació a un màxim de 3 dies.................................................. 2 punts</t>
  </si>
  <si>
    <t>Millora en l’horari del suport tècnic  (fins a 10 punts)</t>
  </si>
  <si>
    <r>
      <rPr>
        <sz val="11"/>
        <color rgb="FF000000"/>
        <rFont val="Calibri"/>
        <family val="2"/>
        <charset val="1"/>
      </rPr>
      <t>marcar amb «</t>
    </r>
    <r>
      <rPr>
        <b/>
        <u/>
        <sz val="11"/>
        <color rgb="FF000000"/>
        <rFont val="Calibri"/>
        <family val="2"/>
        <charset val="1"/>
      </rPr>
      <t>X</t>
    </r>
    <r>
      <rPr>
        <sz val="11"/>
        <color rgb="FF000000"/>
        <rFont val="Calibri"/>
        <family val="2"/>
        <charset val="1"/>
      </rPr>
      <t>» el que correspongui:</t>
    </r>
  </si>
  <si>
    <t>Per una millora al 12x5  (laborables dilluns a divendres, de 8h a 20h).................. 2 punts</t>
  </si>
  <si>
    <t>Per una millora al 15x5  (laborables dilluns a divendres, de 8h a 23h).................. 4 punts</t>
  </si>
  <si>
    <t>Per una millora al 15x7 (dilluns a diumenge, incloent festius, de 8h a 23h) …...... 8 punts</t>
  </si>
  <si>
    <t>Per una millora al 24x7 (dilluns a diumenge, incloent festius, les 24h del dia) ….10 punts</t>
  </si>
  <si>
    <t>Experiència de l’equip tècnic assignat a l’execució del contracte (fins a 5 punts)</t>
  </si>
  <si>
    <r>
      <rPr>
        <sz val="11"/>
        <color rgb="FF000000"/>
        <rFont val="Calibri"/>
        <family val="2"/>
        <charset val="1"/>
      </rPr>
      <t xml:space="preserve">indicar </t>
    </r>
    <r>
      <rPr>
        <b/>
        <u/>
        <sz val="11"/>
        <color rgb="FF000000"/>
        <rFont val="Calibri"/>
        <family val="2"/>
        <charset val="1"/>
      </rPr>
      <t>anys</t>
    </r>
    <r>
      <rPr>
        <sz val="11"/>
        <color rgb="FF000000"/>
        <rFont val="Calibri"/>
        <family val="2"/>
        <charset val="1"/>
      </rPr>
      <t xml:space="preserve"> complerts experiència:</t>
    </r>
  </si>
  <si>
    <t>0,5 punts per cada any d’experiència addicional a la mínima requerida pel perfil Arquitecte/a en projectes o serveis de provisionament de infraestructura en l’àmbit d’aplicacions web, fins a un màxim de 3 anys més (1,5 punts).</t>
  </si>
  <si>
    <t>0,25 punts per cada any d’experiència addicional a la mínima requerida pel perfil Programador de sistemes fins a un màxim de 4 anys més (1 punts)</t>
  </si>
  <si>
    <t xml:space="preserve">0,25 punts per cada any d’experiència addicional a la mínima requerida pel perfil Full Stack Developer en PYTHON, fins a un màxim de 4 anys més (1 punts)      </t>
  </si>
  <si>
    <t>0,5 punts per cada any d’experiència addicional a la mínima requerida pel perfil Responsable seguretat (Responsable de servei Sènior), fins a un màxim de 3 anys més  (1,5 punts)</t>
  </si>
  <si>
    <t>Certificacions de l'equip assignat al contracte ................. (fins a 4 punts)</t>
  </si>
  <si>
    <t>Es valorarà que el perfil d’Arquitecte o bé el  Programador de sistemes  tingui la certificació:</t>
  </si>
  <si>
    <t>AWS Certified Solutions Architect - Professional (1 punt)</t>
  </si>
  <si>
    <t>Linux LPI , LPIC-1 o superior  (0,5 punt)</t>
  </si>
  <si>
    <t>Terraform Associate 003 o superior (0,5 punt)</t>
  </si>
  <si>
    <t>Es valorarà que el perfil d’Programador PHP  tingui la certificació:</t>
  </si>
  <si>
    <t xml:space="preserve">W3Schools PHP certification  (0,5 punt) </t>
  </si>
  <si>
    <t>Es valorarà que el perfil d’Arquitecte PYTHON o bé per a Full Stack Developer en PYTHON  tingui la certificació:</t>
  </si>
  <si>
    <t>Redis for Python developers (0,25 punt)</t>
  </si>
  <si>
    <t>Es valorarà que un dels  perfils assignats al contracte tingui alguna de les següents certificacions:</t>
  </si>
  <si>
    <t>Bareos Administration I (o superior) (0,25 punt)</t>
  </si>
  <si>
    <t>Certified Kubernetes Administrator (CKA) de The Linux Foundation (0,5 punt)</t>
  </si>
  <si>
    <t>ITIL 4 Foundation (0,5 punt)</t>
  </si>
  <si>
    <t>Periodicitat revisions ……. (fins a 2 punt)</t>
  </si>
  <si>
    <t xml:space="preserve">Per la millora en la periodicitat de les revisions trimestrals del plec de prescripcions tècniques per passar a periodicitat mensual. </t>
  </si>
  <si>
    <t>total punts:</t>
  </si>
  <si>
    <t>punts del preu (fins a 20 punts)</t>
  </si>
  <si>
    <t>ANS, horari, experiència, certificacions, periodicitat revisions (fins a 31 punts)</t>
  </si>
  <si>
    <t>Import €/hora amb IVA</t>
  </si>
  <si>
    <t>Preu/hora IVA exclòs</t>
  </si>
  <si>
    <t>Cap de projecte/Responsable del Servei</t>
  </si>
  <si>
    <t>Arquitecte</t>
  </si>
  <si>
    <t>Programador de sistemes</t>
  </si>
  <si>
    <t xml:space="preserve">Programador PHP  </t>
  </si>
  <si>
    <t>Full Stack Developer en PYTHON</t>
  </si>
  <si>
    <t>Arquitecte PYTHON</t>
  </si>
  <si>
    <t>Atenció usuaris</t>
  </si>
  <si>
    <t>(Inclou augment IPC  fins desembre-2023)</t>
  </si>
  <si>
    <t>Servei plec</t>
  </si>
  <si>
    <t>Perfil</t>
  </si>
  <si>
    <t>% dedicació</t>
  </si>
  <si>
    <t>Preu perfil 
IVA inclòs</t>
  </si>
  <si>
    <t>Preu perfil 
IVA exclòs</t>
  </si>
  <si>
    <t>Preu / hora /perfil
IVA inclòs</t>
  </si>
  <si>
    <t>Manteniment correctiu</t>
  </si>
  <si>
    <t>Preu perfil tipus</t>
  </si>
  <si>
    <t>Manteniment recurrent</t>
  </si>
  <si>
    <t>Serveis d'evolutius recurrents</t>
  </si>
  <si>
    <t xml:space="preserve">Serveis Transversals de Manteniment </t>
  </si>
  <si>
    <t>Servei d’aprovisionament d’infraestructura</t>
  </si>
  <si>
    <t>Infraestructura Webs CMS (PaaS)</t>
  </si>
  <si>
    <t>TALLA</t>
  </si>
  <si>
    <t>vCPU (*)</t>
  </si>
  <si>
    <t>RAM (GB) (*)</t>
  </si>
  <si>
    <t>espai disc SSD (GB) (*)</t>
  </si>
  <si>
    <t>espai BBDD 
SSD (GB) (*)</t>
  </si>
  <si>
    <t>PREU €/mes  Iva exclòs</t>
  </si>
  <si>
    <t>PREU €/mes  Iva inclòs</t>
  </si>
  <si>
    <t>Nombre unitats</t>
  </si>
  <si>
    <t>Cost total €/mes iva inclòs</t>
  </si>
  <si>
    <t>Cost total ANUAL € iva inclòs</t>
  </si>
  <si>
    <t>Web CMS Estàndard</t>
  </si>
  <si>
    <t>1/20</t>
  </si>
  <si>
    <t>50 MB</t>
  </si>
  <si>
    <t>2 Gb</t>
  </si>
  <si>
    <t>0,5 Gb</t>
  </si>
  <si>
    <t>Web CMS Estratègica</t>
  </si>
  <si>
    <t>2/20</t>
  </si>
  <si>
    <t>125 MB</t>
  </si>
  <si>
    <t>4 Gb</t>
  </si>
  <si>
    <t>1 Gb</t>
  </si>
  <si>
    <t>Web CMS entorn desenvolupament</t>
  </si>
  <si>
    <t>0,5/20</t>
  </si>
  <si>
    <t>25 MB</t>
  </si>
  <si>
    <t>(*) En promig, veure detall càlculs de recursos al plec. L'Allotjament actual és AWS</t>
  </si>
  <si>
    <t>Infraestructura Servidors Virtuals Dedicats (IaaS) i Emmagatzematge</t>
  </si>
  <si>
    <t>vCPU</t>
  </si>
  <si>
    <t>RAM (GB)</t>
  </si>
  <si>
    <t>SSD (GB)</t>
  </si>
  <si>
    <t>PROVEIDOR actual</t>
  </si>
  <si>
    <r>
      <rPr>
        <b/>
        <sz val="10"/>
        <rFont val="Arial"/>
        <family val="2"/>
        <charset val="1"/>
      </rPr>
      <t xml:space="preserve">PREU €/mes  Iva exclòs </t>
    </r>
    <r>
      <rPr>
        <i/>
        <sz val="10"/>
        <rFont val="Arial"/>
        <family val="2"/>
        <charset val="1"/>
      </rPr>
      <t>(1)</t>
    </r>
  </si>
  <si>
    <t>t3a.micro</t>
  </si>
  <si>
    <t>AWS</t>
  </si>
  <si>
    <t>t3a.small</t>
  </si>
  <si>
    <t>t3a.medium</t>
  </si>
  <si>
    <t>t3a.large</t>
  </si>
  <si>
    <t>t3a.xlarge</t>
  </si>
  <si>
    <t>t3a.2xlarge</t>
  </si>
  <si>
    <t>Servidor dedicat gran</t>
  </si>
  <si>
    <t>6 CPU</t>
  </si>
  <si>
    <t xml:space="preserve">64TB (32TB útils amb RAID) </t>
  </si>
  <si>
    <t>Hetzner</t>
  </si>
  <si>
    <t>Links preus Proveidors</t>
  </si>
  <si>
    <t>(1) Els imports son:</t>
  </si>
  <si>
    <t>https://aws.amazon.com/es/s3/pricing/?nc=sn&amp;loc=4</t>
  </si>
  <si>
    <r>
      <rPr>
        <sz val="10"/>
        <color rgb="FF8E7CC3"/>
        <rFont val="Arial"/>
        <family val="2"/>
        <charset val="1"/>
      </rPr>
      <t>el real del proveïdor AWS (</t>
    </r>
    <r>
      <rPr>
        <u/>
        <sz val="10"/>
        <color rgb="FF8E7CC3"/>
        <rFont val="Arial"/>
        <family val="2"/>
        <charset val="1"/>
      </rPr>
      <t>zona Irlanda</t>
    </r>
    <r>
      <rPr>
        <sz val="10"/>
        <color rgb="FF8E7CC3"/>
        <rFont val="Arial"/>
        <family val="2"/>
        <charset val="1"/>
      </rPr>
      <t>) en USD * conversió a Euro 0.94 (a dia 10/11/23).</t>
    </r>
  </si>
  <si>
    <t>https://aws.amazon.com/es/ec2/pricing/on-demand/</t>
  </si>
  <si>
    <r>
      <rPr>
        <sz val="10"/>
        <color rgb="FF8E7CC3"/>
        <rFont val="Arial"/>
        <family val="2"/>
        <charset val="1"/>
      </rPr>
      <t xml:space="preserve">En el cas de les EC2 s'indica el preu de </t>
    </r>
    <r>
      <rPr>
        <u/>
        <sz val="10"/>
        <color rgb="FF8E7CC3"/>
        <rFont val="Arial"/>
        <family val="2"/>
        <charset val="1"/>
      </rPr>
      <t>reserva durant un any</t>
    </r>
    <r>
      <rPr>
        <sz val="10"/>
        <color rgb="FF8E7CC3"/>
        <rFont val="Arial"/>
        <family val="2"/>
        <charset val="1"/>
      </rPr>
      <t xml:space="preserve"> que es un 33% mes barat que baix demanda.</t>
    </r>
  </si>
  <si>
    <t>https://www.hetzner.com/cloud</t>
  </si>
  <si>
    <t>El Preu incou un 10% de marge per afavorir la competència, i assumir el risc de reserva prèvia de recursos.</t>
  </si>
  <si>
    <t>https://www.digitalocean.com/pricing/</t>
  </si>
  <si>
    <r>
      <rPr>
        <sz val="10"/>
        <color rgb="FF8E7CC3"/>
        <rFont val="Arial"/>
        <family val="2"/>
        <charset val="1"/>
      </rPr>
      <t xml:space="preserve">El preu </t>
    </r>
    <r>
      <rPr>
        <u/>
        <sz val="10"/>
        <color rgb="FF8E7CC3"/>
        <rFont val="Arial"/>
        <family val="2"/>
        <charset val="1"/>
      </rPr>
      <t>inclou un disc de 50 Gb</t>
    </r>
    <r>
      <rPr>
        <sz val="10"/>
        <color rgb="FF8E7CC3"/>
        <rFont val="Arial"/>
        <family val="2"/>
        <charset val="1"/>
      </rPr>
      <t xml:space="preserve"> a cada servidor (que s'estima que incrementa el preu en 4,54€ iva inclòs cada servidor)</t>
    </r>
  </si>
  <si>
    <t>TIPUS</t>
  </si>
  <si>
    <t>PROVEIDOR</t>
  </si>
  <si>
    <r>
      <rPr>
        <b/>
        <sz val="10"/>
        <rFont val="Arial"/>
        <family val="2"/>
        <charset val="1"/>
      </rPr>
      <t xml:space="preserve">PREU € GB/mes 
IVA exclòs </t>
    </r>
    <r>
      <rPr>
        <b/>
        <i/>
        <sz val="10"/>
        <rFont val="Arial"/>
        <family val="2"/>
        <charset val="1"/>
      </rPr>
      <t>(1)</t>
    </r>
  </si>
  <si>
    <t>PREU € GB/mes 
IVA inclòs</t>
  </si>
  <si>
    <t>Volum (EBS) de propòsit general (gp3)</t>
  </si>
  <si>
    <t>EBS gpt3</t>
  </si>
  <si>
    <t>Volum (EBS) de baix rendiment (st1)</t>
  </si>
  <si>
    <t>EBS st1</t>
  </si>
  <si>
    <t>Emmagatzematge compartit en alta disponibilitat</t>
  </si>
  <si>
    <t>EFS</t>
  </si>
  <si>
    <t>Snapshots de disc</t>
  </si>
  <si>
    <t>Snapshot</t>
  </si>
  <si>
    <t>Digital Ocean</t>
  </si>
  <si>
    <t>Programari com a servei (SaaS)</t>
  </si>
  <si>
    <t>Servei</t>
  </si>
  <si>
    <t>Infraestructura</t>
  </si>
  <si>
    <t>Preu €/mes iva exclòs</t>
  </si>
  <si>
    <t>Preu €/mes iva inclòs</t>
  </si>
  <si>
    <t>CDN Cloudfront</t>
  </si>
  <si>
    <t>API-Gateway</t>
  </si>
  <si>
    <t>S3, Glacier, Deep Archive (incloent peticions i operacions API)</t>
  </si>
  <si>
    <t>NextCloud Hetzner</t>
  </si>
  <si>
    <t>Hetzner (CCX)</t>
  </si>
  <si>
    <t>Cookiebot</t>
  </si>
  <si>
    <t>TOTAL Servei d’aprovisionament d’infraestructura</t>
  </si>
  <si>
    <t>(Dades "nombre unitats" de l'octubre 2023)</t>
  </si>
  <si>
    <t>AM HOSTING IAAS (3 + 2)</t>
  </si>
  <si>
    <t>36 mesos</t>
  </si>
  <si>
    <t>Data inici contracte</t>
  </si>
  <si>
    <t>1 transició</t>
  </si>
  <si>
    <t>Data inici servei</t>
  </si>
  <si>
    <t>35 servei</t>
  </si>
  <si>
    <t>Data fi del contracte</t>
  </si>
  <si>
    <t>1 + 5,26</t>
  </si>
  <si>
    <t>POSSIBLE PRÒRROGA</t>
  </si>
  <si>
    <t>Data inici possible pròrroga</t>
  </si>
  <si>
    <t>Import 2024</t>
  </si>
  <si>
    <t>Import 2025</t>
  </si>
  <si>
    <t>Import 2026</t>
  </si>
  <si>
    <t>Import 2027</t>
  </si>
  <si>
    <t>Import Total IVA inclòs</t>
  </si>
  <si>
    <t>Import Total 
IVA exclòs</t>
  </si>
  <si>
    <t>Import 2028</t>
  </si>
  <si>
    <t>Import 2029</t>
  </si>
  <si>
    <t>Import Total IVA exclòs</t>
  </si>
  <si>
    <t>Data màxima fi pròrroga</t>
  </si>
  <si>
    <t>Treball fet real en incidència. Es paga al final</t>
  </si>
  <si>
    <t>Treball valorat i acceptat. Es paga al final</t>
  </si>
  <si>
    <t>Serveis d'evolutius recurrents (cap.6)</t>
  </si>
  <si>
    <t>Pagament per us</t>
  </si>
  <si>
    <t>Aprovisionament infraestructura</t>
  </si>
  <si>
    <t>Tarifa plana</t>
  </si>
  <si>
    <t>Import total licitació</t>
  </si>
  <si>
    <t>Import màxim possible pròrroga</t>
  </si>
  <si>
    <t>cap 2</t>
  </si>
  <si>
    <t>cap 6</t>
  </si>
  <si>
    <t>CONTRACTE</t>
  </si>
  <si>
    <t>ANY 2024 1 mes de transició + 5,26 mesos de servei</t>
  </si>
  <si>
    <t>Mesos</t>
  </si>
  <si>
    <t>Nom Servei</t>
  </si>
  <si>
    <t>Codi Aplicació</t>
  </si>
  <si>
    <t>Nom Aplicació</t>
  </si>
  <si>
    <t>IT Manteniment correctiu</t>
  </si>
  <si>
    <t>Preu/hora</t>
  </si>
  <si>
    <t>€ Manteniment correctiu</t>
  </si>
  <si>
    <t>PT  Manteniment recurrent</t>
  </si>
  <si>
    <t>€ Manteniment recurrent</t>
  </si>
  <si>
    <t>PT  Evolutius recurrents</t>
  </si>
  <si>
    <t>€ Evolutius recurrents</t>
  </si>
  <si>
    <t>€ Aprovisionament infraestructura</t>
  </si>
  <si>
    <t xml:space="preserve">TT Serveis Transversals de Manteniment </t>
  </si>
  <si>
    <t>€ STM</t>
  </si>
  <si>
    <t>Data inici transició</t>
  </si>
  <si>
    <t>Mesos transició</t>
  </si>
  <si>
    <t>€ Transició (recurrent)</t>
  </si>
  <si>
    <t>TOTAL</t>
  </si>
  <si>
    <t>SER0188</t>
  </si>
  <si>
    <t>Infraestructures web</t>
  </si>
  <si>
    <t>-</t>
  </si>
  <si>
    <t>Total</t>
  </si>
  <si>
    <t>FTE</t>
  </si>
  <si>
    <t>ANY 2025</t>
  </si>
  <si>
    <t>+5% respecte any passat</t>
  </si>
  <si>
    <t>ANY 2026</t>
  </si>
  <si>
    <t>ANY 2027 5,74 mesos de servei</t>
  </si>
  <si>
    <t>ANY 2027 6,26 mesos de servei</t>
  </si>
  <si>
    <t>ANY 2028</t>
  </si>
  <si>
    <t>ANY 2029 5,74 mesos de servei</t>
  </si>
  <si>
    <t>Responsable seguretat ( tarifa de "Responsable de servei Sènior")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</si>
</sst>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-* #,##0.00\ _€_-;\-* #,##0.00\ _€_-;_-* \-??\ _€_-;_-@_-"/>
    <numFmt numFmtId="165" formatCode="_-* #,##0.00&quot; €&quot;_-;\-* #,##0.00&quot; €&quot;_-;_-* \-??&quot; €&quot;_-;_-@_-"/>
    <numFmt numFmtId="166" formatCode="#,##0.00&quot; €&quot;"/>
    <numFmt numFmtId="167" formatCode="#,##0.00\ [$€-1]"/>
    <numFmt numFmtId="168" formatCode="#,##0.000000\ [$€-1]"/>
    <numFmt numFmtId="169" formatCode="#,##0.00&quot; €&quot;;[Red]\-#,##0.00&quot; €&quot;"/>
    <numFmt numFmtId="170" formatCode="_-* #,##0.0000000000000\ _€_-;\-* #,##0.0000000000000\ _€_-;_-* \-??\ _€_-;_-@_-"/>
    <numFmt numFmtId="171" formatCode="_-* #,##0.0000000000\ _€_-;\-* #,##0.0000000000\ _€_-;_-* \-??\ _€_-;_-@_-"/>
    <numFmt numFmtId="172" formatCode="_-* #,##0.000000000000000\ _€_-;\-* #,##0.000000000000000\ _€_-;_-* \-??????\ _€_-;_-@_-"/>
    <numFmt numFmtId="173" formatCode="dd/mm/yyyy"/>
    <numFmt numFmtId="174" formatCode="_-* #,##0\ _€_-;\-* #,##0\ _€_-;_-* \-??\ _€_-;_-@_-"/>
    <numFmt numFmtId="175" formatCode="#,##0.000000&quot; €&quot;"/>
    <numFmt numFmtId="176" formatCode="#,##0.00000"/>
    <numFmt numFmtId="177" formatCode="#,##0.00\ [$€-403];[Red]\-#,##0.00\ [$€-403]"/>
    <numFmt numFmtId="178" formatCode="#,##0.000"/>
    <numFmt numFmtId="179" formatCode="_-* #,##0.00000\ _€_-;\-* #,##0.00000\ _€_-;_-* \-??\ _€_-;_-@_-"/>
  </numFmts>
  <fonts count="30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u/>
      <sz val="11"/>
      <color rgb="FF000000"/>
      <name val="Calibri"/>
      <family val="2"/>
      <charset val="1"/>
    </font>
    <font>
      <i/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rgb="FFBFBFBF"/>
      <name val="Calibri"/>
      <family val="2"/>
      <charset val="1"/>
    </font>
    <font>
      <sz val="11"/>
      <color rgb="FFBFBFBF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i/>
      <sz val="1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C9211E"/>
      <name val="Arial"/>
      <family val="2"/>
      <charset val="1"/>
    </font>
    <font>
      <b/>
      <sz val="10"/>
      <color rgb="FFC9211E"/>
      <name val="Arial"/>
      <family val="2"/>
      <charset val="1"/>
    </font>
    <font>
      <sz val="10"/>
      <color rgb="FF8E7CC3"/>
      <name val="Arial"/>
      <family val="2"/>
      <charset val="1"/>
    </font>
    <font>
      <u/>
      <sz val="10"/>
      <color rgb="FF0000FF"/>
      <name val="Arial"/>
      <family val="2"/>
      <charset val="1"/>
    </font>
    <font>
      <u/>
      <sz val="10"/>
      <color rgb="FF8E7CC3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4"/>
      <color rgb="FFFFFFFF"/>
      <name val="Calibri"/>
      <family val="2"/>
      <charset val="1"/>
    </font>
    <font>
      <b/>
      <sz val="11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11"/>
      <color rgb="FFC9211E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1"/>
      <color rgb="FFC9211E"/>
      <name val="Calibri"/>
      <family val="2"/>
      <charset val="1"/>
    </font>
    <font>
      <sz val="11"/>
      <color rgb="FF000000"/>
      <name val="Calibri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rgb="FFF2F2F2"/>
        <bgColor rgb="FFEFEFEF"/>
      </patternFill>
    </fill>
    <fill>
      <patternFill patternType="solid">
        <fgColor rgb="FF89FD78"/>
        <bgColor rgb="FFC4FEBB"/>
      </patternFill>
    </fill>
    <fill>
      <patternFill patternType="solid">
        <fgColor rgb="FFD9D9D9"/>
        <bgColor rgb="FFD0CECE"/>
      </patternFill>
    </fill>
    <fill>
      <patternFill patternType="solid">
        <fgColor rgb="FFFFFF00"/>
        <bgColor rgb="FFFFFF00"/>
      </patternFill>
    </fill>
    <fill>
      <patternFill patternType="solid">
        <fgColor rgb="FFBBE6FE"/>
        <bgColor rgb="FFC9DAF8"/>
      </patternFill>
    </fill>
    <fill>
      <patternFill patternType="solid">
        <fgColor rgb="FFEEEEEE"/>
        <bgColor rgb="FFEFEFEF"/>
      </patternFill>
    </fill>
    <fill>
      <patternFill patternType="solid">
        <fgColor rgb="FFC00000"/>
        <bgColor rgb="FFC9211E"/>
      </patternFill>
    </fill>
    <fill>
      <patternFill patternType="solid">
        <fgColor rgb="FF767171"/>
        <bgColor rgb="FF595959"/>
      </patternFill>
    </fill>
    <fill>
      <patternFill patternType="solid">
        <fgColor rgb="FFE7E6E6"/>
        <bgColor rgb="FFEEEEEE"/>
      </patternFill>
    </fill>
    <fill>
      <patternFill patternType="solid">
        <fgColor rgb="FFFFC000"/>
        <bgColor rgb="FFFF9900"/>
      </patternFill>
    </fill>
    <fill>
      <patternFill patternType="solid">
        <fgColor rgb="FFC9DAF8"/>
        <bgColor rgb="FFBBE6FE"/>
      </patternFill>
    </fill>
    <fill>
      <patternFill patternType="solid">
        <fgColor rgb="FFEFEFEF"/>
        <bgColor rgb="FFEEEEEE"/>
      </patternFill>
    </fill>
    <fill>
      <patternFill patternType="solid">
        <fgColor rgb="FFFFFFFF"/>
        <bgColor rgb="FFF2F2F2"/>
      </patternFill>
    </fill>
    <fill>
      <patternFill patternType="solid">
        <fgColor rgb="FF000000"/>
        <bgColor rgb="FF003300"/>
      </patternFill>
    </fill>
    <fill>
      <patternFill patternType="solid">
        <fgColor rgb="FFC4FEBB"/>
        <bgColor rgb="FFBBE6FE"/>
      </patternFill>
    </fill>
    <fill>
      <patternFill patternType="solid">
        <fgColor rgb="FF595959"/>
        <bgColor rgb="FF767171"/>
      </patternFill>
    </fill>
    <fill>
      <patternFill patternType="solid">
        <fgColor rgb="FFC9211E"/>
        <bgColor rgb="FFC00000"/>
      </patternFill>
    </fill>
    <fill>
      <patternFill patternType="solid">
        <fgColor rgb="FF971917"/>
        <bgColor rgb="FF800000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thin">
        <color rgb="FFE7E6E6"/>
      </left>
      <right style="thin">
        <color rgb="FFE7E6E6"/>
      </right>
      <top/>
      <bottom style="thin">
        <color rgb="FFE7E6E6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/>
      <diagonal/>
    </border>
    <border>
      <left style="thin">
        <color rgb="FFE7E6E6"/>
      </left>
      <right/>
      <top style="thin">
        <color rgb="FFE7E6E6"/>
      </top>
      <bottom style="thin">
        <color rgb="FFE7E6E6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thin">
        <color rgb="FFD0CECE"/>
      </left>
      <right/>
      <top style="thin">
        <color rgb="FFD0CECE"/>
      </top>
      <bottom style="thin">
        <color rgb="FFD0CECE"/>
      </bottom>
      <diagonal/>
    </border>
    <border>
      <left/>
      <right style="thin">
        <color rgb="FFD0CECE"/>
      </right>
      <top style="thin">
        <color rgb="FFD0CECE"/>
      </top>
      <bottom style="thin">
        <color rgb="FFD0CECE"/>
      </bottom>
      <diagonal/>
    </border>
  </borders>
  <cellStyleXfs count="13">
    <xf numFmtId="0" fontId="0" fillId="0" borderId="0"/>
    <xf numFmtId="164" fontId="29" fillId="0" borderId="0" applyBorder="0" applyProtection="0"/>
    <xf numFmtId="165" fontId="29" fillId="0" borderId="0" applyBorder="0" applyProtection="0"/>
    <xf numFmtId="9" fontId="29" fillId="0" borderId="0" applyBorder="0" applyProtection="0"/>
    <xf numFmtId="164" fontId="29" fillId="0" borderId="0" applyBorder="0" applyProtection="0"/>
    <xf numFmtId="164" fontId="29" fillId="0" borderId="0" applyBorder="0" applyProtection="0"/>
    <xf numFmtId="164" fontId="29" fillId="0" borderId="0" applyBorder="0" applyProtection="0"/>
    <xf numFmtId="165" fontId="29" fillId="0" borderId="0" applyBorder="0" applyProtection="0"/>
    <xf numFmtId="0" fontId="29" fillId="0" borderId="0"/>
    <xf numFmtId="0" fontId="1" fillId="0" borderId="0"/>
    <xf numFmtId="0" fontId="1" fillId="0" borderId="0"/>
    <xf numFmtId="0" fontId="29" fillId="0" borderId="0"/>
    <xf numFmtId="0" fontId="29" fillId="0" borderId="0"/>
  </cellStyleXfs>
  <cellXfs count="267">
    <xf numFmtId="0" fontId="0" fillId="0" borderId="0" xfId="0"/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wrapText="1"/>
    </xf>
    <xf numFmtId="164" fontId="0" fillId="0" borderId="0" xfId="0" applyNumberFormat="1" applyAlignment="1" applyProtection="1">
      <alignment wrapText="1"/>
    </xf>
    <xf numFmtId="0" fontId="2" fillId="0" borderId="1" xfId="0" applyFont="1" applyBorder="1" applyAlignment="1" applyProtection="1">
      <alignment wrapText="1"/>
    </xf>
    <xf numFmtId="0" fontId="0" fillId="0" borderId="2" xfId="0" applyBorder="1" applyAlignment="1" applyProtection="1">
      <alignment wrapText="1"/>
    </xf>
    <xf numFmtId="0" fontId="0" fillId="0" borderId="2" xfId="0" applyBorder="1" applyAlignment="1" applyProtection="1">
      <alignment horizontal="center" wrapText="1"/>
    </xf>
    <xf numFmtId="164" fontId="0" fillId="0" borderId="2" xfId="0" applyNumberFormat="1" applyFont="1" applyBorder="1" applyAlignment="1" applyProtection="1">
      <alignment wrapText="1"/>
    </xf>
    <xf numFmtId="0" fontId="0" fillId="0" borderId="3" xfId="0" applyFont="1" applyBorder="1" applyAlignment="1" applyProtection="1">
      <alignment wrapText="1"/>
    </xf>
    <xf numFmtId="0" fontId="0" fillId="2" borderId="0" xfId="0" applyFont="1" applyFill="1" applyAlignment="1" applyProtection="1">
      <alignment wrapText="1"/>
    </xf>
    <xf numFmtId="0" fontId="0" fillId="2" borderId="0" xfId="0" applyFont="1" applyFill="1" applyAlignment="1" applyProtection="1">
      <alignment horizontal="center" wrapText="1"/>
    </xf>
    <xf numFmtId="164" fontId="0" fillId="2" borderId="0" xfId="0" applyNumberFormat="1" applyFill="1" applyAlignment="1" applyProtection="1">
      <alignment wrapText="1"/>
    </xf>
    <xf numFmtId="166" fontId="2" fillId="3" borderId="4" xfId="0" applyNumberFormat="1" applyFont="1" applyFill="1" applyBorder="1" applyAlignment="1" applyProtection="1">
      <alignment horizontal="center" wrapText="1"/>
    </xf>
    <xf numFmtId="164" fontId="29" fillId="0" borderId="4" xfId="1" applyBorder="1" applyAlignment="1" applyProtection="1">
      <alignment wrapText="1"/>
    </xf>
    <xf numFmtId="0" fontId="4" fillId="4" borderId="4" xfId="0" applyFont="1" applyFill="1" applyBorder="1" applyAlignment="1" applyProtection="1">
      <alignment wrapText="1"/>
    </xf>
    <xf numFmtId="0" fontId="2" fillId="0" borderId="0" xfId="0" applyFont="1" applyAlignment="1" applyProtection="1">
      <alignment wrapText="1"/>
    </xf>
    <xf numFmtId="166" fontId="2" fillId="5" borderId="4" xfId="0" applyNumberFormat="1" applyFont="1" applyFill="1" applyBorder="1" applyAlignment="1" applyProtection="1">
      <alignment horizontal="center" wrapText="1"/>
    </xf>
    <xf numFmtId="4" fontId="0" fillId="6" borderId="4" xfId="0" applyNumberFormat="1" applyFill="1" applyBorder="1" applyAlignment="1" applyProtection="1">
      <alignment wrapText="1"/>
    </xf>
    <xf numFmtId="0" fontId="5" fillId="0" borderId="0" xfId="0" applyFont="1" applyAlignment="1" applyProtection="1">
      <alignment horizontal="justify" vertical="center" wrapText="1"/>
    </xf>
    <xf numFmtId="0" fontId="0" fillId="7" borderId="0" xfId="0" applyFill="1" applyAlignment="1" applyProtection="1">
      <alignment wrapText="1"/>
    </xf>
    <xf numFmtId="4" fontId="0" fillId="2" borderId="0" xfId="0" applyNumberFormat="1" applyFont="1" applyFill="1" applyAlignment="1" applyProtection="1">
      <alignment wrapText="1"/>
    </xf>
    <xf numFmtId="3" fontId="2" fillId="5" borderId="4" xfId="0" applyNumberFormat="1" applyFont="1" applyFill="1" applyBorder="1" applyAlignment="1" applyProtection="1">
      <alignment horizontal="center" wrapText="1"/>
    </xf>
    <xf numFmtId="0" fontId="2" fillId="2" borderId="0" xfId="0" applyFont="1" applyFill="1" applyAlignment="1" applyProtection="1">
      <alignment wrapText="1"/>
    </xf>
    <xf numFmtId="4" fontId="0" fillId="0" borderId="5" xfId="0" applyNumberFormat="1" applyFont="1" applyBorder="1" applyAlignment="1" applyProtection="1">
      <alignment wrapText="1"/>
    </xf>
    <xf numFmtId="4" fontId="2" fillId="0" borderId="5" xfId="0" applyNumberFormat="1" applyFont="1" applyBorder="1" applyAlignment="1" applyProtection="1">
      <alignment wrapText="1"/>
    </xf>
    <xf numFmtId="0" fontId="0" fillId="0" borderId="0" xfId="0" applyAlignment="1" applyProtection="1"/>
    <xf numFmtId="0" fontId="0" fillId="0" borderId="6" xfId="0" applyBorder="1" applyAlignment="1" applyProtection="1"/>
    <xf numFmtId="0" fontId="6" fillId="8" borderId="7" xfId="0" applyFont="1" applyFill="1" applyBorder="1" applyAlignment="1" applyProtection="1">
      <alignment horizontal="center" vertical="center" wrapText="1"/>
    </xf>
    <xf numFmtId="17" fontId="7" fillId="0" borderId="0" xfId="3" applyNumberFormat="1" applyFont="1" applyBorder="1" applyAlignment="1" applyProtection="1"/>
    <xf numFmtId="0" fontId="8" fillId="0" borderId="0" xfId="0" applyFont="1" applyAlignment="1" applyProtection="1">
      <alignment horizontal="right"/>
    </xf>
    <xf numFmtId="0" fontId="0" fillId="0" borderId="4" xfId="0" applyFont="1" applyBorder="1" applyAlignment="1" applyProtection="1">
      <alignment horizontal="left"/>
    </xf>
    <xf numFmtId="165" fontId="2" fillId="0" borderId="4" xfId="2" applyFont="1" applyBorder="1" applyAlignment="1" applyProtection="1">
      <alignment horizontal="center"/>
    </xf>
    <xf numFmtId="165" fontId="2" fillId="5" borderId="4" xfId="2" applyFont="1" applyFill="1" applyBorder="1" applyAlignment="1" applyProtection="1">
      <alignment horizontal="center"/>
    </xf>
    <xf numFmtId="165" fontId="7" fillId="0" borderId="0" xfId="2" applyFont="1" applyBorder="1" applyAlignment="1" applyProtection="1"/>
    <xf numFmtId="10" fontId="7" fillId="0" borderId="0" xfId="3" applyNumberFormat="1" applyFont="1" applyBorder="1" applyAlignment="1" applyProtection="1"/>
    <xf numFmtId="0" fontId="9" fillId="0" borderId="0" xfId="0" applyFont="1" applyAlignment="1" applyProtection="1"/>
    <xf numFmtId="9" fontId="9" fillId="0" borderId="0" xfId="0" applyNumberFormat="1" applyFont="1" applyAlignment="1" applyProtection="1"/>
    <xf numFmtId="0" fontId="0" fillId="0" borderId="4" xfId="0" applyFont="1" applyBorder="1" applyAlignment="1" applyProtection="1">
      <alignment horizontal="left" wrapText="1"/>
    </xf>
    <xf numFmtId="0" fontId="6" fillId="8" borderId="8" xfId="0" applyFont="1" applyFill="1" applyBorder="1" applyAlignment="1" applyProtection="1">
      <alignment horizontal="center" vertical="center"/>
    </xf>
    <xf numFmtId="0" fontId="6" fillId="8" borderId="8" xfId="0" applyFont="1" applyFill="1" applyBorder="1" applyAlignment="1" applyProtection="1">
      <alignment horizontal="center" vertical="center" wrapText="1"/>
    </xf>
    <xf numFmtId="0" fontId="0" fillId="0" borderId="8" xfId="0" applyBorder="1" applyAlignment="1" applyProtection="1"/>
    <xf numFmtId="10" fontId="0" fillId="0" borderId="8" xfId="0" applyNumberFormat="1" applyBorder="1" applyAlignment="1" applyProtection="1"/>
    <xf numFmtId="2" fontId="0" fillId="0" borderId="8" xfId="0" applyNumberFormat="1" applyBorder="1" applyAlignment="1" applyProtection="1"/>
    <xf numFmtId="4" fontId="0" fillId="0" borderId="8" xfId="0" applyNumberFormat="1" applyBorder="1" applyAlignment="1" applyProtection="1"/>
    <xf numFmtId="2" fontId="2" fillId="10" borderId="8" xfId="0" applyNumberFormat="1" applyFont="1" applyFill="1" applyBorder="1" applyAlignment="1" applyProtection="1">
      <alignment horizontal="right"/>
    </xf>
    <xf numFmtId="10" fontId="0" fillId="0" borderId="0" xfId="0" applyNumberFormat="1" applyAlignment="1" applyProtection="1"/>
    <xf numFmtId="0" fontId="0" fillId="0" borderId="10" xfId="0" applyBorder="1" applyAlignment="1" applyProtection="1">
      <alignment wrapText="1"/>
    </xf>
    <xf numFmtId="2" fontId="0" fillId="0" borderId="11" xfId="0" applyNumberFormat="1" applyBorder="1" applyAlignment="1" applyProtection="1"/>
    <xf numFmtId="0" fontId="1" fillId="0" borderId="0" xfId="10" applyFont="1" applyAlignment="1" applyProtection="1"/>
    <xf numFmtId="0" fontId="2" fillId="11" borderId="0" xfId="8" applyFont="1" applyFill="1" applyAlignment="1" applyProtection="1"/>
    <xf numFmtId="0" fontId="0" fillId="11" borderId="0" xfId="8" applyFont="1" applyFill="1" applyAlignment="1" applyProtection="1"/>
    <xf numFmtId="164" fontId="0" fillId="11" borderId="0" xfId="6" applyFont="1" applyFill="1" applyBorder="1" applyAlignment="1" applyProtection="1"/>
    <xf numFmtId="0" fontId="11" fillId="12" borderId="4" xfId="10" applyFont="1" applyFill="1" applyBorder="1" applyAlignment="1" applyProtection="1">
      <alignment wrapText="1"/>
    </xf>
    <xf numFmtId="0" fontId="11" fillId="12" borderId="12" xfId="10" applyFont="1" applyFill="1" applyBorder="1" applyAlignment="1" applyProtection="1">
      <alignment wrapText="1"/>
    </xf>
    <xf numFmtId="0" fontId="11" fillId="12" borderId="13" xfId="10" applyFont="1" applyFill="1" applyBorder="1" applyAlignment="1" applyProtection="1">
      <alignment wrapText="1"/>
    </xf>
    <xf numFmtId="0" fontId="11" fillId="12" borderId="14" xfId="10" applyFont="1" applyFill="1" applyBorder="1" applyAlignment="1" applyProtection="1">
      <alignment wrapText="1"/>
    </xf>
    <xf numFmtId="0" fontId="0" fillId="0" borderId="4" xfId="8" applyFont="1" applyBorder="1" applyAlignment="1" applyProtection="1">
      <alignment wrapText="1"/>
    </xf>
    <xf numFmtId="0" fontId="0" fillId="0" borderId="4" xfId="8" applyFont="1" applyBorder="1" applyAlignment="1" applyProtection="1"/>
    <xf numFmtId="0" fontId="12" fillId="0" borderId="4" xfId="10" applyFont="1" applyBorder="1" applyAlignment="1" applyProtection="1"/>
    <xf numFmtId="165" fontId="2" fillId="5" borderId="15" xfId="7" applyFont="1" applyFill="1" applyBorder="1" applyAlignment="1" applyProtection="1"/>
    <xf numFmtId="165" fontId="0" fillId="0" borderId="4" xfId="7" applyFont="1" applyBorder="1" applyAlignment="1" applyProtection="1"/>
    <xf numFmtId="0" fontId="2" fillId="0" borderId="4" xfId="8" applyFont="1" applyBorder="1" applyAlignment="1" applyProtection="1"/>
    <xf numFmtId="164" fontId="12" fillId="0" borderId="16" xfId="10" applyNumberFormat="1" applyFont="1" applyBorder="1" applyAlignment="1" applyProtection="1"/>
    <xf numFmtId="164" fontId="1" fillId="0" borderId="4" xfId="10" applyNumberFormat="1" applyFont="1" applyBorder="1" applyAlignment="1" applyProtection="1"/>
    <xf numFmtId="164" fontId="1" fillId="0" borderId="13" xfId="10" applyNumberFormat="1" applyFont="1" applyBorder="1" applyAlignment="1" applyProtection="1"/>
    <xf numFmtId="0" fontId="13" fillId="0" borderId="17" xfId="10" applyFont="1" applyBorder="1" applyAlignment="1" applyProtection="1"/>
    <xf numFmtId="0" fontId="1" fillId="0" borderId="17" xfId="10" applyFont="1" applyBorder="1" applyAlignment="1" applyProtection="1"/>
    <xf numFmtId="164" fontId="0" fillId="0" borderId="0" xfId="6" applyFont="1" applyBorder="1" applyAlignment="1" applyProtection="1"/>
    <xf numFmtId="164" fontId="0" fillId="0" borderId="0" xfId="8" applyNumberFormat="1" applyFont="1" applyBorder="1" applyAlignment="1" applyProtection="1"/>
    <xf numFmtId="3" fontId="1" fillId="0" borderId="5" xfId="10" applyNumberFormat="1" applyFont="1" applyBorder="1" applyAlignment="1" applyProtection="1">
      <alignment horizontal="right"/>
    </xf>
    <xf numFmtId="164" fontId="1" fillId="0" borderId="5" xfId="10" applyNumberFormat="1" applyFont="1" applyBorder="1" applyAlignment="1" applyProtection="1"/>
    <xf numFmtId="0" fontId="14" fillId="0" borderId="0" xfId="10" applyFont="1" applyAlignment="1" applyProtection="1"/>
    <xf numFmtId="0" fontId="1" fillId="0" borderId="0" xfId="10" applyFont="1" applyBorder="1" applyAlignment="1" applyProtection="1"/>
    <xf numFmtId="0" fontId="11" fillId="11" borderId="0" xfId="10" applyFont="1" applyFill="1" applyAlignment="1" applyProtection="1"/>
    <xf numFmtId="0" fontId="1" fillId="11" borderId="0" xfId="10" applyFont="1" applyFill="1" applyAlignment="1" applyProtection="1"/>
    <xf numFmtId="0" fontId="11" fillId="0" borderId="0" xfId="10" applyFont="1" applyAlignment="1" applyProtection="1"/>
    <xf numFmtId="0" fontId="12" fillId="0" borderId="0" xfId="10" applyFont="1" applyAlignment="1" applyProtection="1">
      <alignment wrapText="1"/>
    </xf>
    <xf numFmtId="0" fontId="15" fillId="0" borderId="0" xfId="10" applyFont="1" applyAlignment="1" applyProtection="1"/>
    <xf numFmtId="0" fontId="11" fillId="0" borderId="4" xfId="10" applyFont="1" applyBorder="1" applyAlignment="1" applyProtection="1"/>
    <xf numFmtId="167" fontId="11" fillId="5" borderId="4" xfId="10" applyNumberFormat="1" applyFont="1" applyFill="1" applyBorder="1" applyAlignment="1" applyProtection="1"/>
    <xf numFmtId="167" fontId="12" fillId="0" borderId="4" xfId="10" applyNumberFormat="1" applyFont="1" applyBorder="1" applyAlignment="1" applyProtection="1"/>
    <xf numFmtId="0" fontId="16" fillId="0" borderId="4" xfId="10" applyFont="1" applyBorder="1" applyAlignment="1" applyProtection="1"/>
    <xf numFmtId="0" fontId="17" fillId="0" borderId="0" xfId="10" applyFont="1" applyAlignment="1" applyProtection="1"/>
    <xf numFmtId="0" fontId="11" fillId="13" borderId="14" xfId="10" applyFont="1" applyFill="1" applyBorder="1" applyAlignment="1" applyProtection="1"/>
    <xf numFmtId="0" fontId="11" fillId="13" borderId="17" xfId="10" applyFont="1" applyFill="1" applyBorder="1" applyAlignment="1" applyProtection="1"/>
    <xf numFmtId="0" fontId="11" fillId="13" borderId="12" xfId="10" applyFont="1" applyFill="1" applyBorder="1" applyAlignment="1" applyProtection="1"/>
    <xf numFmtId="0" fontId="17" fillId="14" borderId="14" xfId="10" applyFont="1" applyFill="1" applyBorder="1" applyAlignment="1" applyProtection="1">
      <alignment vertical="top"/>
    </xf>
    <xf numFmtId="0" fontId="17" fillId="14" borderId="17" xfId="10" applyFont="1" applyFill="1" applyBorder="1" applyAlignment="1" applyProtection="1">
      <alignment vertical="top" wrapText="1"/>
    </xf>
    <xf numFmtId="0" fontId="17" fillId="14" borderId="12" xfId="10" applyFont="1" applyFill="1" applyBorder="1" applyAlignment="1" applyProtection="1">
      <alignment vertical="top" wrapText="1"/>
    </xf>
    <xf numFmtId="0" fontId="18" fillId="13" borderId="18" xfId="10" applyFont="1" applyFill="1" applyBorder="1" applyAlignment="1" applyProtection="1"/>
    <xf numFmtId="0" fontId="18" fillId="13" borderId="0" xfId="10" applyFont="1" applyFill="1" applyBorder="1" applyAlignment="1" applyProtection="1"/>
    <xf numFmtId="0" fontId="18" fillId="13" borderId="19" xfId="10" applyFont="1" applyFill="1" applyBorder="1" applyAlignment="1" applyProtection="1"/>
    <xf numFmtId="0" fontId="17" fillId="14" borderId="20" xfId="10" applyFont="1" applyFill="1" applyBorder="1" applyAlignment="1" applyProtection="1">
      <alignment vertical="top"/>
    </xf>
    <xf numFmtId="0" fontId="17" fillId="14" borderId="0" xfId="10" applyFont="1" applyFill="1" applyBorder="1" applyAlignment="1" applyProtection="1">
      <alignment vertical="top" wrapText="1"/>
    </xf>
    <xf numFmtId="0" fontId="17" fillId="14" borderId="19" xfId="10" applyFont="1" applyFill="1" applyBorder="1" applyAlignment="1" applyProtection="1">
      <alignment vertical="top" wrapText="1"/>
    </xf>
    <xf numFmtId="0" fontId="18" fillId="13" borderId="20" xfId="10" applyFont="1" applyFill="1" applyBorder="1" applyAlignment="1" applyProtection="1"/>
    <xf numFmtId="0" fontId="18" fillId="13" borderId="21" xfId="10" applyFont="1" applyFill="1" applyBorder="1" applyAlignment="1" applyProtection="1"/>
    <xf numFmtId="0" fontId="18" fillId="13" borderId="22" xfId="10" applyFont="1" applyFill="1" applyBorder="1" applyAlignment="1" applyProtection="1"/>
    <xf numFmtId="0" fontId="17" fillId="14" borderId="18" xfId="10" applyFont="1" applyFill="1" applyBorder="1" applyAlignment="1" applyProtection="1">
      <alignment vertical="top"/>
    </xf>
    <xf numFmtId="0" fontId="17" fillId="14" borderId="21" xfId="10" applyFont="1" applyFill="1" applyBorder="1" applyAlignment="1" applyProtection="1">
      <alignment vertical="top" wrapText="1"/>
    </xf>
    <xf numFmtId="0" fontId="17" fillId="14" borderId="22" xfId="10" applyFont="1" applyFill="1" applyBorder="1" applyAlignment="1" applyProtection="1">
      <alignment vertical="top" wrapText="1"/>
    </xf>
    <xf numFmtId="0" fontId="11" fillId="12" borderId="16" xfId="10" applyFont="1" applyFill="1" applyBorder="1" applyAlignment="1" applyProtection="1">
      <alignment wrapText="1"/>
    </xf>
    <xf numFmtId="0" fontId="11" fillId="12" borderId="23" xfId="10" applyFont="1" applyFill="1" applyBorder="1" applyAlignment="1" applyProtection="1">
      <alignment wrapText="1"/>
    </xf>
    <xf numFmtId="0" fontId="11" fillId="12" borderId="15" xfId="10" applyFont="1" applyFill="1" applyBorder="1" applyAlignment="1" applyProtection="1">
      <alignment wrapText="1"/>
    </xf>
    <xf numFmtId="0" fontId="11" fillId="0" borderId="16" xfId="10" applyFont="1" applyBorder="1" applyAlignment="1" applyProtection="1"/>
    <xf numFmtId="0" fontId="11" fillId="0" borderId="23" xfId="10" applyFont="1" applyBorder="1" applyAlignment="1" applyProtection="1"/>
    <xf numFmtId="0" fontId="11" fillId="0" borderId="15" xfId="10" applyFont="1" applyBorder="1" applyAlignment="1" applyProtection="1"/>
    <xf numFmtId="2" fontId="11" fillId="5" borderId="4" xfId="10" applyNumberFormat="1" applyFont="1" applyFill="1" applyBorder="1" applyAlignment="1" applyProtection="1"/>
    <xf numFmtId="168" fontId="12" fillId="0" borderId="4" xfId="10" applyNumberFormat="1" applyFont="1" applyBorder="1" applyAlignment="1" applyProtection="1"/>
    <xf numFmtId="3" fontId="2" fillId="0" borderId="4" xfId="10" applyNumberFormat="1" applyFont="1" applyBorder="1" applyAlignment="1" applyProtection="1"/>
    <xf numFmtId="164" fontId="12" fillId="0" borderId="4" xfId="10" applyNumberFormat="1" applyFont="1" applyBorder="1" applyAlignment="1" applyProtection="1"/>
    <xf numFmtId="0" fontId="11" fillId="0" borderId="16" xfId="10" applyFont="1" applyBorder="1" applyAlignment="1" applyProtection="1">
      <alignment vertical="center"/>
    </xf>
    <xf numFmtId="0" fontId="11" fillId="0" borderId="23" xfId="10" applyFont="1" applyBorder="1" applyAlignment="1" applyProtection="1">
      <alignment vertical="center"/>
    </xf>
    <xf numFmtId="0" fontId="11" fillId="0" borderId="15" xfId="10" applyFont="1" applyBorder="1" applyAlignment="1" applyProtection="1">
      <alignment vertical="center"/>
    </xf>
    <xf numFmtId="0" fontId="11" fillId="5" borderId="4" xfId="10" applyFont="1" applyFill="1" applyBorder="1" applyAlignment="1" applyProtection="1"/>
    <xf numFmtId="0" fontId="13" fillId="0" borderId="0" xfId="10" applyFont="1" applyBorder="1" applyAlignment="1" applyProtection="1"/>
    <xf numFmtId="164" fontId="1" fillId="0" borderId="0" xfId="10" applyNumberFormat="1" applyFont="1" applyBorder="1" applyAlignment="1" applyProtection="1"/>
    <xf numFmtId="0" fontId="17" fillId="14" borderId="17" xfId="10" applyFont="1" applyFill="1" applyBorder="1" applyAlignment="1" applyProtection="1">
      <alignment vertical="top"/>
    </xf>
    <xf numFmtId="0" fontId="17" fillId="14" borderId="12" xfId="10" applyFont="1" applyFill="1" applyBorder="1" applyAlignment="1" applyProtection="1">
      <alignment vertical="top"/>
    </xf>
    <xf numFmtId="0" fontId="17" fillId="14" borderId="0" xfId="10" applyFont="1" applyFill="1" applyBorder="1" applyAlignment="1" applyProtection="1">
      <alignment vertical="top"/>
    </xf>
    <xf numFmtId="0" fontId="17" fillId="14" borderId="19" xfId="10" applyFont="1" applyFill="1" applyBorder="1" applyAlignment="1" applyProtection="1">
      <alignment vertical="top"/>
    </xf>
    <xf numFmtId="0" fontId="17" fillId="14" borderId="21" xfId="10" applyFont="1" applyFill="1" applyBorder="1" applyAlignment="1" applyProtection="1">
      <alignment vertical="top"/>
    </xf>
    <xf numFmtId="0" fontId="17" fillId="14" borderId="22" xfId="10" applyFont="1" applyFill="1" applyBorder="1" applyAlignment="1" applyProtection="1">
      <alignment vertical="top"/>
    </xf>
    <xf numFmtId="165" fontId="2" fillId="0" borderId="4" xfId="7" applyFont="1" applyBorder="1" applyAlignment="1" applyProtection="1"/>
    <xf numFmtId="169" fontId="1" fillId="0" borderId="13" xfId="10" applyNumberFormat="1" applyFont="1" applyBorder="1" applyAlignment="1" applyProtection="1"/>
    <xf numFmtId="0" fontId="2" fillId="0" borderId="16" xfId="10" applyFont="1" applyBorder="1" applyAlignment="1" applyProtection="1"/>
    <xf numFmtId="0" fontId="2" fillId="0" borderId="23" xfId="10" applyFont="1" applyBorder="1" applyAlignment="1" applyProtection="1"/>
    <xf numFmtId="0" fontId="2" fillId="0" borderId="15" xfId="10" applyFont="1" applyBorder="1" applyAlignment="1" applyProtection="1"/>
    <xf numFmtId="164" fontId="21" fillId="0" borderId="5" xfId="10" applyNumberFormat="1" applyFont="1" applyBorder="1" applyAlignment="1" applyProtection="1"/>
    <xf numFmtId="170" fontId="1" fillId="0" borderId="0" xfId="10" applyNumberFormat="1" applyFont="1" applyAlignment="1" applyProtection="1"/>
    <xf numFmtId="171" fontId="1" fillId="0" borderId="0" xfId="10" applyNumberFormat="1" applyFont="1" applyAlignment="1" applyProtection="1"/>
    <xf numFmtId="172" fontId="1" fillId="0" borderId="0" xfId="10" applyNumberFormat="1" applyFont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wrapText="1"/>
      <protection locked="0"/>
    </xf>
    <xf numFmtId="0" fontId="0" fillId="0" borderId="0" xfId="0" applyFont="1" applyAlignment="1" applyProtection="1">
      <protection locked="0"/>
    </xf>
    <xf numFmtId="0" fontId="0" fillId="0" borderId="0" xfId="0" applyFont="1" applyAlignment="1" applyProtection="1">
      <alignment horizontal="center" wrapText="1"/>
      <protection locked="0"/>
    </xf>
    <xf numFmtId="0" fontId="0" fillId="0" borderId="0" xfId="0" applyFont="1" applyAlignment="1" applyProtection="1"/>
    <xf numFmtId="0" fontId="22" fillId="15" borderId="0" xfId="0" applyFont="1" applyFill="1" applyBorder="1" applyAlignment="1" applyProtection="1">
      <alignment horizontal="left" vertical="center"/>
      <protection hidden="1"/>
    </xf>
    <xf numFmtId="0" fontId="0" fillId="15" borderId="0" xfId="0" applyFont="1" applyFill="1" applyAlignment="1" applyProtection="1">
      <alignment wrapText="1"/>
    </xf>
    <xf numFmtId="0" fontId="6" fillId="15" borderId="0" xfId="0" applyFont="1" applyFill="1" applyAlignment="1" applyProtection="1"/>
    <xf numFmtId="0" fontId="10" fillId="15" borderId="0" xfId="0" applyFont="1" applyFill="1" applyAlignment="1" applyProtection="1">
      <alignment horizontal="center" wrapText="1"/>
    </xf>
    <xf numFmtId="0" fontId="2" fillId="0" borderId="0" xfId="0" applyFont="1" applyAlignment="1" applyProtection="1"/>
    <xf numFmtId="0" fontId="0" fillId="0" borderId="0" xfId="0" applyFont="1" applyAlignment="1" applyProtection="1">
      <alignment horizontal="center" wrapText="1"/>
    </xf>
    <xf numFmtId="0" fontId="23" fillId="16" borderId="0" xfId="0" applyFont="1" applyFill="1" applyBorder="1" applyAlignment="1" applyProtection="1">
      <alignment horizontal="center"/>
      <protection hidden="1"/>
    </xf>
    <xf numFmtId="173" fontId="0" fillId="16" borderId="0" xfId="0" applyNumberFormat="1" applyFont="1" applyFill="1" applyBorder="1" applyAlignment="1" applyProtection="1"/>
    <xf numFmtId="0" fontId="0" fillId="0" borderId="0" xfId="0" applyFont="1" applyBorder="1" applyAlignment="1" applyProtection="1">
      <alignment horizontal="center"/>
    </xf>
    <xf numFmtId="0" fontId="0" fillId="0" borderId="0" xfId="0" applyFont="1" applyAlignment="1" applyProtection="1">
      <alignment wrapText="1"/>
    </xf>
    <xf numFmtId="0" fontId="2" fillId="0" borderId="0" xfId="0" applyFont="1" applyAlignment="1" applyProtection="1">
      <protection locked="0"/>
    </xf>
    <xf numFmtId="166" fontId="0" fillId="0" borderId="0" xfId="0" applyNumberFormat="1" applyFont="1" applyAlignment="1" applyProtection="1">
      <alignment vertical="center"/>
    </xf>
    <xf numFmtId="173" fontId="0" fillId="0" borderId="0" xfId="0" applyNumberFormat="1" applyFont="1" applyAlignment="1" applyProtection="1">
      <alignment horizontal="center"/>
    </xf>
    <xf numFmtId="0" fontId="7" fillId="0" borderId="0" xfId="0" applyFont="1" applyAlignment="1" applyProtection="1"/>
    <xf numFmtId="2" fontId="0" fillId="0" borderId="0" xfId="0" applyNumberFormat="1" applyFont="1" applyAlignment="1" applyProtection="1"/>
    <xf numFmtId="164" fontId="0" fillId="0" borderId="0" xfId="1" applyFont="1" applyBorder="1" applyAlignment="1" applyProtection="1">
      <alignment horizontal="center"/>
    </xf>
    <xf numFmtId="174" fontId="0" fillId="0" borderId="0" xfId="0" applyNumberFormat="1" applyFont="1" applyAlignment="1" applyProtection="1"/>
    <xf numFmtId="0" fontId="24" fillId="6" borderId="0" xfId="0" applyFont="1" applyFill="1" applyAlignment="1" applyProtection="1">
      <alignment horizontal="left"/>
    </xf>
    <xf numFmtId="0" fontId="0" fillId="6" borderId="0" xfId="0" applyFont="1" applyFill="1" applyAlignment="1" applyProtection="1">
      <alignment wrapText="1"/>
    </xf>
    <xf numFmtId="0" fontId="0" fillId="6" borderId="0" xfId="0" applyFont="1" applyFill="1" applyAlignment="1" applyProtection="1">
      <protection locked="0"/>
    </xf>
    <xf numFmtId="0" fontId="23" fillId="6" borderId="0" xfId="0" applyFont="1" applyFill="1" applyBorder="1" applyAlignment="1" applyProtection="1">
      <alignment horizontal="center"/>
      <protection hidden="1"/>
    </xf>
    <xf numFmtId="173" fontId="0" fillId="6" borderId="0" xfId="0" applyNumberFormat="1" applyFont="1" applyFill="1" applyBorder="1" applyAlignment="1" applyProtection="1"/>
    <xf numFmtId="0" fontId="0" fillId="0" borderId="0" xfId="0" applyFont="1" applyAlignment="1" applyProtection="1">
      <alignment horizontal="right"/>
    </xf>
    <xf numFmtId="0" fontId="6" fillId="8" borderId="5" xfId="0" applyFont="1" applyFill="1" applyBorder="1" applyAlignment="1" applyProtection="1">
      <alignment horizontal="center" vertical="center" wrapText="1"/>
    </xf>
    <xf numFmtId="0" fontId="6" fillId="8" borderId="24" xfId="0" applyFont="1" applyFill="1" applyBorder="1" applyAlignment="1" applyProtection="1">
      <alignment horizontal="center" vertical="center"/>
    </xf>
    <xf numFmtId="0" fontId="6" fillId="8" borderId="25" xfId="0" applyFont="1" applyFill="1" applyBorder="1" applyAlignment="1" applyProtection="1">
      <alignment horizontal="center" vertical="center"/>
    </xf>
    <xf numFmtId="0" fontId="6" fillId="8" borderId="26" xfId="0" applyFont="1" applyFill="1" applyBorder="1" applyAlignment="1" applyProtection="1">
      <alignment horizontal="center" vertical="center"/>
    </xf>
    <xf numFmtId="0" fontId="6" fillId="17" borderId="24" xfId="0" applyFont="1" applyFill="1" applyBorder="1" applyAlignment="1" applyProtection="1">
      <alignment horizontal="center" vertical="center" wrapText="1"/>
    </xf>
    <xf numFmtId="0" fontId="6" fillId="17" borderId="26" xfId="0" applyFont="1" applyFill="1" applyBorder="1" applyAlignment="1" applyProtection="1">
      <alignment horizontal="center" vertical="center" wrapText="1"/>
    </xf>
    <xf numFmtId="0" fontId="6" fillId="8" borderId="0" xfId="0" applyFont="1" applyFill="1" applyAlignment="1" applyProtection="1">
      <alignment horizontal="center" vertical="center" wrapText="1"/>
    </xf>
    <xf numFmtId="0" fontId="6" fillId="8" borderId="0" xfId="0" applyFont="1" applyFill="1" applyAlignment="1" applyProtection="1">
      <alignment horizontal="center" vertical="center"/>
    </xf>
    <xf numFmtId="0" fontId="6" fillId="17" borderId="0" xfId="0" applyFont="1" applyFill="1" applyAlignment="1" applyProtection="1">
      <alignment horizontal="center" vertical="center" wrapText="1"/>
    </xf>
    <xf numFmtId="0" fontId="0" fillId="0" borderId="0" xfId="0" applyFont="1" applyBorder="1" applyAlignment="1" applyProtection="1">
      <protection locked="0"/>
    </xf>
    <xf numFmtId="4" fontId="2" fillId="0" borderId="0" xfId="0" applyNumberFormat="1" applyFont="1" applyAlignment="1" applyProtection="1">
      <alignment horizontal="left" wrapText="1"/>
    </xf>
    <xf numFmtId="0" fontId="23" fillId="0" borderId="0" xfId="0" applyFont="1" applyBorder="1" applyAlignment="1" applyProtection="1">
      <alignment horizontal="center"/>
      <protection hidden="1"/>
    </xf>
    <xf numFmtId="173" fontId="0" fillId="0" borderId="0" xfId="0" applyNumberFormat="1" applyFont="1" applyBorder="1" applyAlignment="1" applyProtection="1"/>
    <xf numFmtId="4" fontId="2" fillId="0" borderId="0" xfId="0" applyNumberFormat="1" applyFont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wrapText="1"/>
      <protection locked="0"/>
    </xf>
    <xf numFmtId="4" fontId="2" fillId="10" borderId="4" xfId="0" applyNumberFormat="1" applyFont="1" applyFill="1" applyBorder="1" applyAlignment="1" applyProtection="1">
      <alignment horizontal="left" wrapText="1"/>
    </xf>
    <xf numFmtId="166" fontId="23" fillId="10" borderId="16" xfId="0" applyNumberFormat="1" applyFont="1" applyFill="1" applyBorder="1" applyAlignment="1" applyProtection="1"/>
    <xf numFmtId="166" fontId="23" fillId="10" borderId="23" xfId="0" applyNumberFormat="1" applyFont="1" applyFill="1" applyBorder="1" applyAlignment="1" applyProtection="1"/>
    <xf numFmtId="166" fontId="2" fillId="10" borderId="16" xfId="0" applyNumberFormat="1" applyFont="1" applyFill="1" applyBorder="1" applyAlignment="1" applyProtection="1"/>
    <xf numFmtId="166" fontId="2" fillId="3" borderId="15" xfId="0" applyNumberFormat="1" applyFont="1" applyFill="1" applyBorder="1" applyAlignment="1" applyProtection="1"/>
    <xf numFmtId="166" fontId="2" fillId="0" borderId="0" xfId="0" applyNumberFormat="1" applyFont="1" applyAlignment="1" applyProtection="1"/>
    <xf numFmtId="4" fontId="2" fillId="10" borderId="0" xfId="0" applyNumberFormat="1" applyFont="1" applyFill="1" applyAlignment="1" applyProtection="1">
      <alignment horizontal="left" wrapText="1"/>
    </xf>
    <xf numFmtId="166" fontId="23" fillId="10" borderId="0" xfId="0" applyNumberFormat="1" applyFont="1" applyFill="1" applyAlignment="1" applyProtection="1"/>
    <xf numFmtId="166" fontId="2" fillId="10" borderId="0" xfId="0" applyNumberFormat="1" applyFont="1" applyFill="1" applyAlignment="1" applyProtection="1"/>
    <xf numFmtId="0" fontId="2" fillId="0" borderId="0" xfId="0" applyFont="1" applyAlignment="1" applyProtection="1">
      <alignment horizontal="center"/>
    </xf>
    <xf numFmtId="0" fontId="0" fillId="0" borderId="0" xfId="0" applyFont="1" applyBorder="1" applyAlignment="1" applyProtection="1">
      <alignment wrapText="1"/>
      <protection locked="0"/>
    </xf>
    <xf numFmtId="166" fontId="25" fillId="0" borderId="0" xfId="0" applyNumberFormat="1" applyFont="1" applyAlignment="1" applyProtection="1"/>
    <xf numFmtId="4" fontId="2" fillId="6" borderId="13" xfId="0" applyNumberFormat="1" applyFont="1" applyFill="1" applyBorder="1" applyAlignment="1" applyProtection="1">
      <alignment horizontal="left" wrapText="1"/>
    </xf>
    <xf numFmtId="166" fontId="25" fillId="2" borderId="14" xfId="0" applyNumberFormat="1" applyFont="1" applyFill="1" applyBorder="1" applyAlignment="1" applyProtection="1"/>
    <xf numFmtId="166" fontId="25" fillId="2" borderId="17" xfId="0" applyNumberFormat="1" applyFont="1" applyFill="1" applyBorder="1" applyAlignment="1" applyProtection="1"/>
    <xf numFmtId="166" fontId="25" fillId="2" borderId="12" xfId="0" applyNumberFormat="1" applyFont="1" applyFill="1" applyBorder="1" applyAlignment="1" applyProtection="1"/>
    <xf numFmtId="4" fontId="2" fillId="6" borderId="27" xfId="0" applyNumberFormat="1" applyFont="1" applyFill="1" applyBorder="1" applyAlignment="1" applyProtection="1">
      <alignment horizontal="left" wrapText="1"/>
    </xf>
    <xf numFmtId="166" fontId="25" fillId="2" borderId="18" xfId="0" applyNumberFormat="1" applyFont="1" applyFill="1" applyBorder="1" applyAlignment="1" applyProtection="1"/>
    <xf numFmtId="166" fontId="25" fillId="2" borderId="21" xfId="0" applyNumberFormat="1" applyFont="1" applyFill="1" applyBorder="1" applyAlignment="1" applyProtection="1"/>
    <xf numFmtId="166" fontId="25" fillId="2" borderId="22" xfId="0" applyNumberFormat="1" applyFont="1" applyFill="1" applyBorder="1" applyAlignment="1" applyProtection="1"/>
    <xf numFmtId="175" fontId="25" fillId="0" borderId="0" xfId="0" applyNumberFormat="1" applyFont="1" applyAlignment="1" applyProtection="1"/>
    <xf numFmtId="166" fontId="0" fillId="0" borderId="0" xfId="0" applyNumberFormat="1" applyFont="1" applyAlignment="1" applyProtection="1"/>
    <xf numFmtId="165" fontId="29" fillId="0" borderId="0" xfId="2" applyBorder="1" applyAlignment="1" applyProtection="1">
      <protection locked="0"/>
    </xf>
    <xf numFmtId="164" fontId="0" fillId="0" borderId="0" xfId="0" applyNumberFormat="1" applyFont="1" applyAlignment="1" applyProtection="1"/>
    <xf numFmtId="0" fontId="24" fillId="16" borderId="0" xfId="0" applyFont="1" applyFill="1" applyAlignment="1" applyProtection="1">
      <alignment horizontal="left"/>
    </xf>
    <xf numFmtId="0" fontId="24" fillId="16" borderId="0" xfId="0" applyFont="1" applyFill="1" applyAlignment="1" applyProtection="1">
      <alignment wrapText="1"/>
    </xf>
    <xf numFmtId="0" fontId="0" fillId="16" borderId="0" xfId="0" applyFont="1" applyFill="1" applyAlignme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wrapText="1"/>
      <protection locked="0"/>
    </xf>
    <xf numFmtId="0" fontId="26" fillId="0" borderId="0" xfId="0" applyFont="1" applyAlignment="1" applyProtection="1"/>
    <xf numFmtId="0" fontId="27" fillId="17" borderId="0" xfId="0" applyFont="1" applyFill="1" applyAlignment="1" applyProtection="1">
      <alignment horizontal="center" vertical="center" wrapText="1"/>
    </xf>
    <xf numFmtId="0" fontId="27" fillId="18" borderId="24" xfId="0" applyFont="1" applyFill="1" applyBorder="1" applyAlignment="1" applyProtection="1">
      <alignment horizontal="center" vertical="center" wrapText="1"/>
    </xf>
    <xf numFmtId="0" fontId="27" fillId="18" borderId="25" xfId="0" applyFont="1" applyFill="1" applyBorder="1" applyAlignment="1" applyProtection="1">
      <alignment horizontal="center" vertical="center" wrapText="1"/>
    </xf>
    <xf numFmtId="0" fontId="27" fillId="18" borderId="26" xfId="0" applyFont="1" applyFill="1" applyBorder="1" applyAlignment="1" applyProtection="1">
      <alignment horizontal="center" vertical="center" wrapText="1"/>
    </xf>
    <xf numFmtId="0" fontId="27" fillId="19" borderId="24" xfId="0" applyFont="1" applyFill="1" applyBorder="1" applyAlignment="1" applyProtection="1">
      <alignment horizontal="center" vertical="center" wrapText="1"/>
    </xf>
    <xf numFmtId="0" fontId="27" fillId="19" borderId="25" xfId="0" applyFont="1" applyFill="1" applyBorder="1" applyAlignment="1" applyProtection="1">
      <alignment horizontal="center" vertical="center" wrapText="1"/>
    </xf>
    <xf numFmtId="0" fontId="27" fillId="19" borderId="26" xfId="0" applyFont="1" applyFill="1" applyBorder="1" applyAlignment="1" applyProtection="1">
      <alignment horizontal="center" vertical="center" wrapText="1"/>
    </xf>
    <xf numFmtId="0" fontId="27" fillId="19" borderId="5" xfId="0" applyFont="1" applyFill="1" applyBorder="1" applyAlignment="1" applyProtection="1">
      <alignment horizontal="center" vertical="center" wrapText="1"/>
    </xf>
    <xf numFmtId="0" fontId="27" fillId="8" borderId="24" xfId="0" applyFont="1" applyFill="1" applyBorder="1" applyAlignment="1" applyProtection="1">
      <alignment horizontal="center" vertical="center" wrapText="1"/>
    </xf>
    <xf numFmtId="0" fontId="27" fillId="8" borderId="25" xfId="0" applyFont="1" applyFill="1" applyBorder="1" applyAlignment="1" applyProtection="1">
      <alignment horizontal="center" vertical="center" wrapText="1"/>
    </xf>
    <xf numFmtId="0" fontId="27" fillId="8" borderId="26" xfId="0" applyFont="1" applyFill="1" applyBorder="1" applyAlignment="1" applyProtection="1">
      <alignment horizontal="center" vertical="center" wrapText="1"/>
    </xf>
    <xf numFmtId="0" fontId="27" fillId="8" borderId="5" xfId="0" applyFont="1" applyFill="1" applyBorder="1" applyAlignment="1" applyProtection="1">
      <alignment horizontal="center" vertical="center" wrapText="1"/>
    </xf>
    <xf numFmtId="0" fontId="27" fillId="19" borderId="0" xfId="0" applyFont="1" applyFill="1" applyAlignment="1" applyProtection="1">
      <alignment horizontal="center" vertical="center" wrapText="1"/>
    </xf>
    <xf numFmtId="3" fontId="0" fillId="0" borderId="4" xfId="0" applyNumberFormat="1" applyFont="1" applyBorder="1" applyAlignment="1" applyProtection="1">
      <alignment horizontal="center" vertical="center"/>
    </xf>
    <xf numFmtId="0" fontId="0" fillId="0" borderId="4" xfId="0" applyFont="1" applyBorder="1" applyAlignment="1" applyProtection="1"/>
    <xf numFmtId="0" fontId="0" fillId="0" borderId="4" xfId="0" applyFont="1" applyBorder="1" applyAlignment="1" applyProtection="1">
      <protection locked="0"/>
    </xf>
    <xf numFmtId="176" fontId="25" fillId="0" borderId="0" xfId="0" applyNumberFormat="1" applyFont="1" applyBorder="1" applyAlignment="1" applyProtection="1">
      <alignment horizontal="center" vertical="center"/>
    </xf>
    <xf numFmtId="4" fontId="25" fillId="0" borderId="0" xfId="0" applyNumberFormat="1" applyFont="1" applyBorder="1" applyAlignment="1" applyProtection="1">
      <alignment horizontal="center" vertical="center"/>
    </xf>
    <xf numFmtId="166" fontId="25" fillId="0" borderId="0" xfId="0" applyNumberFormat="1" applyFont="1" applyBorder="1" applyAlignment="1" applyProtection="1">
      <alignment horizontal="right" vertical="center"/>
    </xf>
    <xf numFmtId="173" fontId="25" fillId="0" borderId="4" xfId="0" applyNumberFormat="1" applyFont="1" applyBorder="1" applyAlignment="1" applyProtection="1">
      <alignment horizontal="center"/>
    </xf>
    <xf numFmtId="0" fontId="0" fillId="0" borderId="4" xfId="0" applyBorder="1" applyAlignment="1" applyProtection="1">
      <alignment horizontal="center"/>
      <protection locked="0"/>
    </xf>
    <xf numFmtId="166" fontId="25" fillId="0" borderId="27" xfId="2" applyNumberFormat="1" applyFont="1" applyBorder="1" applyAlignment="1" applyProtection="1">
      <alignment horizontal="center" vertical="center"/>
    </xf>
    <xf numFmtId="0" fontId="0" fillId="10" borderId="28" xfId="0" applyFill="1" applyBorder="1" applyAlignment="1" applyProtection="1">
      <alignment wrapText="1"/>
    </xf>
    <xf numFmtId="0" fontId="0" fillId="10" borderId="28" xfId="0" applyFill="1" applyBorder="1" applyAlignment="1" applyProtection="1">
      <alignment horizontal="left"/>
    </xf>
    <xf numFmtId="0" fontId="0" fillId="10" borderId="29" xfId="0" applyFill="1" applyBorder="1" applyAlignment="1" applyProtection="1">
      <alignment wrapText="1"/>
    </xf>
    <xf numFmtId="4" fontId="23" fillId="10" borderId="0" xfId="0" applyNumberFormat="1" applyFont="1" applyFill="1" applyBorder="1" applyAlignment="1" applyProtection="1">
      <alignment horizontal="center" vertical="center"/>
    </xf>
    <xf numFmtId="2" fontId="23" fillId="10" borderId="0" xfId="0" applyNumberFormat="1" applyFont="1" applyFill="1" applyAlignment="1" applyProtection="1">
      <alignment horizontal="center"/>
    </xf>
    <xf numFmtId="0" fontId="28" fillId="0" borderId="28" xfId="0" applyFont="1" applyBorder="1" applyAlignment="1" applyProtection="1">
      <alignment horizontal="center" vertical="center"/>
    </xf>
    <xf numFmtId="0" fontId="28" fillId="0" borderId="28" xfId="0" applyFont="1" applyBorder="1" applyAlignment="1" applyProtection="1">
      <alignment wrapText="1"/>
    </xf>
    <xf numFmtId="0" fontId="28" fillId="0" borderId="28" xfId="0" applyFont="1" applyBorder="1" applyAlignment="1" applyProtection="1">
      <alignment horizontal="left"/>
    </xf>
    <xf numFmtId="0" fontId="28" fillId="0" borderId="29" xfId="0" applyFont="1" applyBorder="1" applyAlignment="1" applyProtection="1">
      <alignment wrapText="1"/>
    </xf>
    <xf numFmtId="4" fontId="28" fillId="0" borderId="0" xfId="0" applyNumberFormat="1" applyFont="1" applyBorder="1" applyAlignment="1" applyProtection="1">
      <alignment horizontal="center" vertical="center"/>
    </xf>
    <xf numFmtId="166" fontId="28" fillId="0" borderId="0" xfId="0" applyNumberFormat="1" applyFont="1" applyBorder="1" applyAlignment="1" applyProtection="1">
      <alignment horizontal="right" vertical="center"/>
    </xf>
    <xf numFmtId="173" fontId="28" fillId="0" borderId="8" xfId="0" applyNumberFormat="1" applyFont="1" applyBorder="1" applyAlignment="1" applyProtection="1">
      <alignment horizontal="center"/>
    </xf>
    <xf numFmtId="177" fontId="28" fillId="0" borderId="0" xfId="0" applyNumberFormat="1" applyFont="1" applyBorder="1" applyAlignment="1" applyProtection="1">
      <alignment horizontal="center"/>
    </xf>
    <xf numFmtId="177" fontId="26" fillId="0" borderId="0" xfId="0" applyNumberFormat="1" applyFont="1" applyAlignment="1" applyProtection="1"/>
    <xf numFmtId="0" fontId="0" fillId="0" borderId="28" xfId="0" applyBorder="1" applyAlignment="1" applyProtection="1">
      <alignment horizontal="center" vertical="center"/>
    </xf>
    <xf numFmtId="0" fontId="0" fillId="0" borderId="28" xfId="0" applyBorder="1" applyAlignment="1" applyProtection="1">
      <alignment wrapText="1"/>
    </xf>
    <xf numFmtId="0" fontId="0" fillId="0" borderId="28" xfId="0" applyBorder="1" applyAlignment="1" applyProtection="1">
      <alignment horizontal="left"/>
    </xf>
    <xf numFmtId="0" fontId="2" fillId="0" borderId="29" xfId="0" applyFont="1" applyBorder="1" applyAlignment="1" applyProtection="1">
      <alignment wrapText="1"/>
    </xf>
    <xf numFmtId="4" fontId="23" fillId="0" borderId="0" xfId="0" applyNumberFormat="1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horizontal="right" vertical="center"/>
    </xf>
    <xf numFmtId="173" fontId="25" fillId="0" borderId="8" xfId="0" applyNumberFormat="1" applyFont="1" applyBorder="1" applyAlignment="1" applyProtection="1">
      <alignment horizontal="center"/>
    </xf>
    <xf numFmtId="173" fontId="25" fillId="0" borderId="0" xfId="0" applyNumberFormat="1" applyFont="1" applyBorder="1" applyAlignment="1" applyProtection="1">
      <alignment horizontal="center"/>
    </xf>
    <xf numFmtId="0" fontId="0" fillId="0" borderId="29" xfId="0" applyBorder="1" applyAlignment="1" applyProtection="1">
      <alignment wrapText="1"/>
    </xf>
    <xf numFmtId="2" fontId="25" fillId="0" borderId="0" xfId="0" applyNumberFormat="1" applyFont="1" applyBorder="1" applyAlignment="1" applyProtection="1">
      <alignment horizontal="right" vertical="center"/>
    </xf>
    <xf numFmtId="173" fontId="2" fillId="0" borderId="0" xfId="0" applyNumberFormat="1" applyFont="1" applyAlignment="1" applyProtection="1"/>
    <xf numFmtId="178" fontId="25" fillId="0" borderId="0" xfId="0" applyNumberFormat="1" applyFont="1" applyBorder="1" applyAlignment="1" applyProtection="1">
      <alignment horizontal="center" vertical="center"/>
    </xf>
    <xf numFmtId="173" fontId="28" fillId="0" borderId="0" xfId="0" applyNumberFormat="1" applyFont="1" applyBorder="1" applyAlignment="1" applyProtection="1">
      <alignment horizontal="center"/>
    </xf>
    <xf numFmtId="165" fontId="28" fillId="0" borderId="30" xfId="2" applyFont="1" applyBorder="1" applyAlignment="1" applyProtection="1">
      <alignment horizontal="center" vertical="center"/>
    </xf>
    <xf numFmtId="177" fontId="28" fillId="0" borderId="0" xfId="0" applyNumberFormat="1" applyFont="1" applyAlignment="1" applyProtection="1"/>
    <xf numFmtId="4" fontId="26" fillId="0" borderId="0" xfId="0" applyNumberFormat="1" applyFont="1" applyBorder="1" applyAlignment="1" applyProtection="1">
      <alignment horizontal="center" vertical="center"/>
    </xf>
    <xf numFmtId="9" fontId="0" fillId="0" borderId="0" xfId="3" applyFont="1" applyBorder="1" applyAlignment="1" applyProtection="1"/>
    <xf numFmtId="179" fontId="29" fillId="0" borderId="0" xfId="1" applyNumberFormat="1" applyBorder="1" applyAlignment="1" applyProtection="1"/>
    <xf numFmtId="0" fontId="24" fillId="6" borderId="0" xfId="0" applyFont="1" applyFill="1" applyAlignment="1" applyProtection="1">
      <alignment wrapText="1"/>
    </xf>
    <xf numFmtId="0" fontId="28" fillId="0" borderId="0" xfId="0" applyFont="1" applyAlignment="1" applyProtection="1"/>
    <xf numFmtId="164" fontId="29" fillId="0" borderId="8" xfId="1" applyBorder="1" applyAlignment="1" applyProtection="1"/>
    <xf numFmtId="0" fontId="0" fillId="6" borderId="0" xfId="0" applyFont="1" applyFill="1" applyAlignment="1" applyProtection="1"/>
    <xf numFmtId="0" fontId="10" fillId="9" borderId="8" xfId="0" applyFont="1" applyFill="1" applyBorder="1" applyAlignment="1" applyProtection="1">
      <alignment horizontal="center" vertical="center" wrapText="1"/>
    </xf>
    <xf numFmtId="0" fontId="2" fillId="10" borderId="8" xfId="0" applyFont="1" applyFill="1" applyBorder="1" applyAlignment="1" applyProtection="1">
      <alignment horizontal="left"/>
    </xf>
    <xf numFmtId="0" fontId="10" fillId="9" borderId="9" xfId="0" applyFont="1" applyFill="1" applyBorder="1" applyAlignment="1" applyProtection="1">
      <alignment horizontal="center" vertical="center" wrapText="1"/>
    </xf>
  </cellXfs>
  <cellStyles count="13">
    <cellStyle name="Coma" xfId="1" builtinId="3"/>
    <cellStyle name="Coma 2" xfId="4"/>
    <cellStyle name="Millares 2" xfId="5"/>
    <cellStyle name="Millares 3" xfId="6"/>
    <cellStyle name="Moneda" xfId="2" builtinId="4"/>
    <cellStyle name="Moneda 2" xfId="7"/>
    <cellStyle name="Normal" xfId="0" builtinId="0"/>
    <cellStyle name="Normal 2" xfId="8"/>
    <cellStyle name="Normal 3" xfId="9"/>
    <cellStyle name="Normal 3 2" xfId="10"/>
    <cellStyle name="Normal 4" xfId="11"/>
    <cellStyle name="Normal 5" xfId="12"/>
    <cellStyle name="Percentatge" xfId="3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FBFBF"/>
      <rgbColor rgb="FF767171"/>
      <rgbColor rgb="FF9999FF"/>
      <rgbColor rgb="FFC9211E"/>
      <rgbColor rgb="FFF2F2F2"/>
      <rgbColor rgb="FFBBE6FE"/>
      <rgbColor rgb="FF660066"/>
      <rgbColor rgb="FFFF8080"/>
      <rgbColor rgb="FF0066CC"/>
      <rgbColor rgb="FFC9DAF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FEFEF"/>
      <rgbColor rgb="FFC4FEBB"/>
      <rgbColor rgb="FFEEEEEE"/>
      <rgbColor rgb="FFD9D9D9"/>
      <rgbColor rgb="FFE7E6E6"/>
      <rgbColor rgb="FFCC99FF"/>
      <rgbColor rgb="FFD0CECE"/>
      <rgbColor rgb="FF3366FF"/>
      <rgbColor rgb="FF33CCCC"/>
      <rgbColor rgb="FF89FD78"/>
      <rgbColor rgb="FFFFC000"/>
      <rgbColor rgb="FFFF9900"/>
      <rgbColor rgb="FFFF6600"/>
      <rgbColor rgb="FF595959"/>
      <rgbColor rgb="FF8E7CC3"/>
      <rgbColor rgb="FF003366"/>
      <rgbColor rgb="FF339966"/>
      <rgbColor rgb="FF003300"/>
      <rgbColor rgb="FF333300"/>
      <rgbColor rgb="FF971917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aws.amazon.com/es/s3/pricing/?nc=sn&amp;loc=4" TargetMode="External"/><Relationship Id="rId2" Type="http://schemas.openxmlformats.org/officeDocument/2006/relationships/hyperlink" Target="https://aws.amazon.com/es/ec2/pricing/on-demand/" TargetMode="External"/><Relationship Id="rId1" Type="http://schemas.openxmlformats.org/officeDocument/2006/relationships/hyperlink" Target="https://aws.amazon.com/es/s3/pricing/?nc=sn&amp;loc=4" TargetMode="External"/><Relationship Id="rId6" Type="http://schemas.openxmlformats.org/officeDocument/2006/relationships/hyperlink" Target="https://www.digitalocean.com/pricing/" TargetMode="External"/><Relationship Id="rId5" Type="http://schemas.openxmlformats.org/officeDocument/2006/relationships/hyperlink" Target="https://aws.amazon.com/es/s3/pricing/?nc=sn&amp;loc=4" TargetMode="External"/><Relationship Id="rId4" Type="http://schemas.openxmlformats.org/officeDocument/2006/relationships/hyperlink" Target="https://www.digitalocean.com/pric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zoomScaleNormal="100" workbookViewId="0">
      <selection activeCell="C6" sqref="C6"/>
    </sheetView>
  </sheetViews>
  <sheetFormatPr defaultColWidth="8.88671875" defaultRowHeight="14.4" x14ac:dyDescent="0.3"/>
  <cols>
    <col min="1" max="1" width="34.88671875" style="1" customWidth="1"/>
    <col min="2" max="2" width="64.44140625" style="1" customWidth="1"/>
    <col min="3" max="3" width="14.33203125" style="2" customWidth="1"/>
    <col min="4" max="4" width="11.88671875" style="3" customWidth="1"/>
    <col min="5" max="5" width="12.6640625" style="1" customWidth="1"/>
  </cols>
  <sheetData>
    <row r="1" spans="1:5" ht="43.2" x14ac:dyDescent="0.3">
      <c r="A1" s="4" t="s">
        <v>0</v>
      </c>
      <c r="B1" s="5"/>
      <c r="C1" s="6"/>
      <c r="D1" s="7" t="s">
        <v>1</v>
      </c>
      <c r="E1" s="8" t="s">
        <v>2</v>
      </c>
    </row>
    <row r="2" spans="1:5" ht="28.8" x14ac:dyDescent="0.3">
      <c r="A2" s="9" t="s">
        <v>3</v>
      </c>
      <c r="B2" s="9"/>
      <c r="C2" s="10" t="s">
        <v>4</v>
      </c>
      <c r="D2" s="11"/>
      <c r="E2" s="9"/>
    </row>
    <row r="3" spans="1:5" ht="43.2" x14ac:dyDescent="0.3">
      <c r="B3" s="1" t="s">
        <v>5</v>
      </c>
      <c r="C3" s="12">
        <f>'Càlcul pressupost '!K11</f>
        <v>1724996.53</v>
      </c>
      <c r="D3" s="13">
        <v>20</v>
      </c>
      <c r="E3" s="14" t="s">
        <v>6</v>
      </c>
    </row>
    <row r="4" spans="1:5" ht="43.2" x14ac:dyDescent="0.3">
      <c r="A4" s="9" t="s">
        <v>7</v>
      </c>
      <c r="B4" s="9"/>
      <c r="C4" s="10" t="s">
        <v>8</v>
      </c>
      <c r="D4" s="11"/>
      <c r="E4" s="9"/>
    </row>
    <row r="5" spans="1:5" ht="28.8" x14ac:dyDescent="0.3">
      <c r="B5" s="15" t="s">
        <v>9</v>
      </c>
      <c r="C5" s="11"/>
      <c r="D5" s="11"/>
      <c r="E5" s="11"/>
    </row>
    <row r="6" spans="1:5" ht="28.8" x14ac:dyDescent="0.3">
      <c r="B6" s="1" t="s">
        <v>10</v>
      </c>
      <c r="C6" s="16"/>
      <c r="D6" s="13">
        <v>2</v>
      </c>
      <c r="E6" s="17">
        <f>IF(EXACT(UPPER(C6),"X"),D6,0)</f>
        <v>0</v>
      </c>
    </row>
    <row r="7" spans="1:5" ht="28.8" x14ac:dyDescent="0.3">
      <c r="B7" s="1" t="s">
        <v>11</v>
      </c>
      <c r="C7" s="16"/>
      <c r="D7" s="13">
        <v>3</v>
      </c>
      <c r="E7" s="17">
        <f>IF(EXACT(UPPER(C7),"X"),D7,0)</f>
        <v>0</v>
      </c>
    </row>
    <row r="8" spans="1:5" x14ac:dyDescent="0.3">
      <c r="C8" s="11"/>
      <c r="D8" s="11"/>
      <c r="E8" s="11"/>
    </row>
    <row r="9" spans="1:5" ht="28.8" x14ac:dyDescent="0.3">
      <c r="B9" s="15" t="s">
        <v>12</v>
      </c>
      <c r="C9" s="11"/>
      <c r="D9" s="11"/>
      <c r="E9" s="11"/>
    </row>
    <row r="10" spans="1:5" x14ac:dyDescent="0.3">
      <c r="B10" s="1" t="s">
        <v>13</v>
      </c>
      <c r="C10" s="16"/>
      <c r="D10" s="13">
        <v>3</v>
      </c>
      <c r="E10" s="17">
        <f>IF(EXACT(UPPER(C10),"X"),D10,0)</f>
        <v>0</v>
      </c>
    </row>
    <row r="11" spans="1:5" x14ac:dyDescent="0.3">
      <c r="C11" s="11"/>
      <c r="D11" s="11"/>
      <c r="E11" s="11"/>
    </row>
    <row r="12" spans="1:5" x14ac:dyDescent="0.3">
      <c r="B12" s="15" t="s">
        <v>14</v>
      </c>
      <c r="C12" s="11"/>
      <c r="D12" s="11"/>
      <c r="E12" s="11"/>
    </row>
    <row r="13" spans="1:5" ht="28.8" x14ac:dyDescent="0.3">
      <c r="B13" s="1" t="s">
        <v>15</v>
      </c>
      <c r="C13" s="16"/>
      <c r="D13" s="13">
        <v>2</v>
      </c>
      <c r="E13" s="17">
        <f>IF(EXACT(UPPER(C13),"X"),D13,0)</f>
        <v>0</v>
      </c>
    </row>
    <row r="14" spans="1:5" ht="43.2" x14ac:dyDescent="0.3">
      <c r="A14" s="9" t="s">
        <v>16</v>
      </c>
      <c r="B14" s="9"/>
      <c r="C14" s="10" t="s">
        <v>17</v>
      </c>
      <c r="D14" s="11"/>
      <c r="E14" s="9"/>
    </row>
    <row r="15" spans="1:5" ht="31.2" x14ac:dyDescent="0.3">
      <c r="B15" s="18" t="s">
        <v>18</v>
      </c>
      <c r="C15" s="16"/>
      <c r="D15" s="11"/>
      <c r="E15" s="19"/>
    </row>
    <row r="16" spans="1:5" ht="31.2" x14ac:dyDescent="0.3">
      <c r="B16" s="18" t="s">
        <v>19</v>
      </c>
      <c r="C16" s="16"/>
      <c r="D16" s="11"/>
      <c r="E16" s="19"/>
    </row>
    <row r="17" spans="1:5" ht="31.2" x14ac:dyDescent="0.3">
      <c r="B17" s="18" t="s">
        <v>20</v>
      </c>
      <c r="C17" s="16"/>
      <c r="D17" s="11"/>
      <c r="E17" s="19"/>
    </row>
    <row r="18" spans="1:5" ht="31.2" x14ac:dyDescent="0.3">
      <c r="B18" s="18" t="s">
        <v>21</v>
      </c>
      <c r="C18" s="16"/>
      <c r="D18" s="13">
        <v>10</v>
      </c>
      <c r="E18" s="17">
        <f>IF(EXACT(UPPER(C18),"X"),10,
 IF(EXACT(UPPER(C17),"X"),8,
   IF(EXACT(UPPER(C16),"X"),4,
     IF(EXACT(UPPER(C15),"X"),2,0
))))</f>
        <v>0</v>
      </c>
    </row>
    <row r="19" spans="1:5" ht="43.2" x14ac:dyDescent="0.3">
      <c r="A19" s="9" t="s">
        <v>22</v>
      </c>
      <c r="B19" s="9"/>
      <c r="C19" s="10" t="s">
        <v>23</v>
      </c>
      <c r="D19" s="11"/>
      <c r="E19" s="20"/>
    </row>
    <row r="20" spans="1:5" ht="57.6" x14ac:dyDescent="0.3">
      <c r="B20" s="1" t="s">
        <v>24</v>
      </c>
      <c r="C20" s="21"/>
      <c r="D20" s="13">
        <v>1.5</v>
      </c>
      <c r="E20" s="17">
        <f>MIN(C20*0.5,D20)</f>
        <v>0</v>
      </c>
    </row>
    <row r="21" spans="1:5" ht="28.8" x14ac:dyDescent="0.3">
      <c r="B21" s="1" t="s">
        <v>25</v>
      </c>
      <c r="C21" s="21"/>
      <c r="D21" s="13">
        <v>1</v>
      </c>
      <c r="E21" s="17">
        <f>MIN(C21*0.25,D21)</f>
        <v>0</v>
      </c>
    </row>
    <row r="22" spans="1:5" ht="43.2" x14ac:dyDescent="0.3">
      <c r="B22" s="1" t="s">
        <v>26</v>
      </c>
      <c r="C22" s="21"/>
      <c r="D22" s="13">
        <v>1</v>
      </c>
      <c r="E22" s="17">
        <f>MIN(C22*0.25,D22)</f>
        <v>0</v>
      </c>
    </row>
    <row r="23" spans="1:5" ht="43.2" x14ac:dyDescent="0.3">
      <c r="B23" s="1" t="s">
        <v>27</v>
      </c>
      <c r="C23" s="21"/>
      <c r="D23" s="13">
        <v>1.5</v>
      </c>
      <c r="E23" s="17">
        <f>MIN(C23*0.5,D23)</f>
        <v>0</v>
      </c>
    </row>
    <row r="24" spans="1:5" ht="43.2" x14ac:dyDescent="0.3">
      <c r="A24" s="9" t="s">
        <v>28</v>
      </c>
      <c r="B24" s="9"/>
      <c r="C24" s="10" t="s">
        <v>17</v>
      </c>
      <c r="D24" s="11"/>
      <c r="E24" s="9"/>
    </row>
    <row r="25" spans="1:5" ht="28.8" x14ac:dyDescent="0.3">
      <c r="B25" s="15" t="s">
        <v>29</v>
      </c>
      <c r="C25" s="11"/>
      <c r="D25" s="11"/>
      <c r="E25" s="11"/>
    </row>
    <row r="26" spans="1:5" x14ac:dyDescent="0.3">
      <c r="B26" s="1" t="s">
        <v>30</v>
      </c>
      <c r="C26" s="16"/>
      <c r="D26" s="13">
        <v>1</v>
      </c>
      <c r="E26" s="17">
        <f>IF(EXACT(UPPER(C26),"X"),D26,0)</f>
        <v>0</v>
      </c>
    </row>
    <row r="27" spans="1:5" x14ac:dyDescent="0.3">
      <c r="B27" s="1" t="s">
        <v>31</v>
      </c>
      <c r="C27" s="16"/>
      <c r="D27" s="13">
        <v>0.5</v>
      </c>
      <c r="E27" s="17">
        <f>IF(EXACT(UPPER(C27),"X"),D27,0)</f>
        <v>0</v>
      </c>
    </row>
    <row r="28" spans="1:5" x14ac:dyDescent="0.3">
      <c r="B28" s="1" t="s">
        <v>32</v>
      </c>
      <c r="C28" s="16"/>
      <c r="D28" s="13">
        <v>0.5</v>
      </c>
      <c r="E28" s="17">
        <f>IF(EXACT(UPPER(C28),"X"),D28,0)</f>
        <v>0</v>
      </c>
    </row>
    <row r="29" spans="1:5" x14ac:dyDescent="0.3">
      <c r="B29" s="15" t="s">
        <v>33</v>
      </c>
      <c r="C29" s="11"/>
      <c r="D29" s="11"/>
      <c r="E29" s="11"/>
    </row>
    <row r="30" spans="1:5" x14ac:dyDescent="0.3">
      <c r="B30" s="1" t="s">
        <v>34</v>
      </c>
      <c r="C30" s="16"/>
      <c r="D30" s="13">
        <v>0.5</v>
      </c>
      <c r="E30" s="17">
        <f>IF(EXACT(UPPER(C30),"X"),D30,0)</f>
        <v>0</v>
      </c>
    </row>
    <row r="31" spans="1:5" ht="28.8" x14ac:dyDescent="0.3">
      <c r="B31" s="15" t="s">
        <v>35</v>
      </c>
      <c r="C31" s="11"/>
      <c r="D31" s="11"/>
      <c r="E31" s="11"/>
    </row>
    <row r="32" spans="1:5" x14ac:dyDescent="0.3">
      <c r="B32" s="1" t="s">
        <v>36</v>
      </c>
      <c r="C32" s="16"/>
      <c r="D32" s="13">
        <v>0.25</v>
      </c>
      <c r="E32" s="17">
        <f>IF(EXACT(UPPER(C32),"X"),D32,0)</f>
        <v>0</v>
      </c>
    </row>
    <row r="33" spans="1:5" ht="28.8" x14ac:dyDescent="0.3">
      <c r="B33" s="15" t="s">
        <v>37</v>
      </c>
      <c r="C33" s="11"/>
      <c r="D33" s="11"/>
      <c r="E33" s="11"/>
    </row>
    <row r="34" spans="1:5" x14ac:dyDescent="0.3">
      <c r="B34" s="1" t="s">
        <v>38</v>
      </c>
      <c r="C34" s="16"/>
      <c r="D34" s="13">
        <v>0.25</v>
      </c>
      <c r="E34" s="17">
        <f>IF(EXACT(UPPER(C34),"X"),D34,0)</f>
        <v>0</v>
      </c>
    </row>
    <row r="35" spans="1:5" x14ac:dyDescent="0.3">
      <c r="B35" s="1" t="s">
        <v>39</v>
      </c>
      <c r="C35" s="16"/>
      <c r="D35" s="13">
        <v>0.5</v>
      </c>
      <c r="E35" s="17">
        <f>IF(EXACT(UPPER(C35),"X"),D35,0)</f>
        <v>0</v>
      </c>
    </row>
    <row r="36" spans="1:5" x14ac:dyDescent="0.3">
      <c r="B36" s="1" t="s">
        <v>40</v>
      </c>
      <c r="C36" s="16"/>
      <c r="D36" s="13">
        <v>0.5</v>
      </c>
      <c r="E36" s="17">
        <f>IF(EXACT(UPPER(C36),"X"),D36,0)</f>
        <v>0</v>
      </c>
    </row>
    <row r="37" spans="1:5" ht="43.2" x14ac:dyDescent="0.3">
      <c r="A37" s="9" t="s">
        <v>41</v>
      </c>
      <c r="B37" s="9"/>
      <c r="C37" s="10" t="s">
        <v>17</v>
      </c>
      <c r="D37" s="11"/>
      <c r="E37" s="9"/>
    </row>
    <row r="38" spans="1:5" ht="28.8" x14ac:dyDescent="0.3">
      <c r="B38" s="1" t="s">
        <v>42</v>
      </c>
      <c r="C38" s="16"/>
      <c r="D38" s="13">
        <v>2</v>
      </c>
      <c r="E38" s="17">
        <f>IF(EXACT(UPPER(C38),"X"),D38,0)</f>
        <v>0</v>
      </c>
    </row>
    <row r="39" spans="1:5" x14ac:dyDescent="0.3">
      <c r="A39" s="22" t="s">
        <v>43</v>
      </c>
      <c r="B39" s="9"/>
      <c r="C39" s="10"/>
      <c r="D39" s="11"/>
      <c r="E39" s="9"/>
    </row>
    <row r="40" spans="1:5" ht="28.8" x14ac:dyDescent="0.3">
      <c r="B40" s="1" t="s">
        <v>44</v>
      </c>
      <c r="C40" s="11"/>
      <c r="D40" s="13">
        <v>20</v>
      </c>
      <c r="E40" s="14" t="s">
        <v>6</v>
      </c>
    </row>
    <row r="41" spans="1:5" ht="28.8" x14ac:dyDescent="0.3">
      <c r="B41" s="1" t="s">
        <v>45</v>
      </c>
      <c r="C41" s="11"/>
      <c r="D41" s="23">
        <f>SUM(D6:D38)</f>
        <v>31</v>
      </c>
      <c r="E41" s="24">
        <f>SUM(E6:E38)</f>
        <v>0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Roman,Normal"&amp;12&amp;KffffffPàgina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2"/>
  <sheetViews>
    <sheetView showGridLines="0" topLeftCell="B7" zoomScale="80" zoomScaleNormal="80" workbookViewId="0">
      <selection activeCell="C5" sqref="C5"/>
    </sheetView>
  </sheetViews>
  <sheetFormatPr defaultColWidth="11.44140625" defaultRowHeight="14.4" x14ac:dyDescent="0.3"/>
  <cols>
    <col min="1" max="1" width="16.5546875" style="25" customWidth="1"/>
    <col min="2" max="2" width="28.33203125" style="25" customWidth="1"/>
    <col min="3" max="3" width="57.88671875" style="25" customWidth="1"/>
    <col min="4" max="4" width="13.88671875" style="25" customWidth="1"/>
    <col min="5" max="6" width="13.33203125" style="25" customWidth="1"/>
    <col min="7" max="7" width="17.33203125" style="25" customWidth="1"/>
    <col min="8" max="8" width="15.33203125" style="25" customWidth="1"/>
  </cols>
  <sheetData>
    <row r="2" spans="2:8" ht="28.8" x14ac:dyDescent="0.3">
      <c r="C2" s="26"/>
      <c r="D2" s="27" t="s">
        <v>46</v>
      </c>
      <c r="E2" s="27" t="s">
        <v>47</v>
      </c>
      <c r="F2" s="28"/>
      <c r="H2" s="29"/>
    </row>
    <row r="3" spans="2:8" x14ac:dyDescent="0.3">
      <c r="C3" s="30" t="s">
        <v>48</v>
      </c>
      <c r="D3" s="31">
        <f t="shared" ref="D3:D10" si="0">ROUND(E3*1.21,2)</f>
        <v>105.96</v>
      </c>
      <c r="E3" s="32">
        <v>87.57</v>
      </c>
      <c r="F3" s="33"/>
      <c r="G3" s="34"/>
      <c r="H3" s="35"/>
    </row>
    <row r="4" spans="2:8" x14ac:dyDescent="0.3">
      <c r="C4" s="30" t="s">
        <v>49</v>
      </c>
      <c r="D4" s="31">
        <f t="shared" si="0"/>
        <v>114.13</v>
      </c>
      <c r="E4" s="32">
        <v>94.32</v>
      </c>
      <c r="F4" s="33"/>
      <c r="G4" s="34"/>
      <c r="H4" s="35"/>
    </row>
    <row r="5" spans="2:8" x14ac:dyDescent="0.3">
      <c r="C5" s="30" t="s">
        <v>208</v>
      </c>
      <c r="D5" s="31">
        <f t="shared" si="0"/>
        <v>74.95</v>
      </c>
      <c r="E5" s="32">
        <v>61.94</v>
      </c>
      <c r="F5" s="33"/>
      <c r="G5" s="34"/>
      <c r="H5" s="36"/>
    </row>
    <row r="6" spans="2:8" x14ac:dyDescent="0.3">
      <c r="C6" s="30" t="s">
        <v>50</v>
      </c>
      <c r="D6" s="31">
        <f t="shared" si="0"/>
        <v>46.97</v>
      </c>
      <c r="E6" s="32">
        <v>38.82</v>
      </c>
      <c r="F6" s="33"/>
      <c r="G6" s="34"/>
      <c r="H6" s="35"/>
    </row>
    <row r="7" spans="2:8" x14ac:dyDescent="0.3">
      <c r="C7" s="30" t="s">
        <v>51</v>
      </c>
      <c r="D7" s="31">
        <f t="shared" si="0"/>
        <v>39.76</v>
      </c>
      <c r="E7" s="32">
        <v>32.86</v>
      </c>
      <c r="F7" s="33"/>
      <c r="G7" s="34"/>
      <c r="H7" s="35"/>
    </row>
    <row r="8" spans="2:8" x14ac:dyDescent="0.3">
      <c r="C8" s="30" t="s">
        <v>52</v>
      </c>
      <c r="D8" s="31">
        <f t="shared" si="0"/>
        <v>57.86</v>
      </c>
      <c r="E8" s="32">
        <v>47.82</v>
      </c>
      <c r="F8" s="33"/>
      <c r="G8" s="34"/>
      <c r="H8" s="35"/>
    </row>
    <row r="9" spans="2:8" x14ac:dyDescent="0.3">
      <c r="C9" s="30" t="s">
        <v>53</v>
      </c>
      <c r="D9" s="31">
        <f t="shared" si="0"/>
        <v>66.78</v>
      </c>
      <c r="E9" s="32">
        <v>55.19</v>
      </c>
      <c r="F9" s="33"/>
      <c r="G9" s="34"/>
      <c r="H9" s="35"/>
    </row>
    <row r="10" spans="2:8" x14ac:dyDescent="0.3">
      <c r="C10" s="37" t="s">
        <v>54</v>
      </c>
      <c r="D10" s="31">
        <f t="shared" si="0"/>
        <v>39.479999999999997</v>
      </c>
      <c r="E10" s="32">
        <v>32.630000000000003</v>
      </c>
      <c r="F10" s="33"/>
      <c r="G10" s="34"/>
      <c r="H10" s="35"/>
    </row>
    <row r="11" spans="2:8" x14ac:dyDescent="0.3">
      <c r="D11" s="25" t="s">
        <v>55</v>
      </c>
    </row>
    <row r="13" spans="2:8" ht="28.8" x14ac:dyDescent="0.3">
      <c r="B13" s="38" t="s">
        <v>56</v>
      </c>
      <c r="C13" s="38" t="s">
        <v>57</v>
      </c>
      <c r="D13" s="38" t="s">
        <v>58</v>
      </c>
      <c r="E13" s="39" t="s">
        <v>59</v>
      </c>
      <c r="F13" s="39" t="s">
        <v>60</v>
      </c>
      <c r="G13" s="39" t="s">
        <v>61</v>
      </c>
    </row>
    <row r="14" spans="2:8" ht="14.25" customHeight="1" x14ac:dyDescent="0.3">
      <c r="B14" s="266" t="s">
        <v>62</v>
      </c>
      <c r="C14" s="40" t="str">
        <f>$C$3</f>
        <v>Cap de projecte/Responsable del Servei</v>
      </c>
      <c r="D14" s="41">
        <v>0.05</v>
      </c>
      <c r="E14" s="42">
        <f>$D$3</f>
        <v>105.96</v>
      </c>
      <c r="F14" s="42">
        <f>$E$3</f>
        <v>87.57</v>
      </c>
      <c r="G14" s="42">
        <f t="shared" ref="G14:G19" si="1">E14*D14</f>
        <v>5.298</v>
      </c>
    </row>
    <row r="15" spans="2:8" x14ac:dyDescent="0.3">
      <c r="B15" s="266"/>
      <c r="C15" s="40" t="str">
        <f>+$C$4</f>
        <v>Arquitecte</v>
      </c>
      <c r="D15" s="41">
        <v>0.1</v>
      </c>
      <c r="E15" s="42">
        <f>$D$4</f>
        <v>114.13</v>
      </c>
      <c r="F15" s="42">
        <f>$E$4</f>
        <v>94.32</v>
      </c>
      <c r="G15" s="42">
        <f t="shared" si="1"/>
        <v>11.413</v>
      </c>
    </row>
    <row r="16" spans="2:8" x14ac:dyDescent="0.3">
      <c r="B16" s="266"/>
      <c r="C16" s="40" t="str">
        <f>$C$5</f>
        <v>Responsable seguretat ( tarifa de "Responsable de servei Sènior")</v>
      </c>
      <c r="D16" s="41">
        <v>0.15</v>
      </c>
      <c r="E16" s="43">
        <f>$D$5</f>
        <v>74.95</v>
      </c>
      <c r="F16" s="43">
        <f>$E$5</f>
        <v>61.94</v>
      </c>
      <c r="G16" s="42">
        <f t="shared" si="1"/>
        <v>11.2425</v>
      </c>
    </row>
    <row r="17" spans="2:8" x14ac:dyDescent="0.3">
      <c r="B17" s="266"/>
      <c r="C17" s="40" t="str">
        <f>+$C$6</f>
        <v>Programador de sistemes</v>
      </c>
      <c r="D17" s="41">
        <v>0.3</v>
      </c>
      <c r="E17" s="43">
        <f>$D$6</f>
        <v>46.97</v>
      </c>
      <c r="F17" s="43">
        <f>$E$6</f>
        <v>38.82</v>
      </c>
      <c r="G17" s="42">
        <f t="shared" si="1"/>
        <v>14.090999999999999</v>
      </c>
    </row>
    <row r="18" spans="2:8" x14ac:dyDescent="0.3">
      <c r="B18" s="266"/>
      <c r="C18" s="40" t="str">
        <f>+$C$7</f>
        <v xml:space="preserve">Programador PHP  </v>
      </c>
      <c r="D18" s="41">
        <v>0.3</v>
      </c>
      <c r="E18" s="43">
        <f>$D$7</f>
        <v>39.76</v>
      </c>
      <c r="F18" s="43">
        <f>$E$7</f>
        <v>32.86</v>
      </c>
      <c r="G18" s="42">
        <f t="shared" si="1"/>
        <v>11.927999999999999</v>
      </c>
    </row>
    <row r="19" spans="2:8" x14ac:dyDescent="0.3">
      <c r="B19" s="266"/>
      <c r="C19" s="40" t="str">
        <f>+$C$8</f>
        <v>Full Stack Developer en PYTHON</v>
      </c>
      <c r="D19" s="41">
        <v>0.1</v>
      </c>
      <c r="E19" s="43">
        <f>$D$8</f>
        <v>57.86</v>
      </c>
      <c r="F19" s="43">
        <f>$E$8</f>
        <v>47.82</v>
      </c>
      <c r="G19" s="42">
        <f t="shared" si="1"/>
        <v>5.7860000000000005</v>
      </c>
    </row>
    <row r="20" spans="2:8" x14ac:dyDescent="0.3">
      <c r="B20" s="266"/>
      <c r="C20" s="265" t="s">
        <v>63</v>
      </c>
      <c r="D20" s="265"/>
      <c r="E20" s="265"/>
      <c r="F20" s="44"/>
      <c r="G20" s="44">
        <f>ROUND(SUM(G14:G19),2)</f>
        <v>59.76</v>
      </c>
      <c r="H20" s="45">
        <f>SUM(D14:D19)</f>
        <v>1.0000000000000002</v>
      </c>
    </row>
    <row r="21" spans="2:8" ht="14.25" customHeight="1" x14ac:dyDescent="0.3">
      <c r="B21" s="266" t="s">
        <v>64</v>
      </c>
      <c r="C21" s="40" t="str">
        <f>$C$3</f>
        <v>Cap de projecte/Responsable del Servei</v>
      </c>
      <c r="D21" s="41">
        <v>0.05</v>
      </c>
      <c r="E21" s="42">
        <f>$D$3</f>
        <v>105.96</v>
      </c>
      <c r="F21" s="42">
        <f>$E$3</f>
        <v>87.57</v>
      </c>
      <c r="G21" s="42">
        <f t="shared" ref="G21:G27" si="2">E21*D21</f>
        <v>5.298</v>
      </c>
    </row>
    <row r="22" spans="2:8" x14ac:dyDescent="0.3">
      <c r="B22" s="266"/>
      <c r="C22" s="40" t="str">
        <f>+$C$4</f>
        <v>Arquitecte</v>
      </c>
      <c r="D22" s="41">
        <v>0.1</v>
      </c>
      <c r="E22" s="42">
        <f>$D$4</f>
        <v>114.13</v>
      </c>
      <c r="F22" s="42">
        <f>$E$4</f>
        <v>94.32</v>
      </c>
      <c r="G22" s="42">
        <f t="shared" si="2"/>
        <v>11.413</v>
      </c>
    </row>
    <row r="23" spans="2:8" x14ac:dyDescent="0.3">
      <c r="B23" s="266"/>
      <c r="C23" s="40" t="str">
        <f>$C$5</f>
        <v>Responsable seguretat ( tarifa de "Responsable de servei Sènior")</v>
      </c>
      <c r="D23" s="41">
        <v>0.05</v>
      </c>
      <c r="E23" s="43">
        <f>$D$5</f>
        <v>74.95</v>
      </c>
      <c r="F23" s="43">
        <f>$E$5</f>
        <v>61.94</v>
      </c>
      <c r="G23" s="42">
        <f t="shared" si="2"/>
        <v>3.7475000000000005</v>
      </c>
    </row>
    <row r="24" spans="2:8" x14ac:dyDescent="0.3">
      <c r="B24" s="266"/>
      <c r="C24" s="40" t="str">
        <f>+$C$6</f>
        <v>Programador de sistemes</v>
      </c>
      <c r="D24" s="41">
        <v>0.2</v>
      </c>
      <c r="E24" s="43">
        <f>$D$6</f>
        <v>46.97</v>
      </c>
      <c r="F24" s="43">
        <f>$E$6</f>
        <v>38.82</v>
      </c>
      <c r="G24" s="42">
        <f t="shared" si="2"/>
        <v>9.3940000000000001</v>
      </c>
    </row>
    <row r="25" spans="2:8" x14ac:dyDescent="0.3">
      <c r="B25" s="266"/>
      <c r="C25" s="40" t="str">
        <f>+$C$7</f>
        <v xml:space="preserve">Programador PHP  </v>
      </c>
      <c r="D25" s="41">
        <v>0.3</v>
      </c>
      <c r="E25" s="43">
        <f>$D$7</f>
        <v>39.76</v>
      </c>
      <c r="F25" s="43">
        <f>$E$7</f>
        <v>32.86</v>
      </c>
      <c r="G25" s="42">
        <f t="shared" si="2"/>
        <v>11.927999999999999</v>
      </c>
    </row>
    <row r="26" spans="2:8" x14ac:dyDescent="0.3">
      <c r="B26" s="266"/>
      <c r="C26" s="40" t="str">
        <f>+$C$8</f>
        <v>Full Stack Developer en PYTHON</v>
      </c>
      <c r="D26" s="41">
        <v>0.2</v>
      </c>
      <c r="E26" s="43">
        <f>$D$8</f>
        <v>57.86</v>
      </c>
      <c r="F26" s="43">
        <f>$E$8</f>
        <v>47.82</v>
      </c>
      <c r="G26" s="42">
        <f t="shared" si="2"/>
        <v>11.572000000000001</v>
      </c>
    </row>
    <row r="27" spans="2:8" x14ac:dyDescent="0.3">
      <c r="B27" s="266"/>
      <c r="C27" s="46" t="str">
        <f>+$C$9</f>
        <v>Arquitecte PYTHON</v>
      </c>
      <c r="D27" s="41">
        <v>0.1</v>
      </c>
      <c r="E27" s="42">
        <f>$D$9</f>
        <v>66.78</v>
      </c>
      <c r="F27" s="42">
        <f>$E$9</f>
        <v>55.19</v>
      </c>
      <c r="G27" s="42">
        <f t="shared" si="2"/>
        <v>6.6780000000000008</v>
      </c>
    </row>
    <row r="28" spans="2:8" x14ac:dyDescent="0.3">
      <c r="B28" s="266"/>
      <c r="C28" s="265" t="s">
        <v>63</v>
      </c>
      <c r="D28" s="265"/>
      <c r="E28" s="265"/>
      <c r="F28" s="44"/>
      <c r="G28" s="44">
        <f>ROUND(SUM(G21:G27),2)</f>
        <v>60.03</v>
      </c>
      <c r="H28" s="45">
        <f>SUM(D21:D27)</f>
        <v>0.99999999999999989</v>
      </c>
    </row>
    <row r="29" spans="2:8" ht="14.25" customHeight="1" x14ac:dyDescent="0.3">
      <c r="B29" s="264" t="s">
        <v>65</v>
      </c>
      <c r="C29" s="40" t="str">
        <f>$C$3</f>
        <v>Cap de projecte/Responsable del Servei</v>
      </c>
      <c r="D29" s="41">
        <v>0.05</v>
      </c>
      <c r="E29" s="42">
        <f>$D$3</f>
        <v>105.96</v>
      </c>
      <c r="F29" s="42">
        <f>$E$3</f>
        <v>87.57</v>
      </c>
      <c r="G29" s="42">
        <f t="shared" ref="G29:G35" si="3">E29*D29</f>
        <v>5.298</v>
      </c>
      <c r="H29" s="45"/>
    </row>
    <row r="30" spans="2:8" x14ac:dyDescent="0.3">
      <c r="B30" s="264"/>
      <c r="C30" s="40" t="str">
        <f>+$C$4</f>
        <v>Arquitecte</v>
      </c>
      <c r="D30" s="41">
        <v>0.1</v>
      </c>
      <c r="E30" s="42">
        <f>$D$4</f>
        <v>114.13</v>
      </c>
      <c r="F30" s="42">
        <f>$E$4</f>
        <v>94.32</v>
      </c>
      <c r="G30" s="42">
        <f t="shared" si="3"/>
        <v>11.413</v>
      </c>
      <c r="H30" s="45"/>
    </row>
    <row r="31" spans="2:8" x14ac:dyDescent="0.3">
      <c r="B31" s="264"/>
      <c r="C31" s="40" t="str">
        <f>$C$5</f>
        <v>Responsable seguretat ( tarifa de "Responsable de servei Sènior")</v>
      </c>
      <c r="D31" s="41">
        <v>0.05</v>
      </c>
      <c r="E31" s="43">
        <f>$D$5</f>
        <v>74.95</v>
      </c>
      <c r="F31" s="43">
        <f>$E$5</f>
        <v>61.94</v>
      </c>
      <c r="G31" s="42">
        <f t="shared" si="3"/>
        <v>3.7475000000000005</v>
      </c>
      <c r="H31" s="45"/>
    </row>
    <row r="32" spans="2:8" x14ac:dyDescent="0.3">
      <c r="B32" s="264"/>
      <c r="C32" s="40" t="str">
        <f>+$C$6</f>
        <v>Programador de sistemes</v>
      </c>
      <c r="D32" s="41">
        <v>0.2</v>
      </c>
      <c r="E32" s="43">
        <f>$D$6</f>
        <v>46.97</v>
      </c>
      <c r="F32" s="43">
        <f>$E$6</f>
        <v>38.82</v>
      </c>
      <c r="G32" s="42">
        <f t="shared" si="3"/>
        <v>9.3940000000000001</v>
      </c>
      <c r="H32" s="45"/>
    </row>
    <row r="33" spans="2:8" x14ac:dyDescent="0.3">
      <c r="B33" s="264"/>
      <c r="C33" s="40" t="str">
        <f>+$C$7</f>
        <v xml:space="preserve">Programador PHP  </v>
      </c>
      <c r="D33" s="41">
        <v>0.3</v>
      </c>
      <c r="E33" s="43">
        <f>$D$7</f>
        <v>39.76</v>
      </c>
      <c r="F33" s="43">
        <f>$E$7</f>
        <v>32.86</v>
      </c>
      <c r="G33" s="42">
        <f t="shared" si="3"/>
        <v>11.927999999999999</v>
      </c>
      <c r="H33" s="45"/>
    </row>
    <row r="34" spans="2:8" x14ac:dyDescent="0.3">
      <c r="B34" s="264"/>
      <c r="C34" s="40" t="str">
        <f>+$C$8</f>
        <v>Full Stack Developer en PYTHON</v>
      </c>
      <c r="D34" s="41">
        <v>0.2</v>
      </c>
      <c r="E34" s="43">
        <f>$D$8</f>
        <v>57.86</v>
      </c>
      <c r="F34" s="43">
        <f>$E$8</f>
        <v>47.82</v>
      </c>
      <c r="G34" s="42">
        <f t="shared" si="3"/>
        <v>11.572000000000001</v>
      </c>
      <c r="H34" s="45"/>
    </row>
    <row r="35" spans="2:8" x14ac:dyDescent="0.3">
      <c r="B35" s="264"/>
      <c r="C35" s="46" t="str">
        <f>+$C$9</f>
        <v>Arquitecte PYTHON</v>
      </c>
      <c r="D35" s="41">
        <v>0.1</v>
      </c>
      <c r="E35" s="42">
        <f>$D$9</f>
        <v>66.78</v>
      </c>
      <c r="F35" s="42">
        <f>$E$9</f>
        <v>55.19</v>
      </c>
      <c r="G35" s="42">
        <f t="shared" si="3"/>
        <v>6.6780000000000008</v>
      </c>
      <c r="H35" s="45"/>
    </row>
    <row r="36" spans="2:8" x14ac:dyDescent="0.3">
      <c r="B36" s="264"/>
      <c r="C36" s="265" t="s">
        <v>63</v>
      </c>
      <c r="D36" s="265"/>
      <c r="E36" s="265"/>
      <c r="F36" s="44"/>
      <c r="G36" s="44">
        <f>ROUND(SUM(G29:G35),2)</f>
        <v>60.03</v>
      </c>
      <c r="H36" s="45">
        <f>SUM(D29:D35)</f>
        <v>0.99999999999999989</v>
      </c>
    </row>
    <row r="37" spans="2:8" ht="15" customHeight="1" x14ac:dyDescent="0.3">
      <c r="B37" s="264" t="s">
        <v>66</v>
      </c>
      <c r="C37" s="40" t="str">
        <f>$C$3</f>
        <v>Cap de projecte/Responsable del Servei</v>
      </c>
      <c r="D37" s="41">
        <v>0.15</v>
      </c>
      <c r="E37" s="42">
        <f>$D$3</f>
        <v>105.96</v>
      </c>
      <c r="F37" s="42">
        <f>$E$3</f>
        <v>87.57</v>
      </c>
      <c r="G37" s="47">
        <f>E37*D37</f>
        <v>15.893999999999998</v>
      </c>
    </row>
    <row r="38" spans="2:8" ht="15" customHeight="1" x14ac:dyDescent="0.3">
      <c r="B38" s="264"/>
      <c r="C38" s="40" t="str">
        <f>+$C$4</f>
        <v>Arquitecte</v>
      </c>
      <c r="D38" s="41">
        <v>0.15</v>
      </c>
      <c r="E38" s="42">
        <f>$D$4</f>
        <v>114.13</v>
      </c>
      <c r="F38" s="42">
        <f>$E$4</f>
        <v>94.32</v>
      </c>
      <c r="G38" s="47">
        <f>E38*D38</f>
        <v>17.119499999999999</v>
      </c>
    </row>
    <row r="39" spans="2:8" x14ac:dyDescent="0.3">
      <c r="B39" s="264"/>
      <c r="C39" s="40" t="str">
        <f>$C$5</f>
        <v>Responsable seguretat ( tarifa de "Responsable de servei Sènior")</v>
      </c>
      <c r="D39" s="41">
        <v>0.05</v>
      </c>
      <c r="E39" s="43">
        <f>$D$5</f>
        <v>74.95</v>
      </c>
      <c r="F39" s="43">
        <f>$E$5</f>
        <v>61.94</v>
      </c>
      <c r="G39" s="47">
        <f>E39*D39</f>
        <v>3.7475000000000005</v>
      </c>
    </row>
    <row r="40" spans="2:8" x14ac:dyDescent="0.3">
      <c r="B40" s="264"/>
      <c r="C40" s="40" t="str">
        <f>+$C$6</f>
        <v>Programador de sistemes</v>
      </c>
      <c r="D40" s="41">
        <v>0.5</v>
      </c>
      <c r="E40" s="43">
        <f>$D$6</f>
        <v>46.97</v>
      </c>
      <c r="F40" s="43">
        <f>$E$6</f>
        <v>38.82</v>
      </c>
      <c r="G40" s="47">
        <f>E40*D40</f>
        <v>23.484999999999999</v>
      </c>
    </row>
    <row r="41" spans="2:8" x14ac:dyDescent="0.3">
      <c r="B41" s="264"/>
      <c r="C41" s="40" t="str">
        <f>+$C$10</f>
        <v>Atenció usuaris</v>
      </c>
      <c r="D41" s="41">
        <v>0.15</v>
      </c>
      <c r="E41" s="43">
        <f>$D$10</f>
        <v>39.479999999999997</v>
      </c>
      <c r="F41" s="43">
        <f>$E$10</f>
        <v>32.630000000000003</v>
      </c>
      <c r="G41" s="47">
        <f>E41*D41</f>
        <v>5.9219999999999997</v>
      </c>
    </row>
    <row r="42" spans="2:8" x14ac:dyDescent="0.3">
      <c r="B42" s="264"/>
      <c r="C42" s="265" t="s">
        <v>63</v>
      </c>
      <c r="D42" s="265"/>
      <c r="E42" s="265"/>
      <c r="F42" s="44"/>
      <c r="G42" s="44">
        <f>ROUND(SUM(G37:G41),2)</f>
        <v>66.17</v>
      </c>
      <c r="H42" s="45">
        <f>SUM(D37:D41)</f>
        <v>1</v>
      </c>
    </row>
  </sheetData>
  <mergeCells count="8">
    <mergeCell ref="B37:B42"/>
    <mergeCell ref="C42:E42"/>
    <mergeCell ref="B14:B20"/>
    <mergeCell ref="C20:E20"/>
    <mergeCell ref="B21:B28"/>
    <mergeCell ref="C28:E28"/>
    <mergeCell ref="B29:B36"/>
    <mergeCell ref="C36:E36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abSelected="1" topLeftCell="A28" zoomScaleNormal="100" workbookViewId="0">
      <selection activeCell="D40" sqref="D40"/>
    </sheetView>
  </sheetViews>
  <sheetFormatPr defaultColWidth="14.44140625" defaultRowHeight="13.2" x14ac:dyDescent="0.25"/>
  <cols>
    <col min="1" max="1" width="2.88671875" style="48" customWidth="1"/>
    <col min="2" max="2" width="20" style="48" customWidth="1"/>
    <col min="3" max="3" width="7.44140625" style="48" customWidth="1"/>
    <col min="4" max="4" width="10.109375" style="48" customWidth="1"/>
    <col min="5" max="5" width="14.33203125" style="48" customWidth="1"/>
    <col min="6" max="6" width="20.5546875" style="48" customWidth="1"/>
    <col min="7" max="7" width="15.109375" style="48" customWidth="1"/>
    <col min="8" max="8" width="15.33203125" style="48" customWidth="1"/>
    <col min="9" max="9" width="10.44140625" style="48" customWidth="1"/>
    <col min="10" max="10" width="15.5546875" style="48" customWidth="1"/>
    <col min="11" max="11" width="17.44140625" style="48" customWidth="1"/>
    <col min="12" max="16384" width="14.44140625" style="48"/>
  </cols>
  <sheetData>
    <row r="1" spans="1:11" x14ac:dyDescent="0.25">
      <c r="A1" s="48" t="s">
        <v>67</v>
      </c>
    </row>
    <row r="2" spans="1:11" ht="15.75" customHeight="1" x14ac:dyDescent="0.3">
      <c r="B2" s="49" t="s">
        <v>68</v>
      </c>
      <c r="C2" s="50"/>
      <c r="D2" s="50"/>
      <c r="E2" s="50"/>
      <c r="F2" s="50"/>
      <c r="G2" s="51"/>
      <c r="H2" s="50"/>
      <c r="I2" s="50"/>
      <c r="J2" s="50"/>
      <c r="K2" s="50"/>
    </row>
    <row r="3" spans="1:11" ht="15.75" customHeight="1" x14ac:dyDescent="0.25"/>
    <row r="4" spans="1:11" ht="29.25" customHeight="1" x14ac:dyDescent="0.25">
      <c r="B4" s="52" t="s">
        <v>69</v>
      </c>
      <c r="C4" s="52" t="s">
        <v>70</v>
      </c>
      <c r="D4" s="52" t="s">
        <v>71</v>
      </c>
      <c r="E4" s="52" t="s">
        <v>72</v>
      </c>
      <c r="F4" s="52" t="s">
        <v>73</v>
      </c>
      <c r="G4" s="53" t="s">
        <v>74</v>
      </c>
      <c r="H4" s="54" t="s">
        <v>75</v>
      </c>
      <c r="I4" s="54" t="s">
        <v>76</v>
      </c>
      <c r="J4" s="55" t="s">
        <v>77</v>
      </c>
      <c r="K4" s="52" t="s">
        <v>78</v>
      </c>
    </row>
    <row r="5" spans="1:11" ht="14.4" x14ac:dyDescent="0.3">
      <c r="B5" s="56" t="s">
        <v>79</v>
      </c>
      <c r="C5" s="57" t="s">
        <v>80</v>
      </c>
      <c r="D5" s="57" t="s">
        <v>81</v>
      </c>
      <c r="E5" s="57" t="s">
        <v>82</v>
      </c>
      <c r="F5" s="58" t="s">
        <v>83</v>
      </c>
      <c r="G5" s="59">
        <v>5</v>
      </c>
      <c r="H5" s="60">
        <f>G5*1.21</f>
        <v>6.05</v>
      </c>
      <c r="I5" s="61">
        <v>538</v>
      </c>
      <c r="J5" s="62">
        <f>I5*H5</f>
        <v>3254.9</v>
      </c>
      <c r="K5" s="63">
        <f>J5*12</f>
        <v>39058.800000000003</v>
      </c>
    </row>
    <row r="6" spans="1:11" ht="14.4" x14ac:dyDescent="0.3">
      <c r="B6" s="56" t="s">
        <v>84</v>
      </c>
      <c r="C6" s="57" t="s">
        <v>85</v>
      </c>
      <c r="D6" s="57" t="s">
        <v>86</v>
      </c>
      <c r="E6" s="57" t="s">
        <v>87</v>
      </c>
      <c r="F6" s="58" t="s">
        <v>88</v>
      </c>
      <c r="G6" s="59">
        <v>7</v>
      </c>
      <c r="H6" s="60">
        <f>G6*1.21</f>
        <v>8.4699999999999989</v>
      </c>
      <c r="I6" s="61">
        <v>57</v>
      </c>
      <c r="J6" s="62">
        <f>I6*H6</f>
        <v>482.78999999999996</v>
      </c>
      <c r="K6" s="63">
        <f>J6*12</f>
        <v>5793.48</v>
      </c>
    </row>
    <row r="7" spans="1:11" ht="28.8" x14ac:dyDescent="0.3">
      <c r="B7" s="56" t="s">
        <v>89</v>
      </c>
      <c r="C7" s="57" t="s">
        <v>90</v>
      </c>
      <c r="D7" s="57" t="s">
        <v>91</v>
      </c>
      <c r="E7" s="57" t="s">
        <v>82</v>
      </c>
      <c r="F7" s="58" t="s">
        <v>83</v>
      </c>
      <c r="G7" s="59">
        <v>3</v>
      </c>
      <c r="H7" s="60">
        <f>G7*1.21</f>
        <v>3.63</v>
      </c>
      <c r="I7" s="61">
        <v>448</v>
      </c>
      <c r="J7" s="62">
        <f>I7*H7</f>
        <v>1626.24</v>
      </c>
      <c r="K7" s="64">
        <f>J7*12</f>
        <v>19514.88</v>
      </c>
    </row>
    <row r="8" spans="1:11" ht="15.75" customHeight="1" x14ac:dyDescent="0.3">
      <c r="B8" s="65" t="s">
        <v>92</v>
      </c>
      <c r="C8" s="66"/>
      <c r="D8" s="66"/>
      <c r="E8" s="66"/>
      <c r="F8" s="66"/>
      <c r="G8" s="67"/>
      <c r="H8" s="68"/>
      <c r="I8" s="69">
        <f>SUM(I5:I7)</f>
        <v>1043</v>
      </c>
      <c r="J8" s="70">
        <f>SUM(J5:J7)</f>
        <v>5363.93</v>
      </c>
      <c r="K8" s="70">
        <f>SUM(K5:K7)</f>
        <v>64367.16</v>
      </c>
    </row>
    <row r="9" spans="1:11" ht="15.75" customHeight="1" x14ac:dyDescent="0.3">
      <c r="G9" s="67"/>
      <c r="H9" s="68"/>
      <c r="I9" s="71"/>
      <c r="J9" s="67"/>
      <c r="K9" s="72"/>
    </row>
    <row r="10" spans="1:11" ht="16.5" customHeight="1" x14ac:dyDescent="0.25"/>
    <row r="11" spans="1:11" ht="16.5" customHeight="1" x14ac:dyDescent="0.25">
      <c r="B11" s="73" t="s">
        <v>93</v>
      </c>
      <c r="C11" s="73"/>
      <c r="D11" s="73"/>
      <c r="E11" s="73"/>
      <c r="F11" s="73"/>
      <c r="G11" s="73"/>
      <c r="H11" s="73"/>
      <c r="I11" s="74"/>
      <c r="J11" s="74"/>
      <c r="K11" s="74"/>
    </row>
    <row r="12" spans="1:11" ht="16.5" customHeight="1" x14ac:dyDescent="0.25">
      <c r="B12" s="75"/>
      <c r="C12" s="75"/>
      <c r="D12" s="75"/>
      <c r="E12" s="75"/>
      <c r="F12" s="75"/>
      <c r="G12" s="75"/>
      <c r="H12" s="75"/>
    </row>
    <row r="13" spans="1:11" ht="30" customHeight="1" x14ac:dyDescent="0.25">
      <c r="A13" s="76"/>
      <c r="B13" s="52" t="s">
        <v>69</v>
      </c>
      <c r="C13" s="52" t="s">
        <v>94</v>
      </c>
      <c r="D13" s="52" t="s">
        <v>95</v>
      </c>
      <c r="E13" s="52" t="s">
        <v>96</v>
      </c>
      <c r="F13" s="52" t="s">
        <v>97</v>
      </c>
      <c r="G13" s="52" t="s">
        <v>98</v>
      </c>
      <c r="H13" s="52" t="s">
        <v>75</v>
      </c>
      <c r="I13" s="52" t="s">
        <v>76</v>
      </c>
      <c r="J13" s="55" t="s">
        <v>77</v>
      </c>
      <c r="K13" s="52" t="s">
        <v>78</v>
      </c>
    </row>
    <row r="14" spans="1:11" ht="16.5" customHeight="1" x14ac:dyDescent="0.25">
      <c r="A14" s="77"/>
      <c r="B14" s="78" t="s">
        <v>99</v>
      </c>
      <c r="C14" s="58">
        <v>2</v>
      </c>
      <c r="D14" s="58">
        <v>1</v>
      </c>
      <c r="E14" s="58">
        <v>50</v>
      </c>
      <c r="F14" s="58" t="s">
        <v>100</v>
      </c>
      <c r="G14" s="79">
        <f>(5.31 + 4.54) / 1.21 * 1.1</f>
        <v>8.954545454545455</v>
      </c>
      <c r="H14" s="80">
        <f t="shared" ref="H14:H20" si="0">G14*1.21</f>
        <v>10.835000000000001</v>
      </c>
      <c r="I14" s="78">
        <v>7</v>
      </c>
      <c r="J14" s="62">
        <f t="shared" ref="J14:J20" si="1">I14*H14</f>
        <v>75.844999999999999</v>
      </c>
      <c r="K14" s="63">
        <f t="shared" ref="K14:K20" si="2">J14*12</f>
        <v>910.14</v>
      </c>
    </row>
    <row r="15" spans="1:11" ht="16.5" customHeight="1" x14ac:dyDescent="0.25">
      <c r="A15" s="77"/>
      <c r="B15" s="78" t="s">
        <v>101</v>
      </c>
      <c r="C15" s="58">
        <v>2</v>
      </c>
      <c r="D15" s="58">
        <v>2</v>
      </c>
      <c r="E15" s="58">
        <v>50</v>
      </c>
      <c r="F15" s="58" t="s">
        <v>100</v>
      </c>
      <c r="G15" s="79">
        <f>(10.71+ 4.54) / 1.21* 1.1</f>
        <v>13.863636363636365</v>
      </c>
      <c r="H15" s="80">
        <f t="shared" si="0"/>
        <v>16.775000000000002</v>
      </c>
      <c r="I15" s="78">
        <v>28</v>
      </c>
      <c r="J15" s="62">
        <f t="shared" si="1"/>
        <v>469.70000000000005</v>
      </c>
      <c r="K15" s="63">
        <f t="shared" si="2"/>
        <v>5636.4000000000005</v>
      </c>
    </row>
    <row r="16" spans="1:11" ht="16.5" customHeight="1" x14ac:dyDescent="0.25">
      <c r="A16" s="77"/>
      <c r="B16" s="78" t="s">
        <v>102</v>
      </c>
      <c r="C16" s="58">
        <v>2</v>
      </c>
      <c r="D16" s="58">
        <v>4</v>
      </c>
      <c r="E16" s="58">
        <v>50</v>
      </c>
      <c r="F16" s="58" t="s">
        <v>100</v>
      </c>
      <c r="G16" s="79">
        <f>(21.33+ 4.54) / 1.21* 1.1</f>
        <v>23.518181818181819</v>
      </c>
      <c r="H16" s="80">
        <f t="shared" si="0"/>
        <v>28.457000000000001</v>
      </c>
      <c r="I16" s="78">
        <v>11</v>
      </c>
      <c r="J16" s="62">
        <f t="shared" si="1"/>
        <v>313.02699999999999</v>
      </c>
      <c r="K16" s="63">
        <f t="shared" si="2"/>
        <v>3756.3239999999996</v>
      </c>
    </row>
    <row r="17" spans="1:11" ht="16.5" customHeight="1" x14ac:dyDescent="0.25">
      <c r="A17" s="77"/>
      <c r="B17" s="78" t="s">
        <v>103</v>
      </c>
      <c r="C17" s="58">
        <v>2</v>
      </c>
      <c r="D17" s="58">
        <v>8</v>
      </c>
      <c r="E17" s="58">
        <v>50</v>
      </c>
      <c r="F17" s="58" t="s">
        <v>100</v>
      </c>
      <c r="G17" s="79">
        <f>(42.67+ 4.54) / 1.21* 1.1</f>
        <v>42.918181818181822</v>
      </c>
      <c r="H17" s="80">
        <f t="shared" si="0"/>
        <v>51.931000000000004</v>
      </c>
      <c r="I17" s="78">
        <v>7</v>
      </c>
      <c r="J17" s="62">
        <f t="shared" si="1"/>
        <v>363.51700000000005</v>
      </c>
      <c r="K17" s="63">
        <f t="shared" si="2"/>
        <v>4362.2040000000006</v>
      </c>
    </row>
    <row r="18" spans="1:11" ht="16.5" customHeight="1" x14ac:dyDescent="0.25">
      <c r="A18" s="77"/>
      <c r="B18" s="78" t="s">
        <v>104</v>
      </c>
      <c r="C18" s="58">
        <v>4</v>
      </c>
      <c r="D18" s="58">
        <v>16</v>
      </c>
      <c r="E18" s="58">
        <v>50</v>
      </c>
      <c r="F18" s="58" t="s">
        <v>100</v>
      </c>
      <c r="G18" s="79">
        <f>(85.35+ 4.54) / 1.21* 1.1</f>
        <v>81.718181818181819</v>
      </c>
      <c r="H18" s="80">
        <f t="shared" si="0"/>
        <v>98.878999999999991</v>
      </c>
      <c r="I18" s="78">
        <v>0</v>
      </c>
      <c r="J18" s="62">
        <f t="shared" si="1"/>
        <v>0</v>
      </c>
      <c r="K18" s="63">
        <f t="shared" si="2"/>
        <v>0</v>
      </c>
    </row>
    <row r="19" spans="1:11" ht="16.5" customHeight="1" x14ac:dyDescent="0.25">
      <c r="A19" s="81"/>
      <c r="B19" s="78" t="s">
        <v>105</v>
      </c>
      <c r="C19" s="58">
        <v>8</v>
      </c>
      <c r="D19" s="58">
        <v>32</v>
      </c>
      <c r="E19" s="58">
        <v>50</v>
      </c>
      <c r="F19" s="58" t="s">
        <v>100</v>
      </c>
      <c r="G19" s="79">
        <f>(170.71+ 4.54) / 1.21* 1.1</f>
        <v>159.31818181818184</v>
      </c>
      <c r="H19" s="80">
        <f t="shared" si="0"/>
        <v>192.77500000000003</v>
      </c>
      <c r="I19" s="78">
        <v>0.08</v>
      </c>
      <c r="J19" s="62">
        <f t="shared" si="1"/>
        <v>15.422000000000002</v>
      </c>
      <c r="K19" s="63">
        <f t="shared" si="2"/>
        <v>185.06400000000002</v>
      </c>
    </row>
    <row r="20" spans="1:11" ht="16.5" customHeight="1" x14ac:dyDescent="0.25">
      <c r="A20" s="77"/>
      <c r="B20" s="78" t="s">
        <v>106</v>
      </c>
      <c r="C20" s="58" t="s">
        <v>107</v>
      </c>
      <c r="D20" s="58">
        <v>64</v>
      </c>
      <c r="E20" s="58" t="s">
        <v>108</v>
      </c>
      <c r="F20" s="58" t="s">
        <v>109</v>
      </c>
      <c r="G20" s="79">
        <f>98.38/1.21* 1.1</f>
        <v>89.436363636363637</v>
      </c>
      <c r="H20" s="80">
        <f t="shared" si="0"/>
        <v>108.218</v>
      </c>
      <c r="I20" s="78">
        <v>2</v>
      </c>
      <c r="J20" s="62">
        <f t="shared" si="1"/>
        <v>216.43600000000001</v>
      </c>
      <c r="K20" s="63">
        <f t="shared" si="2"/>
        <v>2597.232</v>
      </c>
    </row>
    <row r="21" spans="1:11" ht="16.5" customHeight="1" x14ac:dyDescent="0.25">
      <c r="A21" s="77"/>
      <c r="B21" s="65"/>
      <c r="C21" s="65"/>
      <c r="D21" s="65"/>
      <c r="E21" s="65"/>
      <c r="F21" s="65"/>
      <c r="I21" s="70">
        <f>SUM(I14:I20)</f>
        <v>55.08</v>
      </c>
      <c r="J21" s="70">
        <f>SUM(J14:J20)</f>
        <v>1453.9470000000001</v>
      </c>
      <c r="K21" s="70">
        <f>SUM(K14:K20)</f>
        <v>17447.364000000001</v>
      </c>
    </row>
    <row r="22" spans="1:11" ht="16.5" customHeight="1" x14ac:dyDescent="0.25">
      <c r="I22" s="82"/>
    </row>
    <row r="23" spans="1:11" ht="16.5" customHeight="1" x14ac:dyDescent="0.25">
      <c r="B23" s="83" t="s">
        <v>110</v>
      </c>
      <c r="C23" s="84"/>
      <c r="D23" s="84"/>
      <c r="E23" s="84"/>
      <c r="F23" s="85"/>
      <c r="G23" s="86" t="s">
        <v>111</v>
      </c>
      <c r="H23" s="87"/>
      <c r="I23" s="87"/>
      <c r="J23" s="87"/>
      <c r="K23" s="88"/>
    </row>
    <row r="24" spans="1:11" ht="16.5" customHeight="1" x14ac:dyDescent="0.25">
      <c r="B24" s="89" t="s">
        <v>112</v>
      </c>
      <c r="C24" s="90"/>
      <c r="D24" s="90"/>
      <c r="E24" s="90"/>
      <c r="F24" s="91"/>
      <c r="G24" s="92" t="s">
        <v>113</v>
      </c>
      <c r="H24" s="93"/>
      <c r="I24" s="93"/>
      <c r="J24" s="93"/>
      <c r="K24" s="94"/>
    </row>
    <row r="25" spans="1:11" ht="16.5" customHeight="1" x14ac:dyDescent="0.25">
      <c r="B25" s="95" t="s">
        <v>114</v>
      </c>
      <c r="C25" s="90"/>
      <c r="D25" s="90"/>
      <c r="E25" s="90"/>
      <c r="F25" s="91"/>
      <c r="G25" s="92" t="s">
        <v>115</v>
      </c>
      <c r="H25" s="93"/>
      <c r="I25" s="93"/>
      <c r="J25" s="93"/>
      <c r="K25" s="94"/>
    </row>
    <row r="26" spans="1:11" ht="16.5" customHeight="1" x14ac:dyDescent="0.25">
      <c r="B26" s="95" t="s">
        <v>116</v>
      </c>
      <c r="C26" s="90"/>
      <c r="D26" s="90"/>
      <c r="E26" s="90"/>
      <c r="F26" s="91"/>
      <c r="G26" s="92" t="s">
        <v>117</v>
      </c>
      <c r="H26" s="93"/>
      <c r="I26" s="93"/>
      <c r="J26" s="93"/>
      <c r="K26" s="94"/>
    </row>
    <row r="27" spans="1:11" ht="16.5" customHeight="1" x14ac:dyDescent="0.25">
      <c r="B27" s="95" t="s">
        <v>118</v>
      </c>
      <c r="C27" s="90"/>
      <c r="D27" s="90"/>
      <c r="E27" s="90"/>
      <c r="F27" s="91"/>
      <c r="G27" s="92" t="s">
        <v>119</v>
      </c>
      <c r="H27" s="93"/>
      <c r="I27" s="93"/>
      <c r="J27" s="93"/>
      <c r="K27" s="94"/>
    </row>
    <row r="28" spans="1:11" ht="16.5" customHeight="1" x14ac:dyDescent="0.25">
      <c r="B28" s="89"/>
      <c r="C28" s="96"/>
      <c r="D28" s="96"/>
      <c r="E28" s="96"/>
      <c r="F28" s="97"/>
      <c r="G28" s="98"/>
      <c r="H28" s="99"/>
      <c r="I28" s="99"/>
      <c r="J28" s="99"/>
      <c r="K28" s="100"/>
    </row>
    <row r="30" spans="1:11" ht="39" customHeight="1" x14ac:dyDescent="0.25">
      <c r="B30" s="101" t="s">
        <v>69</v>
      </c>
      <c r="C30" s="102"/>
      <c r="D30" s="103"/>
      <c r="E30" s="52" t="s">
        <v>120</v>
      </c>
      <c r="F30" s="52" t="s">
        <v>121</v>
      </c>
      <c r="G30" s="52" t="s">
        <v>122</v>
      </c>
      <c r="H30" s="52" t="s">
        <v>123</v>
      </c>
      <c r="I30" s="52" t="s">
        <v>76</v>
      </c>
      <c r="J30" s="55" t="s">
        <v>77</v>
      </c>
      <c r="K30" s="52" t="s">
        <v>78</v>
      </c>
    </row>
    <row r="31" spans="1:11" ht="15.75" customHeight="1" x14ac:dyDescent="0.3">
      <c r="B31" s="104" t="s">
        <v>124</v>
      </c>
      <c r="C31" s="105"/>
      <c r="D31" s="106"/>
      <c r="E31" s="58" t="s">
        <v>125</v>
      </c>
      <c r="F31" s="58" t="s">
        <v>100</v>
      </c>
      <c r="G31" s="107">
        <f>0.1/1.21* 1.1</f>
        <v>9.0909090909090925E-2</v>
      </c>
      <c r="H31" s="108">
        <f>G31*1.21</f>
        <v>0.11000000000000001</v>
      </c>
      <c r="I31" s="109">
        <v>8664</v>
      </c>
      <c r="J31" s="62">
        <f>I31*H31</f>
        <v>953.04000000000008</v>
      </c>
      <c r="K31" s="110">
        <f>J31*12</f>
        <v>11436.480000000001</v>
      </c>
    </row>
    <row r="32" spans="1:11" ht="15.75" customHeight="1" x14ac:dyDescent="0.3">
      <c r="B32" s="111" t="s">
        <v>126</v>
      </c>
      <c r="C32" s="112"/>
      <c r="D32" s="113"/>
      <c r="E32" s="58" t="s">
        <v>127</v>
      </c>
      <c r="F32" s="58" t="s">
        <v>100</v>
      </c>
      <c r="G32" s="114">
        <f>0.05687/1.21* 1.1</f>
        <v>5.1700000000000003E-2</v>
      </c>
      <c r="H32" s="108">
        <f>G32*1.21</f>
        <v>6.2557000000000001E-2</v>
      </c>
      <c r="I32" s="109">
        <v>1725</v>
      </c>
      <c r="J32" s="62">
        <f>I32*H32</f>
        <v>107.910825</v>
      </c>
      <c r="K32" s="110">
        <f>J32*12</f>
        <v>1294.9299000000001</v>
      </c>
    </row>
    <row r="33" spans="2:11" ht="15.75" customHeight="1" x14ac:dyDescent="0.25">
      <c r="B33" s="111" t="s">
        <v>128</v>
      </c>
      <c r="C33" s="112"/>
      <c r="D33" s="113"/>
      <c r="E33" s="58" t="s">
        <v>129</v>
      </c>
      <c r="F33" s="58" t="s">
        <v>100</v>
      </c>
      <c r="G33" s="114">
        <f>0.375/1.21* 1.1</f>
        <v>0.34090909090909094</v>
      </c>
      <c r="H33" s="108">
        <f>G33*1.21</f>
        <v>0.41250000000000003</v>
      </c>
      <c r="I33" s="78">
        <v>0</v>
      </c>
      <c r="J33" s="62">
        <f>I33*H33</f>
        <v>0</v>
      </c>
      <c r="K33" s="110">
        <f>J33*12</f>
        <v>0</v>
      </c>
    </row>
    <row r="34" spans="2:11" ht="15.75" customHeight="1" x14ac:dyDescent="0.25">
      <c r="B34" s="111" t="s">
        <v>130</v>
      </c>
      <c r="C34" s="112"/>
      <c r="D34" s="113"/>
      <c r="E34" s="58" t="s">
        <v>131</v>
      </c>
      <c r="F34" s="58" t="s">
        <v>132</v>
      </c>
      <c r="G34" s="114">
        <f>0.05687/1.21* 1.1</f>
        <v>5.1700000000000003E-2</v>
      </c>
      <c r="H34" s="108">
        <f>G34*1.21</f>
        <v>6.2557000000000001E-2</v>
      </c>
      <c r="I34" s="78">
        <v>304</v>
      </c>
      <c r="J34" s="62">
        <f>I34*H34</f>
        <v>19.017327999999999</v>
      </c>
      <c r="K34" s="110">
        <f>J34*12</f>
        <v>228.20793599999999</v>
      </c>
    </row>
    <row r="35" spans="2:11" x14ac:dyDescent="0.25">
      <c r="B35" s="115"/>
      <c r="C35" s="115"/>
      <c r="D35" s="115"/>
      <c r="E35" s="115"/>
      <c r="F35" s="115"/>
      <c r="J35" s="70">
        <f>SUM(J31:J34)</f>
        <v>1079.968153</v>
      </c>
      <c r="K35" s="70">
        <f>SUM(K31:K34)</f>
        <v>12959.617836000003</v>
      </c>
    </row>
    <row r="36" spans="2:11" x14ac:dyDescent="0.25">
      <c r="B36" s="115"/>
      <c r="C36" s="115"/>
      <c r="D36" s="115"/>
      <c r="E36" s="115"/>
      <c r="F36" s="115"/>
      <c r="J36" s="116"/>
      <c r="K36" s="116"/>
    </row>
    <row r="37" spans="2:11" ht="15.75" customHeight="1" x14ac:dyDescent="0.25">
      <c r="B37" s="83" t="s">
        <v>110</v>
      </c>
      <c r="C37" s="84"/>
      <c r="D37" s="84"/>
      <c r="E37" s="84"/>
      <c r="F37" s="85"/>
      <c r="G37" s="86" t="s">
        <v>111</v>
      </c>
      <c r="H37" s="117"/>
      <c r="I37" s="117"/>
      <c r="J37" s="117"/>
      <c r="K37" s="118"/>
    </row>
    <row r="38" spans="2:11" ht="15.75" customHeight="1" x14ac:dyDescent="0.25">
      <c r="B38" s="89" t="s">
        <v>112</v>
      </c>
      <c r="C38" s="95"/>
      <c r="D38" s="90"/>
      <c r="E38" s="90"/>
      <c r="F38" s="91"/>
      <c r="G38" s="92" t="s">
        <v>113</v>
      </c>
      <c r="H38" s="119"/>
      <c r="I38" s="119"/>
      <c r="J38" s="119"/>
      <c r="K38" s="120"/>
    </row>
    <row r="39" spans="2:11" ht="15.75" customHeight="1" x14ac:dyDescent="0.25">
      <c r="B39" s="95" t="s">
        <v>118</v>
      </c>
      <c r="C39" s="96"/>
      <c r="D39" s="96"/>
      <c r="E39" s="96"/>
      <c r="F39" s="97"/>
      <c r="G39" s="98" t="s">
        <v>117</v>
      </c>
      <c r="H39" s="121"/>
      <c r="I39" s="121"/>
      <c r="J39" s="121"/>
      <c r="K39" s="122"/>
    </row>
    <row r="41" spans="2:11" ht="15.75" customHeight="1" x14ac:dyDescent="0.25">
      <c r="B41" s="73" t="s">
        <v>133</v>
      </c>
      <c r="C41" s="73"/>
      <c r="D41" s="73"/>
      <c r="E41" s="73"/>
      <c r="F41" s="73"/>
      <c r="G41" s="73"/>
      <c r="H41" s="73"/>
      <c r="I41" s="74"/>
      <c r="J41" s="74"/>
      <c r="K41" s="74"/>
    </row>
    <row r="43" spans="2:11" ht="26.25" customHeight="1" x14ac:dyDescent="0.25">
      <c r="B43" s="101" t="s">
        <v>134</v>
      </c>
      <c r="C43" s="102"/>
      <c r="D43" s="103"/>
      <c r="E43" s="52" t="s">
        <v>135</v>
      </c>
      <c r="F43" s="52"/>
      <c r="G43" s="52" t="s">
        <v>136</v>
      </c>
      <c r="H43" s="52" t="s">
        <v>137</v>
      </c>
      <c r="I43" s="52" t="s">
        <v>76</v>
      </c>
      <c r="J43" s="55" t="s">
        <v>77</v>
      </c>
      <c r="K43" s="52" t="s">
        <v>78</v>
      </c>
    </row>
    <row r="44" spans="2:11" ht="15.75" customHeight="1" x14ac:dyDescent="0.3">
      <c r="B44" s="104" t="s">
        <v>138</v>
      </c>
      <c r="C44" s="105"/>
      <c r="D44" s="106"/>
      <c r="E44" s="58" t="s">
        <v>100</v>
      </c>
      <c r="F44" s="58"/>
      <c r="G44" s="60">
        <f>H44/1.21</f>
        <v>3074.3305785123966</v>
      </c>
      <c r="H44" s="123">
        <v>3719.94</v>
      </c>
      <c r="I44" s="58">
        <v>1</v>
      </c>
      <c r="J44" s="62">
        <f>I44*H44</f>
        <v>3719.94</v>
      </c>
      <c r="K44" s="124">
        <f>J44*12</f>
        <v>44639.28</v>
      </c>
    </row>
    <row r="45" spans="2:11" ht="15.75" customHeight="1" x14ac:dyDescent="0.3">
      <c r="B45" s="104" t="s">
        <v>139</v>
      </c>
      <c r="C45" s="105"/>
      <c r="D45" s="106"/>
      <c r="E45" s="58" t="s">
        <v>100</v>
      </c>
      <c r="F45" s="58"/>
      <c r="G45" s="60">
        <f>H45/1.21</f>
        <v>26.148760330578515</v>
      </c>
      <c r="H45" s="123">
        <v>31.64</v>
      </c>
      <c r="I45" s="58">
        <v>1</v>
      </c>
      <c r="J45" s="62">
        <f>I45*H45</f>
        <v>31.64</v>
      </c>
      <c r="K45" s="124">
        <f>J45*12</f>
        <v>379.68</v>
      </c>
    </row>
    <row r="46" spans="2:11" ht="15.75" customHeight="1" x14ac:dyDescent="0.3">
      <c r="B46" s="125" t="s">
        <v>140</v>
      </c>
      <c r="C46" s="126"/>
      <c r="D46" s="127"/>
      <c r="E46" s="58" t="s">
        <v>100</v>
      </c>
      <c r="F46" s="58"/>
      <c r="G46" s="60">
        <f>H46/1.21</f>
        <v>322.3305785123967</v>
      </c>
      <c r="H46" s="123">
        <v>390.02</v>
      </c>
      <c r="I46" s="58">
        <v>1</v>
      </c>
      <c r="J46" s="62">
        <f>I46*H46</f>
        <v>390.02</v>
      </c>
      <c r="K46" s="124">
        <f>J46*12</f>
        <v>4680.24</v>
      </c>
    </row>
    <row r="47" spans="2:11" ht="15.75" customHeight="1" x14ac:dyDescent="0.3">
      <c r="B47" s="104" t="s">
        <v>141</v>
      </c>
      <c r="C47" s="105"/>
      <c r="D47" s="106"/>
      <c r="E47" s="58" t="s">
        <v>142</v>
      </c>
      <c r="F47" s="58"/>
      <c r="G47" s="60">
        <f>H47/1.21</f>
        <v>15.611570247933885</v>
      </c>
      <c r="H47" s="123">
        <v>18.89</v>
      </c>
      <c r="I47" s="58">
        <v>1</v>
      </c>
      <c r="J47" s="62">
        <f>I47*H47</f>
        <v>18.89</v>
      </c>
      <c r="K47" s="124">
        <f>J47*12</f>
        <v>226.68</v>
      </c>
    </row>
    <row r="48" spans="2:11" ht="15.75" customHeight="1" x14ac:dyDescent="0.3">
      <c r="B48" s="104" t="s">
        <v>143</v>
      </c>
      <c r="C48" s="105"/>
      <c r="D48" s="106"/>
      <c r="E48" s="58" t="str">
        <f>B48</f>
        <v>Cookiebot</v>
      </c>
      <c r="F48" s="58"/>
      <c r="G48" s="60">
        <f>H48/1.21</f>
        <v>379.65013768595043</v>
      </c>
      <c r="H48" s="123">
        <f>351.38+107.9966666</f>
        <v>459.37666660000002</v>
      </c>
      <c r="I48" s="58">
        <v>1</v>
      </c>
      <c r="J48" s="62">
        <f>I48*H48</f>
        <v>459.37666660000002</v>
      </c>
      <c r="K48" s="124">
        <f>J48*12</f>
        <v>5512.5199991999998</v>
      </c>
    </row>
    <row r="49" spans="2:11" ht="15.75" customHeight="1" x14ac:dyDescent="0.25">
      <c r="J49" s="70">
        <f>SUM(J44:J48)</f>
        <v>4619.8666666000008</v>
      </c>
      <c r="K49" s="70">
        <f>SUM(K44:K48)</f>
        <v>55438.399999199995</v>
      </c>
    </row>
    <row r="50" spans="2:11" ht="15.75" customHeight="1" x14ac:dyDescent="0.25">
      <c r="J50" s="116"/>
      <c r="K50" s="116"/>
    </row>
    <row r="51" spans="2:11" ht="15.75" customHeight="1" x14ac:dyDescent="0.25">
      <c r="B51" s="73" t="s">
        <v>144</v>
      </c>
      <c r="C51" s="73"/>
      <c r="D51" s="73"/>
      <c r="E51" s="73"/>
      <c r="F51" s="73"/>
      <c r="G51" s="73"/>
      <c r="H51" s="73"/>
      <c r="I51" s="74"/>
      <c r="J51" s="74"/>
      <c r="K51" s="74"/>
    </row>
    <row r="52" spans="2:11" ht="15.75" customHeight="1" x14ac:dyDescent="0.25">
      <c r="J52" s="70">
        <f>ROUND(J8+J21+J35+J49,2)</f>
        <v>12517.71</v>
      </c>
      <c r="K52" s="128">
        <f>ROUND(K8+K21+K35+K49,2)</f>
        <v>150212.54</v>
      </c>
    </row>
    <row r="54" spans="2:11" x14ac:dyDescent="0.25">
      <c r="I54" s="48" t="s">
        <v>145</v>
      </c>
    </row>
    <row r="58" spans="2:11" x14ac:dyDescent="0.25">
      <c r="J58" s="129"/>
      <c r="K58" s="130"/>
    </row>
    <row r="59" spans="2:11" x14ac:dyDescent="0.25">
      <c r="K59" s="131"/>
    </row>
  </sheetData>
  <hyperlinks>
    <hyperlink ref="B24" r:id="rId1"/>
    <hyperlink ref="B25" r:id="rId2"/>
    <hyperlink ref="B26" r:id="rId3"/>
    <hyperlink ref="B27" r:id="rId4"/>
    <hyperlink ref="B38" r:id="rId5"/>
    <hyperlink ref="B39" r:id="rId6"/>
  </hyperlinks>
  <pageMargins left="0.25" right="0.25" top="0.75" bottom="0.75" header="0.511811023622047" footer="0.511811023622047"/>
  <pageSetup paperSize="9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1"/>
  <sheetViews>
    <sheetView zoomScale="80" zoomScaleNormal="80" workbookViewId="0"/>
  </sheetViews>
  <sheetFormatPr defaultColWidth="11.44140625" defaultRowHeight="14.4" x14ac:dyDescent="0.3"/>
  <cols>
    <col min="1" max="1" width="19.109375" style="132" customWidth="1"/>
    <col min="2" max="2" width="11.88671875" style="133" customWidth="1"/>
    <col min="3" max="3" width="22.109375" style="134" customWidth="1"/>
    <col min="4" max="4" width="15.109375" style="133" customWidth="1"/>
    <col min="5" max="5" width="33.109375" style="135" customWidth="1"/>
    <col min="6" max="6" width="21.88671875" style="134" customWidth="1"/>
    <col min="7" max="7" width="12.33203125" style="134" customWidth="1"/>
    <col min="8" max="8" width="17.33203125" style="136" customWidth="1"/>
    <col min="9" max="9" width="15.6640625" style="136" customWidth="1"/>
    <col min="10" max="10" width="14" style="136" customWidth="1"/>
    <col min="11" max="11" width="21.33203125" style="136" customWidth="1"/>
    <col min="12" max="12" width="17.5546875" style="136" customWidth="1"/>
    <col min="13" max="13" width="22.44140625" style="136" customWidth="1"/>
    <col min="14" max="14" width="15.109375" style="136" customWidth="1"/>
    <col min="15" max="15" width="21.44140625" style="136" customWidth="1"/>
    <col min="16" max="16" width="23.44140625" style="136" customWidth="1"/>
    <col min="17" max="17" width="15.33203125" style="136" customWidth="1"/>
    <col min="18" max="18" width="14.33203125" style="136" customWidth="1"/>
    <col min="19" max="19" width="14.6640625" style="136" customWidth="1"/>
    <col min="20" max="20" width="15.6640625" style="136" customWidth="1"/>
    <col min="21" max="21" width="14.6640625" style="132" customWidth="1"/>
    <col min="22" max="22" width="16.88671875" style="136" customWidth="1"/>
    <col min="23" max="23" width="20.109375" style="136" customWidth="1"/>
    <col min="24" max="16384" width="11.44140625" style="136"/>
  </cols>
  <sheetData>
    <row r="1" spans="1:23" ht="31.5" customHeight="1" x14ac:dyDescent="0.3">
      <c r="A1" s="137" t="s">
        <v>146</v>
      </c>
      <c r="B1" s="138"/>
      <c r="C1" s="139"/>
      <c r="D1" s="137"/>
      <c r="E1" s="140"/>
      <c r="F1" s="141" t="s">
        <v>147</v>
      </c>
      <c r="G1" s="136"/>
      <c r="J1" s="142"/>
      <c r="T1" s="132"/>
      <c r="U1" s="136"/>
      <c r="V1" s="132"/>
    </row>
    <row r="2" spans="1:23" ht="16.5" customHeight="1" x14ac:dyDescent="0.3">
      <c r="A2" s="143" t="s">
        <v>148</v>
      </c>
      <c r="B2" s="144">
        <v>45467</v>
      </c>
      <c r="C2" s="145"/>
      <c r="D2" s="146"/>
      <c r="E2" s="142"/>
      <c r="F2" s="147" t="s">
        <v>149</v>
      </c>
      <c r="G2" s="148"/>
      <c r="I2" s="149"/>
      <c r="T2" s="132"/>
      <c r="U2" s="136"/>
      <c r="V2" s="132"/>
    </row>
    <row r="3" spans="1:23" ht="18" customHeight="1" x14ac:dyDescent="0.3">
      <c r="A3" s="143" t="s">
        <v>150</v>
      </c>
      <c r="B3" s="144">
        <v>45497</v>
      </c>
      <c r="C3" s="145"/>
      <c r="D3" s="146"/>
      <c r="E3" s="142"/>
      <c r="F3" s="147" t="s">
        <v>151</v>
      </c>
      <c r="G3" s="148"/>
      <c r="H3" s="150"/>
      <c r="I3" s="149"/>
      <c r="P3" s="151"/>
      <c r="T3" s="132"/>
      <c r="U3" s="136"/>
      <c r="V3" s="132"/>
    </row>
    <row r="4" spans="1:23" s="141" customFormat="1" ht="21.75" customHeight="1" x14ac:dyDescent="0.3">
      <c r="A4" s="143" t="s">
        <v>152</v>
      </c>
      <c r="B4" s="144">
        <v>46561</v>
      </c>
      <c r="C4" s="145"/>
      <c r="D4" s="146"/>
      <c r="E4" s="142"/>
      <c r="F4" s="134" t="s">
        <v>153</v>
      </c>
      <c r="G4" s="136">
        <v>12</v>
      </c>
      <c r="H4" s="136">
        <v>12</v>
      </c>
      <c r="I4" s="152">
        <v>5.74</v>
      </c>
      <c r="J4" s="153"/>
      <c r="K4" s="136"/>
      <c r="L4" s="136"/>
      <c r="M4" s="154" t="s">
        <v>154</v>
      </c>
      <c r="N4" s="155">
        <v>6.26</v>
      </c>
      <c r="O4" s="156">
        <v>12</v>
      </c>
      <c r="P4" s="156">
        <v>5.74</v>
      </c>
      <c r="Q4" s="156"/>
      <c r="R4" s="156"/>
      <c r="S4" s="136"/>
      <c r="T4" s="136"/>
      <c r="U4" s="132"/>
      <c r="V4" s="136"/>
      <c r="W4" s="132"/>
    </row>
    <row r="5" spans="1:23" ht="28.8" x14ac:dyDescent="0.3">
      <c r="A5" s="157" t="s">
        <v>155</v>
      </c>
      <c r="B5" s="158">
        <v>46562</v>
      </c>
      <c r="C5" s="145"/>
      <c r="D5" s="159"/>
      <c r="E5" s="160" t="s">
        <v>134</v>
      </c>
      <c r="F5" s="161" t="s">
        <v>156</v>
      </c>
      <c r="G5" s="162" t="s">
        <v>157</v>
      </c>
      <c r="H5" s="162" t="s">
        <v>158</v>
      </c>
      <c r="I5" s="163" t="s">
        <v>159</v>
      </c>
      <c r="J5" s="164" t="s">
        <v>160</v>
      </c>
      <c r="K5" s="165" t="s">
        <v>161</v>
      </c>
      <c r="M5" s="166" t="s">
        <v>134</v>
      </c>
      <c r="N5" s="167" t="s">
        <v>159</v>
      </c>
      <c r="O5" s="167" t="s">
        <v>162</v>
      </c>
      <c r="P5" s="167" t="s">
        <v>163</v>
      </c>
      <c r="Q5" s="168" t="s">
        <v>160</v>
      </c>
      <c r="R5" s="168" t="s">
        <v>164</v>
      </c>
      <c r="U5" s="136"/>
      <c r="V5" s="132"/>
    </row>
    <row r="6" spans="1:23" x14ac:dyDescent="0.3">
      <c r="A6" s="157" t="s">
        <v>165</v>
      </c>
      <c r="B6" s="158">
        <v>47292</v>
      </c>
      <c r="C6" s="169" t="s">
        <v>166</v>
      </c>
      <c r="E6" s="170" t="s">
        <v>62</v>
      </c>
      <c r="F6" s="148">
        <f>+H20</f>
        <v>50294.02</v>
      </c>
      <c r="G6" s="148">
        <f>+H28</f>
        <v>114739.2</v>
      </c>
      <c r="H6" s="148">
        <f>+H36</f>
        <v>114739.2</v>
      </c>
      <c r="I6" s="148">
        <f>H44</f>
        <v>54883.58</v>
      </c>
      <c r="J6" s="148">
        <f>ROUND(SUM(F6:I6),2)</f>
        <v>334656</v>
      </c>
      <c r="K6" s="148">
        <f>+ROUND(J6/1.21,2)</f>
        <v>276575.21000000002</v>
      </c>
      <c r="L6" s="148"/>
      <c r="M6" s="170" t="s">
        <v>62</v>
      </c>
      <c r="N6" s="148">
        <f>+H53</f>
        <v>59855.62</v>
      </c>
      <c r="O6" s="148">
        <f>+H61</f>
        <v>114739.2</v>
      </c>
      <c r="P6" s="148">
        <f>+H69</f>
        <v>54883.58</v>
      </c>
      <c r="Q6" s="148">
        <f>SUM(N6:P6)</f>
        <v>229478.40000000002</v>
      </c>
      <c r="R6" s="148">
        <f>+ROUND(Q6/1.21,2)</f>
        <v>189651.57</v>
      </c>
      <c r="U6" s="136"/>
      <c r="V6" s="132"/>
    </row>
    <row r="7" spans="1:23" x14ac:dyDescent="0.3">
      <c r="A7" s="171"/>
      <c r="B7" s="172"/>
      <c r="C7" s="169" t="s">
        <v>167</v>
      </c>
      <c r="E7" s="170" t="s">
        <v>64</v>
      </c>
      <c r="F7" s="148">
        <f>+K20</f>
        <v>30065.65</v>
      </c>
      <c r="G7" s="148">
        <f>+K28</f>
        <v>38605.14</v>
      </c>
      <c r="H7" s="148">
        <f>+K36</f>
        <v>18718.98</v>
      </c>
      <c r="I7" s="148">
        <f>K44</f>
        <v>4993.08</v>
      </c>
      <c r="J7" s="148">
        <f>ROUND(SUM(F7:I7),2)</f>
        <v>92382.85</v>
      </c>
      <c r="K7" s="148">
        <f>+ROUND(J7/1.21,2)</f>
        <v>76349.460000000006</v>
      </c>
      <c r="L7" s="148"/>
      <c r="M7" s="170" t="s">
        <v>64</v>
      </c>
      <c r="N7" s="148">
        <f>+K53</f>
        <v>5445.41</v>
      </c>
      <c r="O7" s="148">
        <f>+K61</f>
        <v>10438.49</v>
      </c>
      <c r="P7" s="148">
        <f>+K69</f>
        <v>4993.08</v>
      </c>
      <c r="Q7" s="148">
        <f>SUM(N7:P7)</f>
        <v>20876.98</v>
      </c>
      <c r="R7" s="148">
        <f>+ROUND(Q7/1.21,2)</f>
        <v>17253.7</v>
      </c>
      <c r="U7" s="136"/>
      <c r="V7" s="132"/>
    </row>
    <row r="8" spans="1:23" s="141" customFormat="1" ht="28.8" x14ac:dyDescent="0.3">
      <c r="A8" s="171"/>
      <c r="B8" s="172"/>
      <c r="C8" s="169" t="s">
        <v>167</v>
      </c>
      <c r="D8" s="133"/>
      <c r="E8" s="170" t="s">
        <v>168</v>
      </c>
      <c r="F8" s="148">
        <f>N20</f>
        <v>75000</v>
      </c>
      <c r="G8" s="148">
        <f>N28</f>
        <v>150000</v>
      </c>
      <c r="H8" s="148">
        <f>N36</f>
        <v>150000</v>
      </c>
      <c r="I8" s="148">
        <f>N44</f>
        <v>71750</v>
      </c>
      <c r="J8" s="148">
        <f>ROUND(SUM(F8:I8),2)</f>
        <v>446750</v>
      </c>
      <c r="K8" s="148">
        <f>+ROUND(J8/1.21,2)</f>
        <v>369214.88</v>
      </c>
      <c r="L8" s="148"/>
      <c r="M8" s="170" t="s">
        <v>65</v>
      </c>
      <c r="N8" s="148">
        <f>+N53</f>
        <v>78250</v>
      </c>
      <c r="O8" s="148">
        <f>+N61</f>
        <v>150000</v>
      </c>
      <c r="P8" s="148">
        <f>+N69</f>
        <v>71750</v>
      </c>
      <c r="Q8" s="148">
        <f>SUM(N8:P8)</f>
        <v>300000</v>
      </c>
      <c r="R8" s="148">
        <f>+ROUND(Q8/1.21,2)</f>
        <v>247933.88</v>
      </c>
      <c r="S8" s="136"/>
      <c r="T8" s="136"/>
      <c r="U8" s="136"/>
      <c r="V8" s="132"/>
      <c r="W8" s="136"/>
    </row>
    <row r="9" spans="1:23" s="141" customFormat="1" ht="28.8" x14ac:dyDescent="0.3">
      <c r="A9" s="145"/>
      <c r="B9" s="145"/>
      <c r="C9" s="169" t="s">
        <v>169</v>
      </c>
      <c r="D9" s="133"/>
      <c r="E9" s="170" t="s">
        <v>170</v>
      </c>
      <c r="F9" s="148">
        <f>+O20</f>
        <v>65843.16</v>
      </c>
      <c r="G9" s="148">
        <f>+O28</f>
        <v>157723.17000000001</v>
      </c>
      <c r="H9" s="148">
        <f>+O36</f>
        <v>165609.32999999999</v>
      </c>
      <c r="I9" s="148">
        <f>+O44</f>
        <v>83177.289999999994</v>
      </c>
      <c r="J9" s="148">
        <f>ROUND(SUM(F9:I9),2)</f>
        <v>472352.95</v>
      </c>
      <c r="K9" s="148">
        <f>+ROUND(J9/1.21,2)</f>
        <v>390374.34</v>
      </c>
      <c r="L9" s="148"/>
      <c r="M9" s="170" t="s">
        <v>170</v>
      </c>
      <c r="N9" s="148">
        <f>+O53</f>
        <v>90712.506500000003</v>
      </c>
      <c r="O9" s="148">
        <f>+O61</f>
        <v>173889.7965</v>
      </c>
      <c r="P9" s="148">
        <f>+O69</f>
        <v>83177.285992500008</v>
      </c>
      <c r="Q9" s="148">
        <f>SUM(N9:P9)</f>
        <v>347779.58899250004</v>
      </c>
      <c r="R9" s="148">
        <f>+ROUND(Q9/1.21,2)</f>
        <v>287421.15000000002</v>
      </c>
      <c r="S9" s="136"/>
      <c r="T9" s="136"/>
      <c r="U9" s="136"/>
      <c r="V9" s="132"/>
      <c r="W9" s="136"/>
    </row>
    <row r="10" spans="1:23" s="141" customFormat="1" x14ac:dyDescent="0.3">
      <c r="A10" s="145"/>
      <c r="B10" s="145"/>
      <c r="C10" s="169" t="s">
        <v>171</v>
      </c>
      <c r="D10" s="133"/>
      <c r="E10" s="173" t="s">
        <v>66</v>
      </c>
      <c r="F10" s="148">
        <f>+R20</f>
        <v>111377.34</v>
      </c>
      <c r="G10" s="148">
        <f>+R28</f>
        <v>254092.79999999999</v>
      </c>
      <c r="H10" s="148">
        <f>+R36</f>
        <v>254092.79999999999</v>
      </c>
      <c r="I10" s="148">
        <f>R44</f>
        <v>121541.06</v>
      </c>
      <c r="J10" s="148">
        <f>ROUND(SUM(F10:I10),2)</f>
        <v>741104</v>
      </c>
      <c r="K10" s="148">
        <f>+ROUND(J10/1.21,2)</f>
        <v>612482.64</v>
      </c>
      <c r="L10" s="148"/>
      <c r="M10" s="173" t="s">
        <v>66</v>
      </c>
      <c r="N10" s="148">
        <f>+R53</f>
        <v>132551.74</v>
      </c>
      <c r="O10" s="148">
        <f>+R61</f>
        <v>254092.79999999999</v>
      </c>
      <c r="P10" s="148">
        <f>+R69</f>
        <v>121541.06</v>
      </c>
      <c r="Q10" s="148">
        <f>SUM(N10:P10)</f>
        <v>508185.59999999998</v>
      </c>
      <c r="R10" s="148">
        <f>+ROUND(Q10/1.21,2)</f>
        <v>419988.1</v>
      </c>
      <c r="S10" s="136"/>
      <c r="T10" s="136"/>
      <c r="U10" s="136"/>
      <c r="V10" s="132"/>
      <c r="W10" s="136"/>
    </row>
    <row r="11" spans="1:23" s="141" customFormat="1" ht="28.8" x14ac:dyDescent="0.3">
      <c r="A11" s="174"/>
      <c r="B11" s="174"/>
      <c r="C11" s="175"/>
      <c r="D11" s="147"/>
      <c r="E11" s="176" t="s">
        <v>172</v>
      </c>
      <c r="F11" s="177">
        <f>SUM(F6:F10)</f>
        <v>332580.17</v>
      </c>
      <c r="G11" s="178">
        <f>SUM(G6:G10)</f>
        <v>715160.31</v>
      </c>
      <c r="H11" s="178">
        <f>SUM(H6:H10)</f>
        <v>703160.31</v>
      </c>
      <c r="I11" s="178">
        <f>SUM(I6:I10)</f>
        <v>336345.01</v>
      </c>
      <c r="J11" s="179">
        <f>ROUND(SUM(J6:J10),2)</f>
        <v>2087245.8</v>
      </c>
      <c r="K11" s="180">
        <f>ROUND(SUM(K6:K10),2)</f>
        <v>1724996.53</v>
      </c>
      <c r="L11" s="181"/>
      <c r="M11" s="182" t="s">
        <v>173</v>
      </c>
      <c r="N11" s="183">
        <f>SUM(N6:N10)</f>
        <v>366815.27649999998</v>
      </c>
      <c r="O11" s="183">
        <f>SUM(O6:O10)</f>
        <v>703160.28649999993</v>
      </c>
      <c r="P11" s="183">
        <f>SUM(P6:P10)</f>
        <v>336345.0059925</v>
      </c>
      <c r="Q11" s="184">
        <f>SUM(Q6:Q10)</f>
        <v>1406320.5689925002</v>
      </c>
      <c r="R11" s="184">
        <f>SUM(R6:R10)</f>
        <v>1162248.3999999999</v>
      </c>
      <c r="V11" s="185"/>
    </row>
    <row r="12" spans="1:23" s="141" customFormat="1" x14ac:dyDescent="0.3">
      <c r="A12" s="145"/>
      <c r="B12" s="145"/>
      <c r="C12" s="186"/>
      <c r="D12" s="134"/>
      <c r="E12" s="170"/>
      <c r="F12" s="187"/>
      <c r="G12" s="187"/>
      <c r="H12" s="187"/>
      <c r="I12" s="187"/>
      <c r="J12" s="181"/>
      <c r="K12" s="181"/>
      <c r="L12" s="181"/>
      <c r="M12" s="170"/>
      <c r="N12" s="187"/>
      <c r="O12" s="187"/>
      <c r="P12" s="187"/>
      <c r="Q12" s="181"/>
      <c r="R12" s="181"/>
      <c r="S12" s="136"/>
      <c r="T12" s="136"/>
      <c r="U12" s="136"/>
      <c r="V12" s="132"/>
      <c r="W12" s="136"/>
    </row>
    <row r="13" spans="1:23" s="141" customFormat="1" x14ac:dyDescent="0.3">
      <c r="A13" s="145"/>
      <c r="B13" s="145"/>
      <c r="C13" s="186"/>
      <c r="D13" s="134"/>
      <c r="E13" s="188" t="s">
        <v>174</v>
      </c>
      <c r="F13" s="189">
        <f t="shared" ref="F13:K13" si="0">F11-F14</f>
        <v>257580.16999999998</v>
      </c>
      <c r="G13" s="190">
        <f t="shared" si="0"/>
        <v>565160.31000000006</v>
      </c>
      <c r="H13" s="190">
        <f t="shared" si="0"/>
        <v>553160.31000000006</v>
      </c>
      <c r="I13" s="191">
        <f t="shared" si="0"/>
        <v>264595.01</v>
      </c>
      <c r="J13" s="189">
        <f t="shared" si="0"/>
        <v>1640495.8</v>
      </c>
      <c r="K13" s="191">
        <f t="shared" si="0"/>
        <v>1355781.65</v>
      </c>
      <c r="L13" s="181"/>
      <c r="M13" s="170"/>
      <c r="N13" s="187"/>
      <c r="O13" s="187"/>
      <c r="P13" s="187"/>
      <c r="Q13" s="181"/>
      <c r="R13" s="181"/>
      <c r="S13" s="136"/>
      <c r="T13" s="136"/>
      <c r="U13" s="136"/>
      <c r="V13" s="132"/>
      <c r="W13" s="136"/>
    </row>
    <row r="14" spans="1:23" s="141" customFormat="1" x14ac:dyDescent="0.3">
      <c r="A14" s="145"/>
      <c r="B14" s="145"/>
      <c r="C14" s="186"/>
      <c r="D14" s="134"/>
      <c r="E14" s="192" t="s">
        <v>175</v>
      </c>
      <c r="F14" s="193">
        <f t="shared" ref="F14:K14" si="1">F8</f>
        <v>75000</v>
      </c>
      <c r="G14" s="194">
        <f t="shared" si="1"/>
        <v>150000</v>
      </c>
      <c r="H14" s="194">
        <f t="shared" si="1"/>
        <v>150000</v>
      </c>
      <c r="I14" s="195">
        <f t="shared" si="1"/>
        <v>71750</v>
      </c>
      <c r="J14" s="193">
        <f t="shared" si="1"/>
        <v>446750</v>
      </c>
      <c r="K14" s="195">
        <f t="shared" si="1"/>
        <v>369214.88</v>
      </c>
      <c r="L14" s="181"/>
      <c r="M14" s="170"/>
      <c r="N14" s="196"/>
      <c r="O14" s="187"/>
      <c r="P14" s="187"/>
      <c r="Q14" s="181"/>
      <c r="R14" s="181"/>
      <c r="S14" s="136"/>
      <c r="T14" s="136"/>
      <c r="U14" s="136"/>
      <c r="V14" s="132"/>
      <c r="W14" s="136"/>
    </row>
    <row r="15" spans="1:23" s="141" customFormat="1" x14ac:dyDescent="0.3">
      <c r="A15" s="132"/>
      <c r="B15" s="132"/>
      <c r="C15" s="146"/>
      <c r="D15" s="136"/>
      <c r="E15" s="146"/>
      <c r="F15" s="197"/>
      <c r="G15" s="197"/>
      <c r="H15" s="197"/>
      <c r="I15" s="198"/>
      <c r="J15" s="199"/>
      <c r="K15" s="197"/>
      <c r="L15" s="197"/>
      <c r="M15" s="146"/>
      <c r="N15" s="198"/>
      <c r="O15" s="198"/>
      <c r="P15" s="198"/>
      <c r="Q15" s="197"/>
      <c r="R15" s="197"/>
      <c r="S15" s="136"/>
      <c r="T15" s="136"/>
      <c r="U15" s="132"/>
      <c r="V15" s="136"/>
      <c r="W15" s="136"/>
    </row>
    <row r="16" spans="1:23" s="141" customFormat="1" ht="15.6" x14ac:dyDescent="0.3">
      <c r="A16" s="200" t="s">
        <v>176</v>
      </c>
      <c r="B16" s="201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02"/>
      <c r="T16" s="202"/>
      <c r="U16" s="202"/>
      <c r="V16" s="202"/>
      <c r="W16" s="202"/>
    </row>
    <row r="17" spans="1:23" s="205" customFormat="1" ht="15.6" x14ac:dyDescent="0.3">
      <c r="A17" s="200" t="s">
        <v>177</v>
      </c>
      <c r="B17" s="201"/>
      <c r="C17" s="202"/>
      <c r="D17" s="203" t="s">
        <v>178</v>
      </c>
      <c r="E17" s="204">
        <v>5.26</v>
      </c>
      <c r="F17" s="134"/>
      <c r="G17" s="134"/>
      <c r="H17" s="197"/>
      <c r="I17" s="198"/>
      <c r="J17" s="199"/>
      <c r="K17" s="136"/>
      <c r="L17" s="136"/>
      <c r="M17" s="136"/>
      <c r="N17" s="198"/>
      <c r="O17" s="198"/>
      <c r="P17" s="198"/>
      <c r="Q17" s="136"/>
      <c r="R17" s="136"/>
      <c r="S17" s="136"/>
      <c r="T17" s="136"/>
      <c r="U17" s="132"/>
      <c r="V17" s="136"/>
      <c r="W17" s="136"/>
    </row>
    <row r="18" spans="1:23" s="141" customFormat="1" ht="52.5" customHeight="1" x14ac:dyDescent="0.3">
      <c r="B18" s="206" t="s">
        <v>134</v>
      </c>
      <c r="C18" s="206" t="s">
        <v>179</v>
      </c>
      <c r="D18" s="206" t="s">
        <v>180</v>
      </c>
      <c r="E18" s="206" t="s">
        <v>181</v>
      </c>
      <c r="F18" s="207" t="s">
        <v>182</v>
      </c>
      <c r="G18" s="208" t="s">
        <v>183</v>
      </c>
      <c r="H18" s="209" t="s">
        <v>184</v>
      </c>
      <c r="I18" s="210" t="s">
        <v>185</v>
      </c>
      <c r="J18" s="211" t="s">
        <v>183</v>
      </c>
      <c r="K18" s="212" t="s">
        <v>186</v>
      </c>
      <c r="L18" s="207" t="s">
        <v>187</v>
      </c>
      <c r="M18" s="208" t="s">
        <v>183</v>
      </c>
      <c r="N18" s="209" t="s">
        <v>188</v>
      </c>
      <c r="O18" s="213" t="s">
        <v>189</v>
      </c>
      <c r="P18" s="214" t="s">
        <v>190</v>
      </c>
      <c r="Q18" s="215" t="s">
        <v>183</v>
      </c>
      <c r="R18" s="216" t="s">
        <v>191</v>
      </c>
      <c r="S18" s="206" t="s">
        <v>192</v>
      </c>
      <c r="T18" s="206" t="s">
        <v>150</v>
      </c>
      <c r="U18" s="206" t="s">
        <v>193</v>
      </c>
      <c r="V18" s="217" t="s">
        <v>194</v>
      </c>
      <c r="W18" s="218" t="s">
        <v>195</v>
      </c>
    </row>
    <row r="19" spans="1:23" s="141" customFormat="1" x14ac:dyDescent="0.3">
      <c r="B19" s="219" t="s">
        <v>196</v>
      </c>
      <c r="C19" s="220" t="s">
        <v>197</v>
      </c>
      <c r="D19" s="221" t="s">
        <v>198</v>
      </c>
      <c r="E19" s="220" t="s">
        <v>198</v>
      </c>
      <c r="F19" s="222">
        <v>841.60006999999996</v>
      </c>
      <c r="G19" s="223">
        <f>+Perfils!$G$20</f>
        <v>59.76</v>
      </c>
      <c r="H19" s="224">
        <f>ROUND(F19*G19,2)</f>
        <v>50294.02</v>
      </c>
      <c r="I19" s="222">
        <v>500.84374000000003</v>
      </c>
      <c r="J19" s="223">
        <f>+Perfils!$G$28</f>
        <v>60.03</v>
      </c>
      <c r="K19" s="224">
        <f>ROUND(I19*J19,2)</f>
        <v>30065.65</v>
      </c>
      <c r="L19" s="222">
        <v>1249.3753099999999</v>
      </c>
      <c r="M19" s="224">
        <f>+Perfils!$G$36</f>
        <v>60.03</v>
      </c>
      <c r="N19" s="224">
        <f>ROUND(L19*M19,2)</f>
        <v>75000</v>
      </c>
      <c r="O19" s="224">
        <f>ROUND('Infraestructura-Talles'!$K$52*E17/12,2)</f>
        <v>65843.16</v>
      </c>
      <c r="P19" s="222">
        <v>1683.1999000000001</v>
      </c>
      <c r="Q19" s="223">
        <f>+Perfils!$G$42</f>
        <v>66.17</v>
      </c>
      <c r="R19" s="224">
        <f>ROUND(P19*Q19,2)</f>
        <v>111377.34</v>
      </c>
      <c r="S19" s="225">
        <f>+$B$2</f>
        <v>45467</v>
      </c>
      <c r="T19" s="225">
        <f>+$B$3</f>
        <v>45497</v>
      </c>
      <c r="U19" s="226">
        <v>1</v>
      </c>
      <c r="V19" s="227">
        <f>ROUND((F6+F7+F9+F10)/5.26/2,2)</f>
        <v>24484.81</v>
      </c>
      <c r="W19" s="181">
        <f>+H19+K19+R19+N19+O19</f>
        <v>332580.17000000004</v>
      </c>
    </row>
    <row r="20" spans="1:23" ht="15.6" x14ac:dyDescent="0.3">
      <c r="A20" s="141"/>
      <c r="B20" s="206" t="s">
        <v>199</v>
      </c>
      <c r="C20" s="228"/>
      <c r="D20" s="229"/>
      <c r="E20" s="230"/>
      <c r="F20" s="231">
        <f>SUM(F19:F19)</f>
        <v>841.60006999999996</v>
      </c>
      <c r="G20" s="231"/>
      <c r="H20" s="183">
        <f>SUM(H19:H19)</f>
        <v>50294.02</v>
      </c>
      <c r="I20" s="231">
        <f>SUM(I19:I19)</f>
        <v>500.84374000000003</v>
      </c>
      <c r="J20" s="231"/>
      <c r="K20" s="183">
        <f>SUM(K19:K19)</f>
        <v>30065.65</v>
      </c>
      <c r="L20" s="232">
        <f>SUM(L19:L19)</f>
        <v>1249.3753099999999</v>
      </c>
      <c r="M20" s="183"/>
      <c r="N20" s="183">
        <f>SUM(N19:N19)</f>
        <v>75000</v>
      </c>
      <c r="O20" s="183">
        <f>SUM(O19:O19)</f>
        <v>65843.16</v>
      </c>
      <c r="P20" s="231">
        <f>SUM(P19:P19)</f>
        <v>1683.1999000000001</v>
      </c>
      <c r="Q20" s="231"/>
      <c r="R20" s="183">
        <f>SUM(R19:R19)</f>
        <v>111377.34</v>
      </c>
      <c r="S20" s="231"/>
      <c r="T20" s="231"/>
      <c r="U20" s="231"/>
      <c r="V20" s="183">
        <f>SUM(V19:V19)</f>
        <v>24484.81</v>
      </c>
      <c r="W20" s="183">
        <f>SUM(W19:W19)</f>
        <v>332580.17000000004</v>
      </c>
    </row>
    <row r="21" spans="1:23" x14ac:dyDescent="0.3">
      <c r="A21" s="205"/>
      <c r="B21" s="233"/>
      <c r="C21" s="234"/>
      <c r="D21" s="235"/>
      <c r="E21" s="236"/>
      <c r="F21" s="237"/>
      <c r="G21" s="237"/>
      <c r="H21" s="238"/>
      <c r="I21" s="237"/>
      <c r="J21" s="237"/>
      <c r="K21" s="238"/>
      <c r="L21" s="238"/>
      <c r="M21" s="238"/>
      <c r="N21" s="238"/>
      <c r="O21" s="238"/>
      <c r="P21" s="237"/>
      <c r="Q21" s="237"/>
      <c r="R21" s="238"/>
      <c r="S21" s="239"/>
      <c r="T21" s="239"/>
      <c r="U21" s="240"/>
      <c r="V21" s="240"/>
      <c r="W21" s="241"/>
    </row>
    <row r="22" spans="1:23" s="141" customFormat="1" x14ac:dyDescent="0.3">
      <c r="B22" s="242"/>
      <c r="C22" s="243"/>
      <c r="D22" s="244"/>
      <c r="E22" s="245" t="s">
        <v>200</v>
      </c>
      <c r="F22" s="246">
        <f>ROUND((F20/$E$17/8)/20,2)</f>
        <v>1</v>
      </c>
      <c r="G22" s="246"/>
      <c r="H22" s="246"/>
      <c r="I22" s="246">
        <f>ROUND((I20/$E$17/8)/20,2)</f>
        <v>0.6</v>
      </c>
      <c r="J22" s="246"/>
      <c r="K22" s="247"/>
      <c r="L22" s="246">
        <f>ROUND((L20/$E$17/8)/20,2)</f>
        <v>1.48</v>
      </c>
      <c r="M22" s="247"/>
      <c r="N22" s="247"/>
      <c r="O22" s="247"/>
      <c r="P22" s="246">
        <f>ROUND((P20/$E$17/8)/20,2)</f>
        <v>2</v>
      </c>
      <c r="Q22" s="223"/>
      <c r="R22" s="246"/>
      <c r="S22" s="246">
        <f>SUM(I22:R22)</f>
        <v>4.08</v>
      </c>
      <c r="T22" s="248"/>
      <c r="U22" s="249"/>
      <c r="V22" s="249"/>
    </row>
    <row r="23" spans="1:23" s="141" customFormat="1" x14ac:dyDescent="0.3">
      <c r="B23" s="242"/>
      <c r="C23" s="243"/>
      <c r="D23" s="244"/>
      <c r="E23" s="250"/>
      <c r="F23" s="223"/>
      <c r="G23" s="223"/>
      <c r="H23" s="224"/>
      <c r="I23" s="223"/>
      <c r="J23" s="223"/>
      <c r="K23" s="224"/>
      <c r="L23" s="224"/>
      <c r="M23" s="224"/>
      <c r="N23" s="224"/>
      <c r="O23" s="224"/>
      <c r="P23" s="223"/>
      <c r="Q23" s="223"/>
      <c r="R23" s="251"/>
      <c r="S23" s="248"/>
      <c r="T23" s="248"/>
      <c r="U23" s="249"/>
      <c r="V23" s="249"/>
    </row>
    <row r="24" spans="1:23" s="141" customFormat="1" x14ac:dyDescent="0.3">
      <c r="A24" s="136"/>
      <c r="B24" s="132"/>
      <c r="C24" s="146"/>
      <c r="D24" s="136"/>
      <c r="E24" s="146"/>
      <c r="F24" s="136"/>
      <c r="G24" s="136"/>
      <c r="H24" s="136"/>
      <c r="I24" s="136"/>
      <c r="J24" s="136"/>
      <c r="K24" s="136"/>
      <c r="L24" s="136"/>
      <c r="M24" s="136"/>
      <c r="N24" s="136"/>
      <c r="O24" s="136"/>
      <c r="P24" s="136"/>
      <c r="Q24" s="136"/>
      <c r="R24" s="136"/>
      <c r="S24" s="136"/>
      <c r="T24" s="136"/>
      <c r="U24" s="132"/>
      <c r="V24" s="249"/>
      <c r="W24" s="136"/>
    </row>
    <row r="25" spans="1:23" s="141" customFormat="1" ht="15.6" x14ac:dyDescent="0.3">
      <c r="A25" s="200" t="s">
        <v>201</v>
      </c>
      <c r="B25" s="201"/>
      <c r="C25" s="202"/>
      <c r="D25" s="203" t="s">
        <v>178</v>
      </c>
      <c r="E25" s="204">
        <v>12</v>
      </c>
      <c r="F25" s="134"/>
      <c r="G25" s="136"/>
      <c r="H25" s="136"/>
      <c r="I25" s="136"/>
      <c r="J25" s="136"/>
      <c r="K25" s="136"/>
      <c r="L25" s="136"/>
      <c r="M25" s="136"/>
      <c r="N25" s="136"/>
      <c r="O25" s="224" t="s">
        <v>202</v>
      </c>
      <c r="P25" s="136"/>
      <c r="Q25" s="136"/>
      <c r="R25" s="136"/>
      <c r="S25" s="136"/>
      <c r="T25" s="132"/>
      <c r="U25" s="136"/>
      <c r="V25" s="249"/>
    </row>
    <row r="26" spans="1:23" s="141" customFormat="1" ht="52.5" customHeight="1" x14ac:dyDescent="0.3">
      <c r="B26" s="206" t="s">
        <v>134</v>
      </c>
      <c r="C26" s="206" t="s">
        <v>179</v>
      </c>
      <c r="D26" s="206" t="s">
        <v>180</v>
      </c>
      <c r="E26" s="206" t="s">
        <v>181</v>
      </c>
      <c r="F26" s="207" t="s">
        <v>182</v>
      </c>
      <c r="G26" s="208" t="s">
        <v>183</v>
      </c>
      <c r="H26" s="209" t="s">
        <v>184</v>
      </c>
      <c r="I26" s="210" t="s">
        <v>185</v>
      </c>
      <c r="J26" s="211" t="s">
        <v>183</v>
      </c>
      <c r="K26" s="212" t="s">
        <v>186</v>
      </c>
      <c r="L26" s="207" t="s">
        <v>187</v>
      </c>
      <c r="M26" s="208" t="s">
        <v>183</v>
      </c>
      <c r="N26" s="209" t="s">
        <v>188</v>
      </c>
      <c r="O26" s="213" t="s">
        <v>189</v>
      </c>
      <c r="P26" s="214" t="s">
        <v>190</v>
      </c>
      <c r="Q26" s="215" t="s">
        <v>183</v>
      </c>
      <c r="R26" s="216" t="s">
        <v>191</v>
      </c>
      <c r="S26" s="213" t="s">
        <v>195</v>
      </c>
      <c r="T26" s="252"/>
      <c r="V26" s="249"/>
    </row>
    <row r="27" spans="1:23" x14ac:dyDescent="0.3">
      <c r="A27" s="141"/>
      <c r="B27" s="219" t="s">
        <v>196</v>
      </c>
      <c r="C27" s="220" t="s">
        <v>197</v>
      </c>
      <c r="D27" s="221" t="s">
        <v>198</v>
      </c>
      <c r="E27" s="220" t="s">
        <v>198</v>
      </c>
      <c r="F27" s="222">
        <v>1920</v>
      </c>
      <c r="G27" s="223">
        <f>+Perfils!$G$20</f>
        <v>59.76</v>
      </c>
      <c r="H27" s="224">
        <f>ROUND(F27*G27,2)</f>
        <v>114739.2</v>
      </c>
      <c r="I27" s="222">
        <v>643.09744999999998</v>
      </c>
      <c r="J27" s="223">
        <f>+Perfils!$G$28</f>
        <v>60.03</v>
      </c>
      <c r="K27" s="224">
        <f>ROUND(I27*J27,2)</f>
        <v>38605.14</v>
      </c>
      <c r="L27" s="222">
        <v>2498.7506199999998</v>
      </c>
      <c r="M27" s="224">
        <f>+Perfils!$G$36</f>
        <v>60.03</v>
      </c>
      <c r="N27" s="224">
        <f>ROUND(L27*M27,2)</f>
        <v>150000</v>
      </c>
      <c r="O27" s="224">
        <f>ROUND('Infraestructura-Talles'!$K$52*1.05,2)</f>
        <v>157723.17000000001</v>
      </c>
      <c r="P27" s="253">
        <v>3840</v>
      </c>
      <c r="Q27" s="223">
        <f>+Perfils!$G$42</f>
        <v>66.17</v>
      </c>
      <c r="R27" s="224">
        <f>ROUND(P27*Q27,2)</f>
        <v>254092.79999999999</v>
      </c>
      <c r="S27" s="181">
        <f>+H27+K27+R27+O27+N27</f>
        <v>715160.31</v>
      </c>
      <c r="T27" s="252"/>
      <c r="U27" s="141"/>
      <c r="V27" s="141"/>
      <c r="W27" s="141"/>
    </row>
    <row r="28" spans="1:23" ht="15.6" x14ac:dyDescent="0.3">
      <c r="A28" s="141"/>
      <c r="B28" s="206" t="s">
        <v>199</v>
      </c>
      <c r="C28" s="228"/>
      <c r="D28" s="229"/>
      <c r="E28" s="230"/>
      <c r="F28" s="231">
        <f>SUM(F27:F27)</f>
        <v>1920</v>
      </c>
      <c r="G28" s="231"/>
      <c r="H28" s="183">
        <f>SUM(H27:H27)</f>
        <v>114739.2</v>
      </c>
      <c r="I28" s="231">
        <f>SUM(I27:I27)</f>
        <v>643.09744999999998</v>
      </c>
      <c r="J28" s="231"/>
      <c r="K28" s="183">
        <f>SUM(K27:K27)</f>
        <v>38605.14</v>
      </c>
      <c r="L28" s="232">
        <f>SUM(L27:L27)</f>
        <v>2498.7506199999998</v>
      </c>
      <c r="M28" s="183"/>
      <c r="N28" s="183">
        <f>SUM(N27:N27)</f>
        <v>150000</v>
      </c>
      <c r="O28" s="183">
        <f>SUM(O27:O27)</f>
        <v>157723.17000000001</v>
      </c>
      <c r="P28" s="231">
        <f>SUM(P27:P27)</f>
        <v>3840</v>
      </c>
      <c r="Q28" s="231"/>
      <c r="R28" s="183">
        <f>SUM(R27:R27)</f>
        <v>254092.79999999999</v>
      </c>
      <c r="S28" s="183">
        <f>SUM(S27:S27)</f>
        <v>715160.31</v>
      </c>
      <c r="T28" s="141"/>
      <c r="U28" s="141"/>
      <c r="V28" s="141"/>
      <c r="W28" s="141"/>
    </row>
    <row r="29" spans="1:23" x14ac:dyDescent="0.3">
      <c r="A29" s="205"/>
      <c r="B29" s="233"/>
      <c r="C29" s="234"/>
      <c r="D29" s="235"/>
      <c r="E29" s="236"/>
      <c r="F29" s="237"/>
      <c r="G29" s="237"/>
      <c r="H29" s="238"/>
      <c r="I29" s="237"/>
      <c r="J29" s="237"/>
      <c r="K29" s="238"/>
      <c r="L29" s="238"/>
      <c r="M29" s="238"/>
      <c r="N29" s="238"/>
      <c r="O29" s="238"/>
      <c r="P29" s="237"/>
      <c r="Q29" s="237"/>
      <c r="R29" s="238"/>
      <c r="S29" s="239"/>
      <c r="T29" s="239"/>
      <c r="U29" s="254"/>
      <c r="V29" s="255"/>
      <c r="W29" s="205"/>
    </row>
    <row r="30" spans="1:23" x14ac:dyDescent="0.3">
      <c r="A30" s="141"/>
      <c r="B30" s="242"/>
      <c r="C30" s="243"/>
      <c r="D30" s="244"/>
      <c r="E30" s="245" t="s">
        <v>200</v>
      </c>
      <c r="F30" s="246">
        <f>ROUND((F28/$E$25/8)/20,2)</f>
        <v>1</v>
      </c>
      <c r="G30" s="246"/>
      <c r="H30" s="246"/>
      <c r="I30" s="246">
        <f>ROUND((I28/$E$25/8)/20,2)</f>
        <v>0.33</v>
      </c>
      <c r="J30" s="246"/>
      <c r="K30" s="247"/>
      <c r="L30" s="246">
        <f>ROUND((L28/$E$25/8)/20,2)</f>
        <v>1.3</v>
      </c>
      <c r="M30" s="247"/>
      <c r="N30" s="247"/>
      <c r="O30" s="247"/>
      <c r="P30" s="246">
        <f>ROUND((P28/$E$25/8)/20,2)</f>
        <v>2</v>
      </c>
      <c r="Q30" s="223"/>
      <c r="R30" s="223"/>
      <c r="S30" s="246">
        <f>ROUND(SUM(F30:R30),2)</f>
        <v>4.63</v>
      </c>
      <c r="T30" s="246"/>
      <c r="U30" s="249"/>
      <c r="V30" s="223"/>
      <c r="W30" s="141"/>
    </row>
    <row r="31" spans="1:23" s="141" customFormat="1" x14ac:dyDescent="0.3">
      <c r="B31" s="242"/>
      <c r="C31" s="243"/>
      <c r="D31" s="244"/>
      <c r="E31" s="245"/>
      <c r="F31" s="246"/>
      <c r="G31" s="246"/>
      <c r="H31" s="246"/>
      <c r="I31" s="246"/>
      <c r="J31" s="246"/>
      <c r="K31" s="247"/>
      <c r="L31" s="247"/>
      <c r="M31" s="247"/>
      <c r="N31" s="247"/>
      <c r="O31" s="247"/>
      <c r="P31" s="246"/>
      <c r="Q31" s="223"/>
      <c r="R31" s="223"/>
      <c r="S31" s="246"/>
      <c r="T31" s="246"/>
      <c r="U31" s="249"/>
      <c r="V31" s="223"/>
    </row>
    <row r="32" spans="1:23" s="141" customFormat="1" x14ac:dyDescent="0.3">
      <c r="B32" s="242"/>
      <c r="C32" s="243"/>
      <c r="D32" s="244"/>
      <c r="E32" s="245"/>
      <c r="F32" s="246"/>
      <c r="G32" s="246"/>
      <c r="H32" s="246"/>
      <c r="I32" s="246"/>
      <c r="J32" s="246"/>
      <c r="K32" s="247"/>
      <c r="L32" s="247"/>
      <c r="M32" s="247"/>
      <c r="N32" s="247"/>
      <c r="O32" s="247"/>
      <c r="P32" s="246"/>
      <c r="Q32" s="223"/>
      <c r="R32" s="223"/>
      <c r="S32" s="246"/>
      <c r="T32" s="246"/>
      <c r="U32" s="249"/>
      <c r="V32" s="223"/>
    </row>
    <row r="33" spans="1:23" s="141" customFormat="1" ht="15.6" x14ac:dyDescent="0.3">
      <c r="A33" s="200" t="s">
        <v>203</v>
      </c>
      <c r="B33" s="201"/>
      <c r="C33" s="202"/>
      <c r="D33" s="203" t="s">
        <v>178</v>
      </c>
      <c r="E33" s="204">
        <v>12</v>
      </c>
      <c r="F33" s="134"/>
      <c r="G33" s="136"/>
      <c r="H33" s="136"/>
      <c r="I33" s="136"/>
      <c r="J33" s="136"/>
      <c r="K33" s="136"/>
      <c r="L33" s="136"/>
      <c r="M33" s="136"/>
      <c r="N33" s="136"/>
      <c r="O33" s="224" t="s">
        <v>202</v>
      </c>
      <c r="P33" s="136"/>
      <c r="Q33" s="136"/>
      <c r="R33" s="136"/>
      <c r="S33" s="136"/>
      <c r="T33" s="246"/>
      <c r="U33" s="249"/>
      <c r="V33" s="223"/>
    </row>
    <row r="34" spans="1:23" s="141" customFormat="1" ht="52.5" customHeight="1" x14ac:dyDescent="0.3">
      <c r="B34" s="206" t="s">
        <v>134</v>
      </c>
      <c r="C34" s="206" t="s">
        <v>179</v>
      </c>
      <c r="D34" s="206" t="s">
        <v>180</v>
      </c>
      <c r="E34" s="206" t="s">
        <v>181</v>
      </c>
      <c r="F34" s="207" t="s">
        <v>182</v>
      </c>
      <c r="G34" s="208" t="s">
        <v>183</v>
      </c>
      <c r="H34" s="209" t="s">
        <v>184</v>
      </c>
      <c r="I34" s="210" t="s">
        <v>185</v>
      </c>
      <c r="J34" s="211" t="s">
        <v>183</v>
      </c>
      <c r="K34" s="212" t="s">
        <v>186</v>
      </c>
      <c r="L34" s="207" t="s">
        <v>187</v>
      </c>
      <c r="M34" s="208" t="s">
        <v>183</v>
      </c>
      <c r="N34" s="209" t="s">
        <v>188</v>
      </c>
      <c r="O34" s="213" t="s">
        <v>189</v>
      </c>
      <c r="P34" s="214" t="s">
        <v>190</v>
      </c>
      <c r="Q34" s="215" t="s">
        <v>183</v>
      </c>
      <c r="R34" s="216" t="s">
        <v>191</v>
      </c>
      <c r="S34" s="213" t="s">
        <v>195</v>
      </c>
      <c r="T34" s="246"/>
      <c r="U34" s="249"/>
      <c r="V34" s="223"/>
    </row>
    <row r="35" spans="1:23" s="25" customFormat="1" x14ac:dyDescent="0.3">
      <c r="A35" s="141"/>
      <c r="B35" s="219" t="s">
        <v>196</v>
      </c>
      <c r="C35" s="220" t="s">
        <v>197</v>
      </c>
      <c r="D35" s="221" t="s">
        <v>198</v>
      </c>
      <c r="E35" s="220" t="s">
        <v>198</v>
      </c>
      <c r="F35" s="222">
        <v>1920</v>
      </c>
      <c r="G35" s="223">
        <f>+Perfils!$G$20</f>
        <v>59.76</v>
      </c>
      <c r="H35" s="224">
        <f>ROUND(F35*G35,2)</f>
        <v>114739.2</v>
      </c>
      <c r="I35" s="222">
        <v>311.82709</v>
      </c>
      <c r="J35" s="223">
        <f>+Perfils!$G$28</f>
        <v>60.03</v>
      </c>
      <c r="K35" s="224">
        <f>ROUND(I35*J35,2)</f>
        <v>18718.98</v>
      </c>
      <c r="L35" s="222">
        <v>2498.7506199999998</v>
      </c>
      <c r="M35" s="224">
        <f>+Perfils!$G$36</f>
        <v>60.03</v>
      </c>
      <c r="N35" s="224">
        <f>ROUND(L35*M35,2)</f>
        <v>150000</v>
      </c>
      <c r="O35" s="224">
        <f>ROUND('Infraestructura-Talles'!$K$52*1.05*1.05,2)</f>
        <v>165609.32999999999</v>
      </c>
      <c r="P35" s="253">
        <v>3840</v>
      </c>
      <c r="Q35" s="223">
        <f>+Perfils!$G$42</f>
        <v>66.17</v>
      </c>
      <c r="R35" s="224">
        <f>ROUND(P35*Q35,2)</f>
        <v>254092.79999999999</v>
      </c>
      <c r="S35" s="181">
        <f>+H35+K35+R35+O35+N35</f>
        <v>703160.30999999994</v>
      </c>
      <c r="T35" s="246"/>
      <c r="U35" s="249"/>
      <c r="V35" s="223"/>
      <c r="W35" s="141"/>
    </row>
    <row r="36" spans="1:23" s="141" customFormat="1" ht="15.6" x14ac:dyDescent="0.3">
      <c r="B36" s="206" t="s">
        <v>199</v>
      </c>
      <c r="C36" s="228"/>
      <c r="D36" s="229"/>
      <c r="E36" s="230"/>
      <c r="F36" s="231">
        <f>SUM(F35:F35)</f>
        <v>1920</v>
      </c>
      <c r="G36" s="231"/>
      <c r="H36" s="183">
        <f>SUM(H35:H35)</f>
        <v>114739.2</v>
      </c>
      <c r="I36" s="231">
        <f>SUM(I35:I35)</f>
        <v>311.82709</v>
      </c>
      <c r="J36" s="231"/>
      <c r="K36" s="183">
        <f>SUM(K35:K35)</f>
        <v>18718.98</v>
      </c>
      <c r="L36" s="232">
        <f>SUM(L35:L35)</f>
        <v>2498.7506199999998</v>
      </c>
      <c r="M36" s="183"/>
      <c r="N36" s="183">
        <f>SUM(N35:N35)</f>
        <v>150000</v>
      </c>
      <c r="O36" s="183">
        <f>SUM(O35:O35)</f>
        <v>165609.32999999999</v>
      </c>
      <c r="P36" s="231">
        <f>SUM(P35:P35)</f>
        <v>3840</v>
      </c>
      <c r="Q36" s="231"/>
      <c r="R36" s="183">
        <f>SUM(R35:R35)</f>
        <v>254092.79999999999</v>
      </c>
      <c r="S36" s="183">
        <f>SUM(S35:S35)</f>
        <v>703160.30999999994</v>
      </c>
      <c r="T36" s="246"/>
      <c r="U36" s="249"/>
      <c r="V36" s="223"/>
    </row>
    <row r="37" spans="1:23" s="205" customFormat="1" x14ac:dyDescent="0.3">
      <c r="B37" s="233"/>
      <c r="C37" s="234"/>
      <c r="D37" s="235"/>
      <c r="E37" s="236"/>
      <c r="F37" s="237"/>
      <c r="G37" s="237"/>
      <c r="H37" s="238"/>
      <c r="I37" s="237"/>
      <c r="J37" s="237"/>
      <c r="K37" s="238"/>
      <c r="L37" s="238"/>
      <c r="M37" s="238"/>
      <c r="N37" s="238"/>
      <c r="O37" s="256"/>
      <c r="P37" s="237"/>
      <c r="Q37" s="237"/>
      <c r="R37" s="238"/>
      <c r="S37" s="239"/>
      <c r="T37" s="257"/>
      <c r="U37" s="254"/>
      <c r="V37" s="237"/>
    </row>
    <row r="38" spans="1:23" s="141" customFormat="1" x14ac:dyDescent="0.3">
      <c r="B38" s="242"/>
      <c r="C38" s="243"/>
      <c r="D38" s="244"/>
      <c r="E38" s="245" t="s">
        <v>200</v>
      </c>
      <c r="F38" s="246">
        <f>ROUND((F36/$E$33/8)/20,2)</f>
        <v>1</v>
      </c>
      <c r="G38" s="246"/>
      <c r="H38" s="246"/>
      <c r="I38" s="246">
        <f>ROUND((I36/$E$33/8)/20,2)</f>
        <v>0.16</v>
      </c>
      <c r="J38" s="246"/>
      <c r="K38" s="247"/>
      <c r="L38" s="246">
        <f>ROUND((L36/$E$33/8)/20,2)</f>
        <v>1.3</v>
      </c>
      <c r="M38" s="247"/>
      <c r="N38" s="247"/>
      <c r="O38" s="247"/>
      <c r="P38" s="246">
        <f>ROUND((P36/$E$33/8)/20,2)</f>
        <v>2</v>
      </c>
      <c r="Q38" s="223"/>
      <c r="R38" s="223"/>
      <c r="S38" s="246">
        <f>ROUND(SUM(F38:R38),2)</f>
        <v>4.46</v>
      </c>
      <c r="T38" s="246"/>
      <c r="U38" s="249"/>
      <c r="V38" s="223"/>
    </row>
    <row r="39" spans="1:23" s="141" customFormat="1" x14ac:dyDescent="0.3">
      <c r="B39" s="242"/>
      <c r="C39" s="243"/>
      <c r="D39" s="244"/>
      <c r="E39" s="245"/>
      <c r="F39" s="246"/>
      <c r="G39" s="246"/>
      <c r="H39" s="246"/>
      <c r="I39" s="246"/>
      <c r="J39" s="246"/>
      <c r="K39" s="247"/>
      <c r="L39" s="247"/>
      <c r="M39" s="247"/>
      <c r="N39" s="247"/>
      <c r="O39" s="247"/>
      <c r="P39" s="246"/>
      <c r="Q39" s="223"/>
      <c r="R39" s="223"/>
      <c r="S39" s="246"/>
      <c r="T39" s="246"/>
      <c r="U39" s="249"/>
      <c r="V39" s="223"/>
    </row>
    <row r="40" spans="1:23" x14ac:dyDescent="0.3">
      <c r="A40" s="136"/>
      <c r="B40" s="132"/>
      <c r="C40" s="133"/>
      <c r="D40" s="134"/>
      <c r="E40" s="133"/>
      <c r="F40" s="135"/>
      <c r="H40" s="134"/>
      <c r="P40" s="258"/>
      <c r="U40" s="136"/>
    </row>
    <row r="41" spans="1:23" ht="15.6" x14ac:dyDescent="0.3">
      <c r="A41" s="200" t="s">
        <v>204</v>
      </c>
      <c r="B41" s="201"/>
      <c r="C41" s="202"/>
      <c r="D41" s="203" t="s">
        <v>178</v>
      </c>
      <c r="E41" s="204">
        <v>5.74</v>
      </c>
      <c r="O41" s="224" t="s">
        <v>202</v>
      </c>
      <c r="T41" s="141"/>
      <c r="U41" s="141"/>
    </row>
    <row r="42" spans="1:23" ht="52.5" customHeight="1" x14ac:dyDescent="0.3">
      <c r="A42" s="141"/>
      <c r="B42" s="206" t="s">
        <v>134</v>
      </c>
      <c r="C42" s="206" t="s">
        <v>179</v>
      </c>
      <c r="D42" s="206" t="s">
        <v>180</v>
      </c>
      <c r="E42" s="206" t="s">
        <v>181</v>
      </c>
      <c r="F42" s="207" t="s">
        <v>182</v>
      </c>
      <c r="G42" s="208" t="s">
        <v>183</v>
      </c>
      <c r="H42" s="209" t="s">
        <v>184</v>
      </c>
      <c r="I42" s="210" t="s">
        <v>185</v>
      </c>
      <c r="J42" s="211" t="s">
        <v>183</v>
      </c>
      <c r="K42" s="212" t="s">
        <v>186</v>
      </c>
      <c r="L42" s="207" t="s">
        <v>187</v>
      </c>
      <c r="M42" s="208" t="s">
        <v>183</v>
      </c>
      <c r="N42" s="209" t="s">
        <v>188</v>
      </c>
      <c r="O42" s="213" t="s">
        <v>189</v>
      </c>
      <c r="P42" s="214" t="s">
        <v>190</v>
      </c>
      <c r="Q42" s="215" t="s">
        <v>183</v>
      </c>
      <c r="R42" s="216" t="s">
        <v>191</v>
      </c>
      <c r="S42" s="213" t="s">
        <v>195</v>
      </c>
      <c r="T42" s="252"/>
      <c r="U42" s="141"/>
      <c r="V42" s="141"/>
      <c r="W42" s="141"/>
    </row>
    <row r="43" spans="1:23" s="141" customFormat="1" x14ac:dyDescent="0.3">
      <c r="B43" s="219" t="s">
        <v>196</v>
      </c>
      <c r="C43" s="220" t="s">
        <v>197</v>
      </c>
      <c r="D43" s="221" t="s">
        <v>198</v>
      </c>
      <c r="E43" s="220" t="s">
        <v>198</v>
      </c>
      <c r="F43" s="222">
        <v>918.39993000000004</v>
      </c>
      <c r="G43" s="223">
        <f>+Perfils!$G$20</f>
        <v>59.76</v>
      </c>
      <c r="H43" s="224">
        <f>ROUND(F43*G43,2)</f>
        <v>54883.58</v>
      </c>
      <c r="I43" s="222">
        <v>83.176410000000004</v>
      </c>
      <c r="J43" s="223">
        <f>+Perfils!$G$28</f>
        <v>60.03</v>
      </c>
      <c r="K43" s="224">
        <f>ROUND(I43*J43,2)</f>
        <v>4993.08</v>
      </c>
      <c r="L43" s="222">
        <v>1195.2357199999999</v>
      </c>
      <c r="M43" s="224">
        <f>+Perfils!$G$36</f>
        <v>60.03</v>
      </c>
      <c r="N43" s="224">
        <f>ROUND(L43*M43,2)</f>
        <v>71750</v>
      </c>
      <c r="O43" s="224">
        <f>ROUND('Infraestructura-Talles'!$K$52/12*$E$41*1.05*1.05*1.05,2)+0.01</f>
        <v>83177.289999999994</v>
      </c>
      <c r="P43" s="222">
        <v>1836.80006</v>
      </c>
      <c r="Q43" s="223">
        <f>+Perfils!$G$42</f>
        <v>66.17</v>
      </c>
      <c r="R43" s="224">
        <f>ROUND(P43*Q43,2)</f>
        <v>121541.06</v>
      </c>
      <c r="S43" s="181">
        <f>+H43+K43+R43+O43+N43</f>
        <v>336345.01</v>
      </c>
      <c r="T43" s="252"/>
    </row>
    <row r="44" spans="1:23" s="141" customFormat="1" ht="15.6" x14ac:dyDescent="0.3">
      <c r="B44" s="206" t="s">
        <v>199</v>
      </c>
      <c r="C44" s="228"/>
      <c r="D44" s="229"/>
      <c r="E44" s="230"/>
      <c r="F44" s="231">
        <f>SUM(F43:F43)</f>
        <v>918.39993000000004</v>
      </c>
      <c r="G44" s="231"/>
      <c r="H44" s="183">
        <f>SUM(H43:H43)</f>
        <v>54883.58</v>
      </c>
      <c r="I44" s="231">
        <f>SUM(I43:I43)</f>
        <v>83.176410000000004</v>
      </c>
      <c r="J44" s="231"/>
      <c r="K44" s="183">
        <f>SUM(K43:K43)</f>
        <v>4993.08</v>
      </c>
      <c r="L44" s="232">
        <f>SUM(L43:L43)</f>
        <v>1195.2357199999999</v>
      </c>
      <c r="M44" s="183"/>
      <c r="N44" s="183">
        <f>SUM(N43:N43)</f>
        <v>71750</v>
      </c>
      <c r="O44" s="183">
        <f>SUM(O43:O43)</f>
        <v>83177.289999999994</v>
      </c>
      <c r="P44" s="231">
        <f>SUM(P43:P43)</f>
        <v>1836.80006</v>
      </c>
      <c r="Q44" s="231"/>
      <c r="R44" s="183">
        <f>SUM(R43:R43)</f>
        <v>121541.06</v>
      </c>
      <c r="S44" s="183">
        <f>SUM(S43:S43)</f>
        <v>336345.01</v>
      </c>
    </row>
    <row r="45" spans="1:23" s="205" customFormat="1" x14ac:dyDescent="0.3">
      <c r="B45" s="233"/>
      <c r="C45" s="234"/>
      <c r="D45" s="235"/>
      <c r="E45" s="236"/>
      <c r="F45" s="237"/>
      <c r="G45" s="237"/>
      <c r="H45" s="238"/>
      <c r="I45" s="237"/>
      <c r="J45" s="237"/>
      <c r="K45" s="238"/>
      <c r="L45" s="238"/>
      <c r="M45" s="238"/>
      <c r="N45" s="238"/>
      <c r="O45" s="256"/>
      <c r="P45" s="237"/>
      <c r="Q45" s="237"/>
      <c r="R45" s="238"/>
      <c r="S45" s="241"/>
    </row>
    <row r="46" spans="1:23" s="141" customFormat="1" x14ac:dyDescent="0.3">
      <c r="B46" s="242"/>
      <c r="C46" s="243"/>
      <c r="D46" s="244"/>
      <c r="E46" s="245" t="s">
        <v>200</v>
      </c>
      <c r="F46" s="246">
        <f>ROUND((F44/$E$41/8)/20,2)</f>
        <v>1</v>
      </c>
      <c r="G46" s="246"/>
      <c r="H46" s="246"/>
      <c r="I46" s="246">
        <f>ROUND((I44/$E$41/8)/20,2)</f>
        <v>0.09</v>
      </c>
      <c r="J46" s="246"/>
      <c r="K46" s="247"/>
      <c r="L46" s="246">
        <f>ROUND((L44/$E$41/8)/20,2)</f>
        <v>1.3</v>
      </c>
      <c r="M46" s="247"/>
      <c r="N46" s="247"/>
      <c r="O46" s="259"/>
      <c r="P46" s="246">
        <f>ROUND((P44/$E$41/8)/20,2)</f>
        <v>2</v>
      </c>
      <c r="Q46" s="223"/>
      <c r="R46" s="223"/>
      <c r="S46" s="246">
        <f>ROUND(SUM(F46:R46),2)</f>
        <v>4.3899999999999997</v>
      </c>
    </row>
    <row r="47" spans="1:23" s="141" customFormat="1" x14ac:dyDescent="0.3">
      <c r="A47" s="136"/>
      <c r="B47" s="132"/>
      <c r="C47" s="133"/>
      <c r="D47" s="134"/>
      <c r="E47" s="133"/>
      <c r="F47" s="135"/>
      <c r="G47" s="134"/>
      <c r="H47" s="134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</row>
    <row r="48" spans="1:23" x14ac:dyDescent="0.3">
      <c r="U48" s="136"/>
    </row>
    <row r="49" spans="1:23" ht="15.6" x14ac:dyDescent="0.3">
      <c r="A49" s="154" t="s">
        <v>154</v>
      </c>
      <c r="B49" s="260"/>
      <c r="C49" s="156"/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156"/>
      <c r="S49" s="156"/>
      <c r="U49" s="136"/>
    </row>
    <row r="50" spans="1:23" ht="15.6" x14ac:dyDescent="0.3">
      <c r="A50" s="154" t="s">
        <v>205</v>
      </c>
      <c r="B50" s="260"/>
      <c r="C50" s="156"/>
      <c r="D50" s="203" t="s">
        <v>178</v>
      </c>
      <c r="E50" s="204">
        <v>6.26</v>
      </c>
    </row>
    <row r="51" spans="1:23" ht="52.5" customHeight="1" x14ac:dyDescent="0.3">
      <c r="A51" s="141"/>
      <c r="B51" s="206" t="s">
        <v>134</v>
      </c>
      <c r="C51" s="206" t="s">
        <v>179</v>
      </c>
      <c r="D51" s="206" t="s">
        <v>180</v>
      </c>
      <c r="E51" s="206" t="s">
        <v>181</v>
      </c>
      <c r="F51" s="207" t="s">
        <v>182</v>
      </c>
      <c r="G51" s="208" t="s">
        <v>183</v>
      </c>
      <c r="H51" s="209" t="s">
        <v>184</v>
      </c>
      <c r="I51" s="210" t="s">
        <v>185</v>
      </c>
      <c r="J51" s="211" t="s">
        <v>183</v>
      </c>
      <c r="K51" s="212" t="s">
        <v>186</v>
      </c>
      <c r="L51" s="207" t="s">
        <v>187</v>
      </c>
      <c r="M51" s="208" t="s">
        <v>183</v>
      </c>
      <c r="N51" s="209" t="s">
        <v>188</v>
      </c>
      <c r="O51" s="213" t="s">
        <v>189</v>
      </c>
      <c r="P51" s="214" t="s">
        <v>190</v>
      </c>
      <c r="Q51" s="215" t="s">
        <v>183</v>
      </c>
      <c r="R51" s="216" t="s">
        <v>191</v>
      </c>
      <c r="S51" s="213" t="s">
        <v>195</v>
      </c>
      <c r="T51" s="252"/>
      <c r="U51" s="141"/>
      <c r="V51" s="141"/>
      <c r="W51" s="141"/>
    </row>
    <row r="52" spans="1:23" x14ac:dyDescent="0.3">
      <c r="A52" s="141"/>
      <c r="B52" s="219" t="s">
        <v>196</v>
      </c>
      <c r="C52" s="220" t="s">
        <v>197</v>
      </c>
      <c r="D52" s="221" t="s">
        <v>198</v>
      </c>
      <c r="E52" s="220" t="s">
        <v>198</v>
      </c>
      <c r="F52" s="222">
        <f>ROUND(F43/$E$41*$E$50,5)+0.0001</f>
        <v>1001.60002</v>
      </c>
      <c r="G52" s="223">
        <f>+Perfils!$G$20</f>
        <v>59.76</v>
      </c>
      <c r="H52" s="224">
        <f>ROUND(F52*G52,2)</f>
        <v>59855.62</v>
      </c>
      <c r="I52" s="222">
        <f>ROUND(I43/$E$41*$E$50,5)</f>
        <v>90.711560000000006</v>
      </c>
      <c r="J52" s="223">
        <f>+Perfils!$G$28</f>
        <v>60.03</v>
      </c>
      <c r="K52" s="224">
        <f>ROUND(I52*J52,2)</f>
        <v>5445.41</v>
      </c>
      <c r="L52" s="222">
        <f>ROUND(L43/$E$41*$E$50,5)</f>
        <v>1303.5149100000001</v>
      </c>
      <c r="M52" s="224">
        <f>+Perfils!$G$36</f>
        <v>60.03</v>
      </c>
      <c r="N52" s="224">
        <f>ROUND(L52*M52,2)</f>
        <v>78250</v>
      </c>
      <c r="O52" s="224">
        <f>O35*1.05-O43</f>
        <v>90712.506500000003</v>
      </c>
      <c r="P52" s="222">
        <f>ROUND(P43/$E$41*$E$50,5)-0.0001</f>
        <v>2003.1999700000001</v>
      </c>
      <c r="Q52" s="223">
        <f>+Perfils!$G$42</f>
        <v>66.17</v>
      </c>
      <c r="R52" s="224">
        <f>ROUND(P52*Q52,2)</f>
        <v>132551.74</v>
      </c>
      <c r="S52" s="181">
        <f>+H52+K52+R52+O52+N52</f>
        <v>366815.27649999998</v>
      </c>
      <c r="T52" s="252"/>
      <c r="U52" s="141"/>
      <c r="V52" s="141"/>
      <c r="W52" s="141"/>
    </row>
    <row r="53" spans="1:23" ht="15.6" x14ac:dyDescent="0.3">
      <c r="A53" s="141"/>
      <c r="B53" s="206" t="s">
        <v>199</v>
      </c>
      <c r="C53" s="228"/>
      <c r="D53" s="229"/>
      <c r="E53" s="230"/>
      <c r="F53" s="231">
        <f>SUM(F52:F52)</f>
        <v>1001.60002</v>
      </c>
      <c r="G53" s="231"/>
      <c r="H53" s="183">
        <f>SUM(H52:H52)</f>
        <v>59855.62</v>
      </c>
      <c r="I53" s="231">
        <f>SUM(I52:I52)</f>
        <v>90.711560000000006</v>
      </c>
      <c r="J53" s="231"/>
      <c r="K53" s="183">
        <f>SUM(K52:K52)</f>
        <v>5445.41</v>
      </c>
      <c r="L53" s="232">
        <f>SUM(L52:L52)</f>
        <v>1303.5149100000001</v>
      </c>
      <c r="M53" s="183"/>
      <c r="N53" s="183">
        <f>SUM(N52:N52)</f>
        <v>78250</v>
      </c>
      <c r="O53" s="183">
        <f>SUM(O52:O52)</f>
        <v>90712.506500000003</v>
      </c>
      <c r="P53" s="231">
        <f>SUM(P52:P52)</f>
        <v>2003.1999700000001</v>
      </c>
      <c r="Q53" s="231"/>
      <c r="R53" s="183">
        <f>SUM(R52:R52)</f>
        <v>132551.74</v>
      </c>
      <c r="S53" s="183">
        <f>SUM(S52:S52)</f>
        <v>366815.27649999998</v>
      </c>
      <c r="T53" s="141"/>
      <c r="U53" s="141"/>
      <c r="V53" s="141"/>
      <c r="W53" s="141"/>
    </row>
    <row r="54" spans="1:23" s="261" customFormat="1" x14ac:dyDescent="0.3">
      <c r="A54" s="205"/>
      <c r="B54" s="233"/>
      <c r="C54" s="234"/>
      <c r="D54" s="235"/>
      <c r="E54" s="236"/>
      <c r="F54" s="237"/>
      <c r="G54" s="237"/>
      <c r="H54" s="238"/>
      <c r="I54" s="237"/>
      <c r="J54" s="237"/>
      <c r="K54" s="238"/>
      <c r="L54" s="238"/>
      <c r="M54" s="238"/>
      <c r="N54" s="238"/>
      <c r="O54" s="238"/>
      <c r="P54" s="237"/>
      <c r="Q54" s="237"/>
      <c r="R54" s="238"/>
      <c r="S54" s="239"/>
      <c r="T54" s="239"/>
      <c r="U54" s="254"/>
      <c r="V54" s="254"/>
      <c r="W54" s="205"/>
    </row>
    <row r="55" spans="1:23" x14ac:dyDescent="0.3">
      <c r="A55" s="141"/>
      <c r="B55" s="242"/>
      <c r="C55" s="243"/>
      <c r="D55" s="244"/>
      <c r="E55" s="245" t="s">
        <v>200</v>
      </c>
      <c r="F55" s="246">
        <f>ROUND((F53/$E$50/8)/20,2)</f>
        <v>1</v>
      </c>
      <c r="G55" s="246"/>
      <c r="H55" s="246"/>
      <c r="I55" s="246">
        <f>ROUND((I53/$E$50/8)/20,2)</f>
        <v>0.09</v>
      </c>
      <c r="J55" s="246"/>
      <c r="K55" s="247"/>
      <c r="L55" s="246">
        <f>ROUND((L53/$E$50/8)/20,2)</f>
        <v>1.3</v>
      </c>
      <c r="M55" s="247"/>
      <c r="N55" s="247"/>
      <c r="O55" s="247"/>
      <c r="P55" s="246">
        <f>ROUND((P53/$E$50/8)/20,2)</f>
        <v>2</v>
      </c>
      <c r="Q55" s="223"/>
      <c r="R55" s="223"/>
      <c r="S55" s="246">
        <f>ROUND(SUM(F55:R55),2)</f>
        <v>4.3899999999999997</v>
      </c>
      <c r="T55" s="262"/>
      <c r="U55" s="249"/>
      <c r="V55" s="249"/>
      <c r="W55" s="141"/>
    </row>
    <row r="56" spans="1:23" x14ac:dyDescent="0.3">
      <c r="A56" s="141"/>
      <c r="B56" s="242"/>
      <c r="C56" s="243"/>
      <c r="D56" s="244"/>
      <c r="E56" s="250"/>
      <c r="F56" s="223"/>
      <c r="G56" s="223"/>
      <c r="H56" s="224"/>
      <c r="I56" s="223"/>
      <c r="J56" s="223"/>
      <c r="K56" s="224"/>
      <c r="L56" s="224"/>
      <c r="M56" s="224"/>
      <c r="N56" s="224"/>
      <c r="O56" s="224"/>
      <c r="P56" s="223"/>
      <c r="Q56" s="223"/>
      <c r="R56" s="251"/>
      <c r="S56" s="248"/>
      <c r="T56" s="248"/>
      <c r="U56" s="249"/>
      <c r="V56" s="249"/>
      <c r="W56" s="141"/>
    </row>
    <row r="57" spans="1:23" x14ac:dyDescent="0.3">
      <c r="A57" s="136"/>
      <c r="B57" s="132"/>
      <c r="C57" s="146"/>
      <c r="D57" s="136"/>
      <c r="E57" s="146"/>
      <c r="F57" s="136"/>
      <c r="G57" s="136"/>
      <c r="V57" s="249"/>
    </row>
    <row r="58" spans="1:23" ht="15.6" x14ac:dyDescent="0.3">
      <c r="A58" s="154" t="s">
        <v>206</v>
      </c>
      <c r="B58" s="260"/>
      <c r="C58" s="263"/>
      <c r="D58" s="203" t="s">
        <v>178</v>
      </c>
      <c r="E58" s="204">
        <v>12</v>
      </c>
      <c r="G58" s="136"/>
      <c r="T58" s="132"/>
      <c r="U58" s="136"/>
      <c r="V58" s="249"/>
      <c r="W58" s="141"/>
    </row>
    <row r="59" spans="1:23" ht="52.5" customHeight="1" x14ac:dyDescent="0.3">
      <c r="A59" s="141"/>
      <c r="B59" s="206" t="s">
        <v>134</v>
      </c>
      <c r="C59" s="206" t="s">
        <v>179</v>
      </c>
      <c r="D59" s="206" t="s">
        <v>180</v>
      </c>
      <c r="E59" s="206" t="s">
        <v>181</v>
      </c>
      <c r="F59" s="207" t="s">
        <v>182</v>
      </c>
      <c r="G59" s="208" t="s">
        <v>183</v>
      </c>
      <c r="H59" s="209" t="s">
        <v>184</v>
      </c>
      <c r="I59" s="210" t="s">
        <v>185</v>
      </c>
      <c r="J59" s="211" t="s">
        <v>183</v>
      </c>
      <c r="K59" s="212" t="s">
        <v>186</v>
      </c>
      <c r="L59" s="207" t="s">
        <v>187</v>
      </c>
      <c r="M59" s="208" t="s">
        <v>183</v>
      </c>
      <c r="N59" s="209" t="s">
        <v>188</v>
      </c>
      <c r="O59" s="213" t="s">
        <v>189</v>
      </c>
      <c r="P59" s="214" t="s">
        <v>190</v>
      </c>
      <c r="Q59" s="215" t="s">
        <v>183</v>
      </c>
      <c r="R59" s="216" t="s">
        <v>191</v>
      </c>
      <c r="S59" s="213" t="s">
        <v>195</v>
      </c>
      <c r="T59" s="252"/>
      <c r="U59" s="141"/>
      <c r="V59" s="249"/>
      <c r="W59" s="141"/>
    </row>
    <row r="60" spans="1:23" x14ac:dyDescent="0.3">
      <c r="A60" s="141"/>
      <c r="B60" s="219" t="s">
        <v>196</v>
      </c>
      <c r="C60" s="220" t="s">
        <v>197</v>
      </c>
      <c r="D60" s="221" t="s">
        <v>198</v>
      </c>
      <c r="E60" s="220" t="s">
        <v>198</v>
      </c>
      <c r="F60" s="222">
        <f>ROUND(F43/$E$41*$E$58,5)+0.0001</f>
        <v>1919.9999499999999</v>
      </c>
      <c r="G60" s="223">
        <f>+Perfils!$G$20</f>
        <v>59.76</v>
      </c>
      <c r="H60" s="224">
        <f>ROUND(F60*G60,2)</f>
        <v>114739.2</v>
      </c>
      <c r="I60" s="222">
        <f>ROUND(I43/$E$41*$E$58,5)</f>
        <v>173.88797</v>
      </c>
      <c r="J60" s="223">
        <f>+Perfils!$G$28</f>
        <v>60.03</v>
      </c>
      <c r="K60" s="224">
        <f>ROUND(I60*J60,2)</f>
        <v>10438.49</v>
      </c>
      <c r="L60" s="222">
        <f>ROUND(L43/$E$41*$E$58,5)</f>
        <v>2498.75063</v>
      </c>
      <c r="M60" s="224">
        <f>+Perfils!$G$36</f>
        <v>60.03</v>
      </c>
      <c r="N60" s="224">
        <f>ROUND(L60*M60,2)</f>
        <v>150000</v>
      </c>
      <c r="O60" s="224">
        <f>O35*1.05</f>
        <v>173889.7965</v>
      </c>
      <c r="P60" s="222">
        <f>ROUND(P43/$E$41*$E$58,5)-0.0001</f>
        <v>3840.0000299999997</v>
      </c>
      <c r="Q60" s="223">
        <f>+Perfils!$G$42</f>
        <v>66.17</v>
      </c>
      <c r="R60" s="224">
        <f>ROUND(P60*Q60,2)</f>
        <v>254092.79999999999</v>
      </c>
      <c r="S60" s="181">
        <f>+H60+K60+R60+O60+N60</f>
        <v>703160.28649999993</v>
      </c>
      <c r="T60" s="252"/>
      <c r="U60" s="141"/>
      <c r="V60" s="141"/>
      <c r="W60" s="141"/>
    </row>
    <row r="61" spans="1:23" ht="15.6" x14ac:dyDescent="0.3">
      <c r="A61" s="141"/>
      <c r="B61" s="206" t="s">
        <v>199</v>
      </c>
      <c r="C61" s="228"/>
      <c r="D61" s="229"/>
      <c r="E61" s="230"/>
      <c r="F61" s="231">
        <f>SUM(F60:F60)</f>
        <v>1919.9999499999999</v>
      </c>
      <c r="G61" s="231"/>
      <c r="H61" s="183">
        <f>SUM(H60:H60)</f>
        <v>114739.2</v>
      </c>
      <c r="I61" s="231">
        <f>SUM(I60:I60)</f>
        <v>173.88797</v>
      </c>
      <c r="J61" s="231"/>
      <c r="K61" s="183">
        <f>SUM(K60:K60)</f>
        <v>10438.49</v>
      </c>
      <c r="L61" s="232">
        <f>SUM(L60:L60)</f>
        <v>2498.75063</v>
      </c>
      <c r="M61" s="183"/>
      <c r="N61" s="183">
        <f>SUM(N60:N60)</f>
        <v>150000</v>
      </c>
      <c r="O61" s="183">
        <f>SUM(O60:O60)</f>
        <v>173889.7965</v>
      </c>
      <c r="P61" s="231">
        <f>SUM(P60:P60)</f>
        <v>3840.0000299999997</v>
      </c>
      <c r="Q61" s="231"/>
      <c r="R61" s="183">
        <f>SUM(R60:R60)</f>
        <v>254092.79999999999</v>
      </c>
      <c r="S61" s="183">
        <f>SUM(S60:S60)</f>
        <v>703160.28649999993</v>
      </c>
      <c r="T61" s="141"/>
      <c r="U61" s="141"/>
      <c r="V61" s="141"/>
      <c r="W61" s="141"/>
    </row>
    <row r="62" spans="1:23" s="261" customFormat="1" x14ac:dyDescent="0.3">
      <c r="A62" s="205"/>
      <c r="B62" s="233"/>
      <c r="C62" s="234"/>
      <c r="D62" s="235"/>
      <c r="E62" s="236"/>
      <c r="F62" s="237"/>
      <c r="G62" s="237"/>
      <c r="H62" s="238"/>
      <c r="I62" s="237"/>
      <c r="J62" s="237"/>
      <c r="K62" s="238"/>
      <c r="L62" s="238"/>
      <c r="M62" s="238"/>
      <c r="N62" s="238"/>
      <c r="O62" s="238"/>
      <c r="P62" s="237"/>
      <c r="Q62" s="237"/>
      <c r="R62" s="238"/>
      <c r="S62" s="239"/>
      <c r="T62" s="239"/>
      <c r="U62" s="254"/>
      <c r="V62" s="255"/>
      <c r="W62" s="205"/>
    </row>
    <row r="63" spans="1:23" x14ac:dyDescent="0.3">
      <c r="A63" s="141"/>
      <c r="B63" s="242"/>
      <c r="C63" s="243"/>
      <c r="D63" s="244"/>
      <c r="E63" s="245" t="s">
        <v>200</v>
      </c>
      <c r="F63" s="246">
        <f>ROUND((F61/$E$58/8)/20,2)</f>
        <v>1</v>
      </c>
      <c r="G63" s="246"/>
      <c r="H63" s="246"/>
      <c r="I63" s="246">
        <f>ROUND((I61/$E$58/8)/20,2)</f>
        <v>0.09</v>
      </c>
      <c r="J63" s="246"/>
      <c r="K63" s="247"/>
      <c r="L63" s="246">
        <f>ROUND((L61/$E$58/8)/20,2)</f>
        <v>1.3</v>
      </c>
      <c r="M63" s="247"/>
      <c r="N63" s="247"/>
      <c r="O63" s="247"/>
      <c r="P63" s="246">
        <f>ROUND((P61/$E$58/8)/20,2)</f>
        <v>2</v>
      </c>
      <c r="Q63" s="223"/>
      <c r="R63" s="223"/>
      <c r="S63" s="246">
        <f>ROUND(SUM(F63:R63),2)</f>
        <v>4.3899999999999997</v>
      </c>
      <c r="T63" s="246"/>
      <c r="U63" s="249"/>
      <c r="V63" s="223"/>
      <c r="W63" s="141"/>
    </row>
    <row r="66" spans="1:23" ht="15.6" x14ac:dyDescent="0.3">
      <c r="A66" s="154" t="s">
        <v>207</v>
      </c>
      <c r="B66" s="260"/>
      <c r="C66" s="156"/>
      <c r="D66" s="203" t="s">
        <v>178</v>
      </c>
      <c r="E66" s="204">
        <v>5.74</v>
      </c>
      <c r="T66" s="141"/>
      <c r="U66" s="141"/>
    </row>
    <row r="67" spans="1:23" ht="52.5" customHeight="1" x14ac:dyDescent="0.3">
      <c r="A67" s="141"/>
      <c r="B67" s="206" t="s">
        <v>134</v>
      </c>
      <c r="C67" s="206" t="s">
        <v>179</v>
      </c>
      <c r="D67" s="206" t="s">
        <v>180</v>
      </c>
      <c r="E67" s="206" t="s">
        <v>181</v>
      </c>
      <c r="F67" s="207" t="s">
        <v>182</v>
      </c>
      <c r="G67" s="208" t="s">
        <v>183</v>
      </c>
      <c r="H67" s="209" t="s">
        <v>184</v>
      </c>
      <c r="I67" s="210" t="s">
        <v>185</v>
      </c>
      <c r="J67" s="211" t="s">
        <v>183</v>
      </c>
      <c r="K67" s="212" t="s">
        <v>186</v>
      </c>
      <c r="L67" s="207" t="s">
        <v>187</v>
      </c>
      <c r="M67" s="208" t="s">
        <v>183</v>
      </c>
      <c r="N67" s="209" t="s">
        <v>188</v>
      </c>
      <c r="O67" s="213" t="s">
        <v>189</v>
      </c>
      <c r="P67" s="214" t="s">
        <v>190</v>
      </c>
      <c r="Q67" s="215" t="s">
        <v>183</v>
      </c>
      <c r="R67" s="216" t="s">
        <v>191</v>
      </c>
      <c r="S67" s="213" t="s">
        <v>195</v>
      </c>
      <c r="T67" s="252"/>
      <c r="U67" s="141"/>
      <c r="V67" s="141"/>
      <c r="W67" s="141"/>
    </row>
    <row r="68" spans="1:23" x14ac:dyDescent="0.3">
      <c r="A68" s="141"/>
      <c r="B68" s="219" t="s">
        <v>196</v>
      </c>
      <c r="C68" s="220" t="s">
        <v>197</v>
      </c>
      <c r="D68" s="221" t="s">
        <v>198</v>
      </c>
      <c r="E68" s="220" t="s">
        <v>198</v>
      </c>
      <c r="F68" s="222">
        <f>ROUND(F43/$E$41*$E$66,5)</f>
        <v>918.39993000000004</v>
      </c>
      <c r="G68" s="223">
        <f>+Perfils!$G$20</f>
        <v>59.76</v>
      </c>
      <c r="H68" s="224">
        <f>ROUND(F68*G68,2)</f>
        <v>54883.58</v>
      </c>
      <c r="I68" s="222">
        <f>ROUND(I43/$E$41*$E$66,5)</f>
        <v>83.176410000000004</v>
      </c>
      <c r="J68" s="223">
        <f>+Perfils!$G$28</f>
        <v>60.03</v>
      </c>
      <c r="K68" s="224">
        <f>ROUND(I68*J68,2)</f>
        <v>4993.08</v>
      </c>
      <c r="L68" s="222">
        <f>ROUND(L43/$E$41*$E$66,5)</f>
        <v>1195.2357199999999</v>
      </c>
      <c r="M68" s="224">
        <f>+Perfils!$G$36</f>
        <v>60.03</v>
      </c>
      <c r="N68" s="224">
        <f>ROUND(L68*M68,2)</f>
        <v>71750</v>
      </c>
      <c r="O68" s="224">
        <f>O60/12*E66</f>
        <v>83177.285992500008</v>
      </c>
      <c r="P68" s="222">
        <f>ROUND(P43/$E$41*$E$66,5)</f>
        <v>1836.80006</v>
      </c>
      <c r="Q68" s="223">
        <f>+Perfils!$G$42</f>
        <v>66.17</v>
      </c>
      <c r="R68" s="224">
        <f>ROUND(P68*Q68,2)</f>
        <v>121541.06</v>
      </c>
      <c r="S68" s="181">
        <f>+H68+K68+R68+O68+N68</f>
        <v>336345.0059925</v>
      </c>
      <c r="T68" s="252"/>
      <c r="U68" s="141"/>
      <c r="V68" s="141"/>
      <c r="W68" s="141"/>
    </row>
    <row r="69" spans="1:23" ht="15.6" x14ac:dyDescent="0.3">
      <c r="A69" s="141"/>
      <c r="B69" s="206" t="s">
        <v>199</v>
      </c>
      <c r="C69" s="228"/>
      <c r="D69" s="229"/>
      <c r="E69" s="230"/>
      <c r="F69" s="231">
        <f>SUM(F68:F68)</f>
        <v>918.39993000000004</v>
      </c>
      <c r="G69" s="231"/>
      <c r="H69" s="183">
        <f>SUM(H68:H68)</f>
        <v>54883.58</v>
      </c>
      <c r="I69" s="231">
        <f>SUM(I68:I68)</f>
        <v>83.176410000000004</v>
      </c>
      <c r="J69" s="231"/>
      <c r="K69" s="183">
        <f>SUM(K68:K68)</f>
        <v>4993.08</v>
      </c>
      <c r="L69" s="232">
        <f>SUM(L68:L68)</f>
        <v>1195.2357199999999</v>
      </c>
      <c r="M69" s="183"/>
      <c r="N69" s="183">
        <f>SUM(N68:N68)</f>
        <v>71750</v>
      </c>
      <c r="O69" s="183">
        <f>SUM(O68:O68)</f>
        <v>83177.285992500008</v>
      </c>
      <c r="P69" s="231">
        <f>SUM(P68:P68)</f>
        <v>1836.80006</v>
      </c>
      <c r="Q69" s="231"/>
      <c r="R69" s="183">
        <f>SUM(R68:R68)</f>
        <v>121541.06</v>
      </c>
      <c r="S69" s="183">
        <f>SUM(S68:S68)</f>
        <v>336345.0059925</v>
      </c>
      <c r="T69" s="141"/>
      <c r="U69" s="141"/>
      <c r="V69" s="141"/>
      <c r="W69" s="141"/>
    </row>
    <row r="70" spans="1:23" s="261" customFormat="1" x14ac:dyDescent="0.3">
      <c r="A70" s="205"/>
      <c r="B70" s="233"/>
      <c r="C70" s="234"/>
      <c r="D70" s="235"/>
      <c r="E70" s="236"/>
      <c r="F70" s="237"/>
      <c r="G70" s="237"/>
      <c r="H70" s="238"/>
      <c r="I70" s="237"/>
      <c r="J70" s="237"/>
      <c r="K70" s="238"/>
      <c r="L70" s="238"/>
      <c r="M70" s="238"/>
      <c r="N70" s="238"/>
      <c r="O70" s="238"/>
      <c r="P70" s="237"/>
      <c r="Q70" s="237"/>
      <c r="R70" s="238"/>
      <c r="S70" s="241"/>
      <c r="T70" s="205"/>
      <c r="U70" s="205"/>
      <c r="V70" s="205"/>
      <c r="W70" s="205"/>
    </row>
    <row r="71" spans="1:23" x14ac:dyDescent="0.3">
      <c r="A71" s="141"/>
      <c r="B71" s="242"/>
      <c r="C71" s="243"/>
      <c r="D71" s="244"/>
      <c r="E71" s="245" t="s">
        <v>200</v>
      </c>
      <c r="F71" s="246">
        <f>ROUND((F69/$E$66/8)/20,2)</f>
        <v>1</v>
      </c>
      <c r="G71" s="246"/>
      <c r="H71" s="246"/>
      <c r="I71" s="246">
        <f>ROUND((I69/$E$66/8)/20,2)</f>
        <v>0.09</v>
      </c>
      <c r="J71" s="246"/>
      <c r="K71" s="247"/>
      <c r="L71" s="246">
        <f>ROUND((L69/$E$66/8)/20,2)</f>
        <v>1.3</v>
      </c>
      <c r="M71" s="247"/>
      <c r="N71" s="247"/>
      <c r="O71" s="247"/>
      <c r="P71" s="246">
        <f>ROUND((P69/$E$66/8)/20,2)</f>
        <v>2</v>
      </c>
      <c r="Q71" s="223"/>
      <c r="R71" s="223"/>
      <c r="S71" s="246">
        <f>ROUND(SUM(F71:R71),2)</f>
        <v>4.3899999999999997</v>
      </c>
      <c r="T71" s="141"/>
      <c r="U71" s="141"/>
      <c r="V71" s="141"/>
      <c r="W71" s="141"/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68</TotalTime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criteris automàtics</vt:lpstr>
      <vt:lpstr>Perfils</vt:lpstr>
      <vt:lpstr>Infraestructura-Talles</vt:lpstr>
      <vt:lpstr>Càlcul pressupost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IBAÑEZ, FRANCISCO</dc:creator>
  <cp:lastModifiedBy>Ajuntament de Barcelona</cp:lastModifiedBy>
  <cp:revision>14</cp:revision>
  <dcterms:created xsi:type="dcterms:W3CDTF">2024-03-08T16:23:59Z</dcterms:created>
  <dcterms:modified xsi:type="dcterms:W3CDTF">2024-03-25T11:47:02Z</dcterms:modified>
  <dc:language>ca-ES</dc:language>
</cp:coreProperties>
</file>