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6" tabRatio="500"/>
  </bookViews>
  <sheets>
    <sheet name="Càlcul pressupost " sheetId="1" r:id="rId1"/>
    <sheet name="Perfils" sheetId="2" r:id="rId2"/>
    <sheet name="Infraestructura-Talles" sheetId="3" r:id="rId3"/>
    <sheet name="Taules IJ" sheetId="4" r:id="rId4"/>
    <sheet name="Costos Indirectes" sheetId="5" r:id="rId5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7" i="4" l="1"/>
  <c r="B11" i="4"/>
  <c r="B17" i="4" s="1"/>
  <c r="B6" i="4"/>
  <c r="D36" i="4"/>
  <c r="D35" i="4"/>
  <c r="D21" i="4"/>
  <c r="N10" i="4"/>
  <c r="D10" i="5"/>
  <c r="H5" i="5"/>
  <c r="C10" i="4"/>
  <c r="C9" i="4"/>
  <c r="C8" i="4"/>
  <c r="C7" i="4"/>
  <c r="B10" i="4"/>
  <c r="B9" i="4"/>
  <c r="B8" i="4"/>
  <c r="B7" i="4"/>
  <c r="C52" i="4"/>
  <c r="E40" i="4" l="1"/>
  <c r="C40" i="4"/>
  <c r="H34" i="4"/>
  <c r="H33" i="4"/>
  <c r="H32" i="4"/>
  <c r="H31" i="4"/>
  <c r="H30" i="4"/>
  <c r="H29" i="4"/>
  <c r="H28" i="4"/>
  <c r="H27" i="4"/>
  <c r="J48" i="3"/>
  <c r="K48" i="3" s="1"/>
  <c r="H48" i="3"/>
  <c r="G48" i="3" s="1"/>
  <c r="E48" i="3"/>
  <c r="K47" i="3"/>
  <c r="J47" i="3"/>
  <c r="G47" i="3"/>
  <c r="J46" i="3"/>
  <c r="K46" i="3" s="1"/>
  <c r="G46" i="3"/>
  <c r="J45" i="3"/>
  <c r="K45" i="3" s="1"/>
  <c r="G45" i="3"/>
  <c r="J44" i="3"/>
  <c r="K44" i="3" s="1"/>
  <c r="G44" i="3"/>
  <c r="G34" i="3"/>
  <c r="H34" i="3" s="1"/>
  <c r="J34" i="3" s="1"/>
  <c r="K34" i="3" s="1"/>
  <c r="G33" i="3"/>
  <c r="H33" i="3" s="1"/>
  <c r="J33" i="3" s="1"/>
  <c r="K33" i="3" s="1"/>
  <c r="G32" i="3"/>
  <c r="H32" i="3" s="1"/>
  <c r="J32" i="3" s="1"/>
  <c r="K32" i="3" s="1"/>
  <c r="G31" i="3"/>
  <c r="H31" i="3" s="1"/>
  <c r="J31" i="3" s="1"/>
  <c r="I21" i="3"/>
  <c r="G20" i="3"/>
  <c r="H20" i="3" s="1"/>
  <c r="J20" i="3" s="1"/>
  <c r="K20" i="3" s="1"/>
  <c r="H19" i="3"/>
  <c r="J19" i="3" s="1"/>
  <c r="K19" i="3" s="1"/>
  <c r="G19" i="3"/>
  <c r="G18" i="3"/>
  <c r="H18" i="3" s="1"/>
  <c r="J18" i="3" s="1"/>
  <c r="K18" i="3" s="1"/>
  <c r="H17" i="3"/>
  <c r="J17" i="3" s="1"/>
  <c r="K17" i="3" s="1"/>
  <c r="G17" i="3"/>
  <c r="G16" i="3"/>
  <c r="H16" i="3" s="1"/>
  <c r="J16" i="3" s="1"/>
  <c r="K16" i="3" s="1"/>
  <c r="H15" i="3"/>
  <c r="J15" i="3" s="1"/>
  <c r="K15" i="3" s="1"/>
  <c r="G15" i="3"/>
  <c r="G14" i="3"/>
  <c r="H14" i="3" s="1"/>
  <c r="J14" i="3" s="1"/>
  <c r="I8" i="3"/>
  <c r="K7" i="3"/>
  <c r="J7" i="3"/>
  <c r="H7" i="3"/>
  <c r="J6" i="3"/>
  <c r="K6" i="3" s="1"/>
  <c r="H6" i="3"/>
  <c r="J5" i="3"/>
  <c r="J8" i="3" s="1"/>
  <c r="H5" i="3"/>
  <c r="H42" i="2"/>
  <c r="F41" i="2"/>
  <c r="C41" i="2"/>
  <c r="F40" i="2"/>
  <c r="C40" i="2"/>
  <c r="F39" i="2"/>
  <c r="C39" i="2"/>
  <c r="F38" i="2"/>
  <c r="C38" i="2"/>
  <c r="F37" i="2"/>
  <c r="C37" i="2"/>
  <c r="H36" i="2"/>
  <c r="F35" i="2"/>
  <c r="C35" i="2"/>
  <c r="F34" i="2"/>
  <c r="C34" i="2"/>
  <c r="F33" i="2"/>
  <c r="C33" i="2"/>
  <c r="F32" i="2"/>
  <c r="E32" i="2"/>
  <c r="G32" i="2" s="1"/>
  <c r="C32" i="2"/>
  <c r="F31" i="2"/>
  <c r="C31" i="2"/>
  <c r="F30" i="2"/>
  <c r="E30" i="2"/>
  <c r="G30" i="2" s="1"/>
  <c r="C30" i="2"/>
  <c r="F29" i="2"/>
  <c r="C29" i="2"/>
  <c r="H28" i="2"/>
  <c r="F27" i="2"/>
  <c r="C27" i="2"/>
  <c r="F26" i="2"/>
  <c r="C26" i="2"/>
  <c r="F25" i="2"/>
  <c r="C25" i="2"/>
  <c r="F24" i="2"/>
  <c r="C24" i="2"/>
  <c r="F23" i="2"/>
  <c r="C23" i="2"/>
  <c r="F22" i="2"/>
  <c r="C22" i="2"/>
  <c r="F21" i="2"/>
  <c r="C21" i="2"/>
  <c r="H20" i="2"/>
  <c r="F19" i="2"/>
  <c r="C19" i="2"/>
  <c r="F18" i="2"/>
  <c r="C18" i="2"/>
  <c r="F17" i="2"/>
  <c r="E17" i="2"/>
  <c r="G17" i="2" s="1"/>
  <c r="C17" i="2"/>
  <c r="F16" i="2"/>
  <c r="C16" i="2"/>
  <c r="F15" i="2"/>
  <c r="E15" i="2"/>
  <c r="G15" i="2" s="1"/>
  <c r="C15" i="2"/>
  <c r="F14" i="2"/>
  <c r="C14" i="2"/>
  <c r="D10" i="2"/>
  <c r="E41" i="2" s="1"/>
  <c r="G41" i="2" s="1"/>
  <c r="D9" i="2"/>
  <c r="E35" i="2" s="1"/>
  <c r="G35" i="2" s="1"/>
  <c r="D8" i="2"/>
  <c r="E26" i="2" s="1"/>
  <c r="G26" i="2" s="1"/>
  <c r="D7" i="2"/>
  <c r="E33" i="2" s="1"/>
  <c r="G33" i="2" s="1"/>
  <c r="D6" i="2"/>
  <c r="E24" i="2" s="1"/>
  <c r="G24" i="2" s="1"/>
  <c r="D5" i="2"/>
  <c r="E31" i="2" s="1"/>
  <c r="G31" i="2" s="1"/>
  <c r="D4" i="2"/>
  <c r="E22" i="2" s="1"/>
  <c r="G22" i="2" s="1"/>
  <c r="D3" i="2"/>
  <c r="E29" i="2" s="1"/>
  <c r="G29" i="2" s="1"/>
  <c r="L69" i="1"/>
  <c r="L71" i="1" s="1"/>
  <c r="P68" i="1"/>
  <c r="P69" i="1" s="1"/>
  <c r="P71" i="1" s="1"/>
  <c r="L68" i="1"/>
  <c r="I68" i="1"/>
  <c r="F68" i="1"/>
  <c r="F69" i="1" s="1"/>
  <c r="F71" i="1" s="1"/>
  <c r="I61" i="1"/>
  <c r="I63" i="1" s="1"/>
  <c r="P60" i="1"/>
  <c r="P61" i="1" s="1"/>
  <c r="P63" i="1" s="1"/>
  <c r="L60" i="1"/>
  <c r="L61" i="1" s="1"/>
  <c r="L63" i="1" s="1"/>
  <c r="I60" i="1"/>
  <c r="F60" i="1"/>
  <c r="P53" i="1"/>
  <c r="P55" i="1" s="1"/>
  <c r="P52" i="1"/>
  <c r="L52" i="1"/>
  <c r="I52" i="1"/>
  <c r="I53" i="1" s="1"/>
  <c r="I55" i="1" s="1"/>
  <c r="F52" i="1"/>
  <c r="F53" i="1" s="1"/>
  <c r="F55" i="1" s="1"/>
  <c r="I46" i="1"/>
  <c r="F46" i="1"/>
  <c r="S46" i="1" s="1"/>
  <c r="P44" i="1"/>
  <c r="P46" i="1" s="1"/>
  <c r="L44" i="1"/>
  <c r="L46" i="1" s="1"/>
  <c r="I44" i="1"/>
  <c r="F44" i="1"/>
  <c r="P38" i="1"/>
  <c r="I38" i="1"/>
  <c r="P36" i="1"/>
  <c r="L36" i="1"/>
  <c r="L38" i="1" s="1"/>
  <c r="I36" i="1"/>
  <c r="F36" i="1"/>
  <c r="F38" i="1" s="1"/>
  <c r="P30" i="1"/>
  <c r="P28" i="1"/>
  <c r="L28" i="1"/>
  <c r="L30" i="1" s="1"/>
  <c r="I28" i="1"/>
  <c r="I30" i="1" s="1"/>
  <c r="F28" i="1"/>
  <c r="F30" i="1" s="1"/>
  <c r="S30" i="1" s="1"/>
  <c r="P20" i="1"/>
  <c r="P22" i="1" s="1"/>
  <c r="L20" i="1"/>
  <c r="L22" i="1" s="1"/>
  <c r="I20" i="1"/>
  <c r="I22" i="1" s="1"/>
  <c r="F20" i="1"/>
  <c r="F22" i="1" s="1"/>
  <c r="T19" i="1"/>
  <c r="S19" i="1"/>
  <c r="J21" i="3" l="1"/>
  <c r="K14" i="3"/>
  <c r="K21" i="3" s="1"/>
  <c r="K49" i="3"/>
  <c r="S71" i="1"/>
  <c r="S22" i="1"/>
  <c r="S38" i="1"/>
  <c r="J35" i="3"/>
  <c r="J52" i="3" s="1"/>
  <c r="K31" i="3"/>
  <c r="K35" i="3" s="1"/>
  <c r="J49" i="3"/>
  <c r="L53" i="1"/>
  <c r="L55" i="1" s="1"/>
  <c r="S55" i="1" s="1"/>
  <c r="I69" i="1"/>
  <c r="I71" i="1" s="1"/>
  <c r="E21" i="2"/>
  <c r="G21" i="2" s="1"/>
  <c r="E23" i="2"/>
  <c r="G23" i="2" s="1"/>
  <c r="E25" i="2"/>
  <c r="G25" i="2" s="1"/>
  <c r="E27" i="2"/>
  <c r="G27" i="2" s="1"/>
  <c r="E38" i="2"/>
  <c r="G38" i="2" s="1"/>
  <c r="E40" i="2"/>
  <c r="G40" i="2" s="1"/>
  <c r="F61" i="1"/>
  <c r="F63" i="1" s="1"/>
  <c r="S63" i="1" s="1"/>
  <c r="E19" i="2"/>
  <c r="G19" i="2" s="1"/>
  <c r="E34" i="2"/>
  <c r="G34" i="2" s="1"/>
  <c r="G36" i="2" s="1"/>
  <c r="K5" i="3"/>
  <c r="K8" i="3" s="1"/>
  <c r="K52" i="3" s="1"/>
  <c r="E37" i="2"/>
  <c r="G37" i="2" s="1"/>
  <c r="E39" i="2"/>
  <c r="G39" i="2" s="1"/>
  <c r="E14" i="2"/>
  <c r="G14" i="2" s="1"/>
  <c r="E16" i="2"/>
  <c r="G16" i="2" s="1"/>
  <c r="E18" i="2"/>
  <c r="G18" i="2" s="1"/>
  <c r="M52" i="1" l="1"/>
  <c r="N52" i="1" s="1"/>
  <c r="N53" i="1" s="1"/>
  <c r="N8" i="1" s="1"/>
  <c r="M60" i="1"/>
  <c r="N60" i="1" s="1"/>
  <c r="N61" i="1" s="1"/>
  <c r="O8" i="1" s="1"/>
  <c r="M19" i="1"/>
  <c r="N19" i="1" s="1"/>
  <c r="N20" i="1" s="1"/>
  <c r="F8" i="1" s="1"/>
  <c r="M43" i="1"/>
  <c r="N43" i="1" s="1"/>
  <c r="N44" i="1" s="1"/>
  <c r="I8" i="1" s="1"/>
  <c r="M35" i="1"/>
  <c r="N35" i="1" s="1"/>
  <c r="N36" i="1" s="1"/>
  <c r="H8" i="1" s="1"/>
  <c r="M68" i="1"/>
  <c r="N68" i="1" s="1"/>
  <c r="N69" i="1" s="1"/>
  <c r="P8" i="1" s="1"/>
  <c r="M27" i="1"/>
  <c r="N27" i="1" s="1"/>
  <c r="N28" i="1" s="1"/>
  <c r="G8" i="1" s="1"/>
  <c r="G20" i="2"/>
  <c r="O19" i="1"/>
  <c r="O20" i="1" s="1"/>
  <c r="F9" i="1" s="1"/>
  <c r="O43" i="1"/>
  <c r="O44" i="1" s="1"/>
  <c r="I9" i="1" s="1"/>
  <c r="O35" i="1"/>
  <c r="O27" i="1"/>
  <c r="O28" i="1" s="1"/>
  <c r="G9" i="1" s="1"/>
  <c r="G28" i="2"/>
  <c r="G42" i="2"/>
  <c r="G19" i="1" l="1"/>
  <c r="H19" i="1" s="1"/>
  <c r="G43" i="1"/>
  <c r="H43" i="1" s="1"/>
  <c r="G60" i="1"/>
  <c r="H60" i="1" s="1"/>
  <c r="G35" i="1"/>
  <c r="H35" i="1" s="1"/>
  <c r="G27" i="1"/>
  <c r="H27" i="1" s="1"/>
  <c r="G68" i="1"/>
  <c r="H68" i="1" s="1"/>
  <c r="G52" i="1"/>
  <c r="H52" i="1" s="1"/>
  <c r="G8" i="4"/>
  <c r="D30" i="4" s="1"/>
  <c r="J30" i="4" s="1"/>
  <c r="E8" i="4"/>
  <c r="G14" i="1"/>
  <c r="Q60" i="1"/>
  <c r="R60" i="1" s="1"/>
  <c r="R61" i="1" s="1"/>
  <c r="O10" i="1" s="1"/>
  <c r="Q19" i="1"/>
  <c r="R19" i="1" s="1"/>
  <c r="R20" i="1" s="1"/>
  <c r="F10" i="1" s="1"/>
  <c r="Q43" i="1"/>
  <c r="R43" i="1" s="1"/>
  <c r="R44" i="1" s="1"/>
  <c r="I10" i="1" s="1"/>
  <c r="Q68" i="1"/>
  <c r="R68" i="1" s="1"/>
  <c r="R69" i="1" s="1"/>
  <c r="P10" i="1" s="1"/>
  <c r="Q35" i="1"/>
  <c r="R35" i="1" s="1"/>
  <c r="R36" i="1" s="1"/>
  <c r="H10" i="1" s="1"/>
  <c r="Q27" i="1"/>
  <c r="R27" i="1" s="1"/>
  <c r="R28" i="1" s="1"/>
  <c r="G10" i="1" s="1"/>
  <c r="Q52" i="1"/>
  <c r="R52" i="1" s="1"/>
  <c r="R53" i="1" s="1"/>
  <c r="N10" i="1" s="1"/>
  <c r="Q10" i="1" s="1"/>
  <c r="R10" i="1" s="1"/>
  <c r="J35" i="1"/>
  <c r="K35" i="1" s="1"/>
  <c r="K36" i="1" s="1"/>
  <c r="H7" i="1" s="1"/>
  <c r="J27" i="1"/>
  <c r="K27" i="1" s="1"/>
  <c r="K28" i="1" s="1"/>
  <c r="G7" i="1" s="1"/>
  <c r="J68" i="1"/>
  <c r="K68" i="1" s="1"/>
  <c r="K69" i="1" s="1"/>
  <c r="P7" i="1" s="1"/>
  <c r="J52" i="1"/>
  <c r="K52" i="1" s="1"/>
  <c r="K53" i="1" s="1"/>
  <c r="N7" i="1" s="1"/>
  <c r="J19" i="1"/>
  <c r="K19" i="1" s="1"/>
  <c r="K20" i="1" s="1"/>
  <c r="F7" i="1" s="1"/>
  <c r="J60" i="1"/>
  <c r="K60" i="1" s="1"/>
  <c r="K61" i="1" s="1"/>
  <c r="O7" i="1" s="1"/>
  <c r="J43" i="1"/>
  <c r="K43" i="1" s="1"/>
  <c r="K44" i="1" s="1"/>
  <c r="I7" i="1" s="1"/>
  <c r="H14" i="1"/>
  <c r="J8" i="4"/>
  <c r="D32" i="4" s="1"/>
  <c r="J32" i="4" s="1"/>
  <c r="H8" i="4"/>
  <c r="G9" i="4"/>
  <c r="E9" i="4"/>
  <c r="F9" i="4" s="1"/>
  <c r="I14" i="1"/>
  <c r="M8" i="4"/>
  <c r="D34" i="4" s="1"/>
  <c r="J34" i="4" s="1"/>
  <c r="K8" i="4"/>
  <c r="O60" i="1"/>
  <c r="O36" i="1"/>
  <c r="H9" i="1" s="1"/>
  <c r="O52" i="1"/>
  <c r="O53" i="1" s="1"/>
  <c r="N9" i="1" s="1"/>
  <c r="J8" i="1"/>
  <c r="D8" i="4"/>
  <c r="F14" i="1"/>
  <c r="M9" i="4"/>
  <c r="K9" i="4"/>
  <c r="L9" i="4" s="1"/>
  <c r="J9" i="1"/>
  <c r="K9" i="1" s="1"/>
  <c r="D9" i="4"/>
  <c r="Q8" i="1"/>
  <c r="R8" i="1" s="1"/>
  <c r="H10" i="4" l="1"/>
  <c r="I10" i="4" s="1"/>
  <c r="J10" i="4"/>
  <c r="H53" i="1"/>
  <c r="N6" i="1" s="1"/>
  <c r="S52" i="1"/>
  <c r="S53" i="1" s="1"/>
  <c r="O68" i="1"/>
  <c r="O69" i="1" s="1"/>
  <c r="P9" i="1" s="1"/>
  <c r="O61" i="1"/>
  <c r="O9" i="1" s="1"/>
  <c r="L8" i="4"/>
  <c r="F34" i="4" s="1"/>
  <c r="E34" i="4"/>
  <c r="D7" i="4"/>
  <c r="J7" i="1"/>
  <c r="K7" i="1" s="1"/>
  <c r="H69" i="1"/>
  <c r="P6" i="1" s="1"/>
  <c r="P11" i="1" s="1"/>
  <c r="C51" i="4" s="1"/>
  <c r="D28" i="4"/>
  <c r="J28" i="4" s="1"/>
  <c r="J35" i="4" s="1"/>
  <c r="P8" i="4"/>
  <c r="Q7" i="1"/>
  <c r="R7" i="1" s="1"/>
  <c r="H28" i="1"/>
  <c r="G6" i="1" s="1"/>
  <c r="S27" i="1"/>
  <c r="S28" i="1" s="1"/>
  <c r="J14" i="1"/>
  <c r="K8" i="1"/>
  <c r="K14" i="1" s="1"/>
  <c r="D10" i="4"/>
  <c r="P10" i="4" s="1"/>
  <c r="J10" i="1"/>
  <c r="K10" i="1" s="1"/>
  <c r="S35" i="1"/>
  <c r="S36" i="1" s="1"/>
  <c r="H36" i="1"/>
  <c r="H6" i="1" s="1"/>
  <c r="G10" i="4"/>
  <c r="E10" i="4"/>
  <c r="F10" i="4" s="1"/>
  <c r="Q9" i="1"/>
  <c r="R9" i="1" s="1"/>
  <c r="I8" i="4"/>
  <c r="F32" i="4" s="1"/>
  <c r="E32" i="4"/>
  <c r="E7" i="4"/>
  <c r="F7" i="4" s="1"/>
  <c r="G7" i="4"/>
  <c r="H61" i="1"/>
  <c r="O6" i="1" s="1"/>
  <c r="O11" i="1" s="1"/>
  <c r="C50" i="4" s="1"/>
  <c r="S60" i="1"/>
  <c r="S61" i="1" s="1"/>
  <c r="M7" i="4"/>
  <c r="K7" i="4"/>
  <c r="L7" i="4" s="1"/>
  <c r="N8" i="4"/>
  <c r="E28" i="4"/>
  <c r="M10" i="4"/>
  <c r="K10" i="4"/>
  <c r="L10" i="4" s="1"/>
  <c r="H9" i="4"/>
  <c r="I9" i="4" s="1"/>
  <c r="J9" i="4"/>
  <c r="P9" i="4" s="1"/>
  <c r="J7" i="4"/>
  <c r="H7" i="4"/>
  <c r="I7" i="4" s="1"/>
  <c r="S43" i="1"/>
  <c r="S44" i="1" s="1"/>
  <c r="H44" i="1"/>
  <c r="I6" i="1" s="1"/>
  <c r="E30" i="4"/>
  <c r="F8" i="4"/>
  <c r="F30" i="4" s="1"/>
  <c r="H20" i="1"/>
  <c r="F6" i="1" s="1"/>
  <c r="W19" i="1"/>
  <c r="W20" i="1" s="1"/>
  <c r="G51" i="4" l="1"/>
  <c r="O9" i="4"/>
  <c r="S68" i="1"/>
  <c r="S69" i="1" s="1"/>
  <c r="D6" i="4"/>
  <c r="J6" i="1"/>
  <c r="V19" i="1"/>
  <c r="V20" i="1" s="1"/>
  <c r="F11" i="1"/>
  <c r="F13" i="1" s="1"/>
  <c r="G50" i="4"/>
  <c r="J6" i="4"/>
  <c r="H6" i="4"/>
  <c r="H11" i="1"/>
  <c r="H13" i="1" s="1"/>
  <c r="N9" i="4"/>
  <c r="N11" i="1"/>
  <c r="C49" i="4" s="1"/>
  <c r="Q6" i="1"/>
  <c r="M6" i="4"/>
  <c r="K6" i="4"/>
  <c r="I11" i="1"/>
  <c r="I13" i="1" s="1"/>
  <c r="O8" i="4"/>
  <c r="F28" i="4"/>
  <c r="N7" i="4"/>
  <c r="O7" i="4"/>
  <c r="O10" i="4"/>
  <c r="E6" i="4"/>
  <c r="G6" i="4"/>
  <c r="G11" i="1"/>
  <c r="G13" i="1" s="1"/>
  <c r="P7" i="4"/>
  <c r="K6" i="1" l="1"/>
  <c r="K11" i="1" s="1"/>
  <c r="K13" i="1" s="1"/>
  <c r="J11" i="1"/>
  <c r="J13" i="1" s="1"/>
  <c r="D27" i="4"/>
  <c r="P6" i="4"/>
  <c r="P11" i="4" s="1"/>
  <c r="B39" i="4" s="1"/>
  <c r="D11" i="4"/>
  <c r="D17" i="4" s="1"/>
  <c r="J11" i="4"/>
  <c r="D19" i="4" s="1"/>
  <c r="D31" i="4"/>
  <c r="I31" i="4" s="1"/>
  <c r="H11" i="4"/>
  <c r="B19" i="4" s="1"/>
  <c r="B48" i="4" s="1"/>
  <c r="E31" i="4"/>
  <c r="I6" i="4"/>
  <c r="G11" i="4"/>
  <c r="D18" i="4" s="1"/>
  <c r="D29" i="4"/>
  <c r="I29" i="4" s="1"/>
  <c r="E11" i="4"/>
  <c r="B18" i="4" s="1"/>
  <c r="B47" i="4" s="1"/>
  <c r="E29" i="4"/>
  <c r="F6" i="4"/>
  <c r="L6" i="4"/>
  <c r="E33" i="4"/>
  <c r="K11" i="4"/>
  <c r="B20" i="4" s="1"/>
  <c r="B49" i="4" s="1"/>
  <c r="C6" i="4"/>
  <c r="N6" i="4"/>
  <c r="N11" i="4" s="1"/>
  <c r="D33" i="4"/>
  <c r="I33" i="4" s="1"/>
  <c r="M11" i="4"/>
  <c r="D20" i="4" s="1"/>
  <c r="R6" i="1"/>
  <c r="R11" i="1" s="1"/>
  <c r="Q11" i="1"/>
  <c r="B21" i="4" l="1"/>
  <c r="D22" i="4" s="1"/>
  <c r="E35" i="4"/>
  <c r="E36" i="4"/>
  <c r="G48" i="4"/>
  <c r="F11" i="4"/>
  <c r="C18" i="4" s="1"/>
  <c r="F29" i="4"/>
  <c r="G47" i="4"/>
  <c r="B40" i="4"/>
  <c r="F39" i="4"/>
  <c r="F40" i="4" s="1"/>
  <c r="F41" i="4" s="1"/>
  <c r="D39" i="4"/>
  <c r="D40" i="4" s="1"/>
  <c r="D41" i="4" s="1"/>
  <c r="F33" i="4"/>
  <c r="L11" i="4"/>
  <c r="C20" i="4" s="1"/>
  <c r="O6" i="4"/>
  <c r="O11" i="4" s="1"/>
  <c r="F27" i="4"/>
  <c r="C11" i="4"/>
  <c r="C17" i="4" s="1"/>
  <c r="B46" i="4"/>
  <c r="I27" i="4"/>
  <c r="I35" i="4" s="1"/>
  <c r="K35" i="4" s="1"/>
  <c r="G49" i="4"/>
  <c r="I11" i="4"/>
  <c r="C19" i="4" s="1"/>
  <c r="F31" i="4"/>
  <c r="C21" i="4" l="1"/>
  <c r="F35" i="4"/>
  <c r="F36" i="4" s="1"/>
  <c r="B52" i="4"/>
  <c r="G46" i="4"/>
  <c r="C5" i="5"/>
  <c r="F5" i="5" s="1"/>
  <c r="D14" i="5" l="1"/>
  <c r="D5" i="5"/>
  <c r="G52" i="4"/>
  <c r="E46" i="4" s="1"/>
  <c r="D50" i="4" l="1"/>
  <c r="F50" i="4" s="1"/>
  <c r="E51" i="4"/>
  <c r="D51" i="4"/>
  <c r="F51" i="4" s="1"/>
  <c r="E50" i="4"/>
  <c r="E48" i="4"/>
  <c r="D48" i="4"/>
  <c r="F48" i="4" s="1"/>
  <c r="E47" i="4"/>
  <c r="D47" i="4"/>
  <c r="F47" i="4" s="1"/>
  <c r="D49" i="4"/>
  <c r="F49" i="4" s="1"/>
  <c r="E49" i="4"/>
  <c r="D46" i="4"/>
  <c r="D15" i="5"/>
  <c r="G5" i="5"/>
  <c r="D16" i="5" s="1"/>
  <c r="E5" i="5"/>
  <c r="I5" i="5" s="1"/>
  <c r="L5" i="5" s="1"/>
  <c r="E52" i="4" l="1"/>
  <c r="E16" i="5"/>
  <c r="D52" i="4"/>
  <c r="F46" i="4"/>
  <c r="F52" i="4" s="1"/>
  <c r="A58" i="4" s="1"/>
  <c r="J5" i="5"/>
  <c r="D9" i="5" s="1"/>
  <c r="D11" i="5"/>
  <c r="D18" i="5" s="1"/>
  <c r="E18" i="5" s="1"/>
  <c r="D60" i="4" l="1"/>
  <c r="C60" i="4"/>
  <c r="K5" i="5"/>
  <c r="D8" i="5" s="1"/>
  <c r="E11" i="5" s="1"/>
  <c r="E60" i="4" l="1"/>
  <c r="B60" i="4"/>
</calcChain>
</file>

<file path=xl/sharedStrings.xml><?xml version="1.0" encoding="utf-8"?>
<sst xmlns="http://schemas.openxmlformats.org/spreadsheetml/2006/main" count="497" uniqueCount="248">
  <si>
    <t>AM HOSTING IAAS (3 + 2)</t>
  </si>
  <si>
    <t>36 mesos</t>
  </si>
  <si>
    <t>Data inici contracte</t>
  </si>
  <si>
    <t>1 transició</t>
  </si>
  <si>
    <t>Data inici servei</t>
  </si>
  <si>
    <t>35 servei</t>
  </si>
  <si>
    <t>Data fi del contracte</t>
  </si>
  <si>
    <t>1 + 5,26</t>
  </si>
  <si>
    <t>POSSIBLE PRÒRROGA</t>
  </si>
  <si>
    <t>Data inici possible pròrroga</t>
  </si>
  <si>
    <t>Servei</t>
  </si>
  <si>
    <t>Import 2024</t>
  </si>
  <si>
    <t>Import 2025</t>
  </si>
  <si>
    <t>Import 2026</t>
  </si>
  <si>
    <t>Import 2027</t>
  </si>
  <si>
    <t>Import Total IVA inclòs</t>
  </si>
  <si>
    <t>Import Total 
IVA exclòs</t>
  </si>
  <si>
    <t>Import 2028</t>
  </si>
  <si>
    <t>Import 2029</t>
  </si>
  <si>
    <t>Import Total IVA exclòs</t>
  </si>
  <si>
    <t>Data màxima fi pròrroga</t>
  </si>
  <si>
    <t>Treball fet real en incidència. Es paga al final</t>
  </si>
  <si>
    <t>Manteniment correctiu</t>
  </si>
  <si>
    <t>Treball valorat i acceptat. Es paga al final</t>
  </si>
  <si>
    <t>Manteniment recurrent</t>
  </si>
  <si>
    <t>Serveis d'evolutius recurrents (cap.6)</t>
  </si>
  <si>
    <t>Serveis d'evolutius recurrents</t>
  </si>
  <si>
    <t>Pagament per us</t>
  </si>
  <si>
    <t>Aprovisionament infraestructura</t>
  </si>
  <si>
    <t>Tarifa plana</t>
  </si>
  <si>
    <t xml:space="preserve">Serveis Transversals de Manteniment </t>
  </si>
  <si>
    <t>Import total licitació</t>
  </si>
  <si>
    <t>Import màxim possible pròrroga</t>
  </si>
  <si>
    <t>cap 2</t>
  </si>
  <si>
    <t>cap 6</t>
  </si>
  <si>
    <t>CONTRACTE</t>
  </si>
  <si>
    <t>ANY 2024 1 mes de transició + 5,26 mesos de servei</t>
  </si>
  <si>
    <t>Mesos</t>
  </si>
  <si>
    <t>Nom Servei</t>
  </si>
  <si>
    <t>Codi Aplicació</t>
  </si>
  <si>
    <t>Nom Aplicació</t>
  </si>
  <si>
    <t>IT Manteniment correctiu</t>
  </si>
  <si>
    <t>Preu/hora</t>
  </si>
  <si>
    <t>€ Manteniment correctiu</t>
  </si>
  <si>
    <t>PT  Manteniment recurrent</t>
  </si>
  <si>
    <t>€ Manteniment recurrent</t>
  </si>
  <si>
    <t>PT  Evolutius recurrents</t>
  </si>
  <si>
    <t>€ Evolutius recurrents</t>
  </si>
  <si>
    <t>€ Aprovisionament infraestructura</t>
  </si>
  <si>
    <t xml:space="preserve">TT Serveis Transversals de Manteniment </t>
  </si>
  <si>
    <t>€ STM</t>
  </si>
  <si>
    <t>Data inici transició</t>
  </si>
  <si>
    <t>Mesos transició</t>
  </si>
  <si>
    <t>€ Transició (recurrent)</t>
  </si>
  <si>
    <t>TOTAL</t>
  </si>
  <si>
    <t>SER0188</t>
  </si>
  <si>
    <t>Infraestructures web</t>
  </si>
  <si>
    <t>-</t>
  </si>
  <si>
    <t>Total</t>
  </si>
  <si>
    <t>FTE</t>
  </si>
  <si>
    <t>ANY 2025</t>
  </si>
  <si>
    <t>+5% respecte any passat</t>
  </si>
  <si>
    <t>ANY 2026</t>
  </si>
  <si>
    <t>ANY 2027 5,74 mesos de servei</t>
  </si>
  <si>
    <t>ANY 2027 6,26 mesos de servei</t>
  </si>
  <si>
    <t>ANY 2028</t>
  </si>
  <si>
    <t>ANY 2029 5,74 mesos de servei</t>
  </si>
  <si>
    <t>Import €/hora amb IVA</t>
  </si>
  <si>
    <t>Preu/hora IVA exclòs</t>
  </si>
  <si>
    <t>Cap de projecte/Responsable del Servei</t>
  </si>
  <si>
    <t>Arquitecte</t>
  </si>
  <si>
    <t>Programador de sistemes</t>
  </si>
  <si>
    <t xml:space="preserve">Programador PHP  </t>
  </si>
  <si>
    <t>Full Stack Developer en PYTHON</t>
  </si>
  <si>
    <t>Arquitecte PYTHON</t>
  </si>
  <si>
    <t>Atenció usuaris</t>
  </si>
  <si>
    <t>(Inclou augment IPC  fins desembre-2023)</t>
  </si>
  <si>
    <t>Servei plec</t>
  </si>
  <si>
    <t>Perfil</t>
  </si>
  <si>
    <t>% dedicació</t>
  </si>
  <si>
    <t>Preu perfil 
IVA inclòs</t>
  </si>
  <si>
    <t>Preu perfil 
IVA exclòs</t>
  </si>
  <si>
    <t>Preu / hora /perfil
IVA inclòs</t>
  </si>
  <si>
    <t>Preu perfil tipus</t>
  </si>
  <si>
    <t>Servei d’aprovisionament d’infraestructura</t>
  </si>
  <si>
    <t>Infraestructura Webs CMS (PaaS)</t>
  </si>
  <si>
    <t>TALLA</t>
  </si>
  <si>
    <t>vCPU (*)</t>
  </si>
  <si>
    <t>RAM (GB) (*)</t>
  </si>
  <si>
    <t>espai disc SSD (GB) (*)</t>
  </si>
  <si>
    <t>espai BBDD 
SSD (GB) (*)</t>
  </si>
  <si>
    <t>PREU €/mes  Iva exclòs</t>
  </si>
  <si>
    <t>PREU €/mes  Iva inclòs</t>
  </si>
  <si>
    <t>Nombre unitats</t>
  </si>
  <si>
    <t>Cost total €/mes iva inclòs</t>
  </si>
  <si>
    <t>Cost total ANUAL € iva inclòs</t>
  </si>
  <si>
    <t>Web CMS Estàndard</t>
  </si>
  <si>
    <t>1/20</t>
  </si>
  <si>
    <t>50 MB</t>
  </si>
  <si>
    <t>2 Gb</t>
  </si>
  <si>
    <t>0,5 Gb</t>
  </si>
  <si>
    <t>Web CMS Estratègica</t>
  </si>
  <si>
    <t>2/20</t>
  </si>
  <si>
    <t>125 MB</t>
  </si>
  <si>
    <t>4 Gb</t>
  </si>
  <si>
    <t>1 Gb</t>
  </si>
  <si>
    <t>Web CMS entorn desenvolupament</t>
  </si>
  <si>
    <t>0,5/20</t>
  </si>
  <si>
    <t>25 MB</t>
  </si>
  <si>
    <t>(*) En promig, veure detall càlculs de recursos al plec. L'Allotjament actual és AWS</t>
  </si>
  <si>
    <t>Infraestructura Servidors Virtuals Dedicats (IaaS) i Emmagatzematge</t>
  </si>
  <si>
    <t>vCPU</t>
  </si>
  <si>
    <t>RAM (GB)</t>
  </si>
  <si>
    <t>SSD (GB)</t>
  </si>
  <si>
    <t>PROVEIDOR actual</t>
  </si>
  <si>
    <r>
      <rPr>
        <b/>
        <sz val="10"/>
        <rFont val="Arial"/>
        <family val="2"/>
        <charset val="1"/>
      </rPr>
      <t xml:space="preserve">PREU €/mes  Iva exclòs </t>
    </r>
    <r>
      <rPr>
        <i/>
        <sz val="10"/>
        <rFont val="Arial"/>
        <family val="2"/>
        <charset val="1"/>
      </rPr>
      <t>(1)</t>
    </r>
  </si>
  <si>
    <t>t3a.micro</t>
  </si>
  <si>
    <t>AWS</t>
  </si>
  <si>
    <t>t3a.small</t>
  </si>
  <si>
    <t>t3a.medium</t>
  </si>
  <si>
    <t>t3a.large</t>
  </si>
  <si>
    <t>t3a.xlarge</t>
  </si>
  <si>
    <t>t3a.2xlarge</t>
  </si>
  <si>
    <t>Servidor dedicat gran</t>
  </si>
  <si>
    <t>6 CPU</t>
  </si>
  <si>
    <t xml:space="preserve">64TB (32TB útils amb RAID) </t>
  </si>
  <si>
    <t>Hetzner</t>
  </si>
  <si>
    <t>Links preus Proveidors</t>
  </si>
  <si>
    <t>(1) Els imports son:</t>
  </si>
  <si>
    <t>https://aws.amazon.com/es/s3/pricing/?nc=sn&amp;loc=4</t>
  </si>
  <si>
    <r>
      <rPr>
        <sz val="10"/>
        <color rgb="FF8E7CC3"/>
        <rFont val="Arial"/>
        <family val="2"/>
        <charset val="1"/>
      </rPr>
      <t>el real del proveïdor AWS (</t>
    </r>
    <r>
      <rPr>
        <u/>
        <sz val="10"/>
        <color rgb="FF8E7CC3"/>
        <rFont val="Arial"/>
        <family val="2"/>
        <charset val="1"/>
      </rPr>
      <t>zona Irlanda</t>
    </r>
    <r>
      <rPr>
        <sz val="10"/>
        <color rgb="FF8E7CC3"/>
        <rFont val="Arial"/>
        <family val="2"/>
        <charset val="1"/>
      </rPr>
      <t>) en USD * conversió a Euro 0.94 (a dia 10/11/23).</t>
    </r>
  </si>
  <si>
    <t>https://aws.amazon.com/es/ec2/pricing/on-demand/</t>
  </si>
  <si>
    <r>
      <rPr>
        <sz val="10"/>
        <color rgb="FF8E7CC3"/>
        <rFont val="Arial"/>
        <family val="2"/>
        <charset val="1"/>
      </rPr>
      <t xml:space="preserve">En el cas de les EC2 s'indica el preu de </t>
    </r>
    <r>
      <rPr>
        <u/>
        <sz val="10"/>
        <color rgb="FF8E7CC3"/>
        <rFont val="Arial"/>
        <family val="2"/>
        <charset val="1"/>
      </rPr>
      <t>reserva durant un any</t>
    </r>
    <r>
      <rPr>
        <sz val="10"/>
        <color rgb="FF8E7CC3"/>
        <rFont val="Arial"/>
        <family val="2"/>
        <charset val="1"/>
      </rPr>
      <t xml:space="preserve"> que es un 33% mes barat que baix demanda.</t>
    </r>
  </si>
  <si>
    <t>https://www.hetzner.com/cloud</t>
  </si>
  <si>
    <t>El Preu incou un 10% de marge per afavorir la competència, i assumir el risc de reserva prèvia de recursos.</t>
  </si>
  <si>
    <t>https://www.digitalocean.com/pricing/</t>
  </si>
  <si>
    <r>
      <rPr>
        <sz val="10"/>
        <color rgb="FF8E7CC3"/>
        <rFont val="Arial"/>
        <family val="2"/>
        <charset val="1"/>
      </rPr>
      <t xml:space="preserve">El preu </t>
    </r>
    <r>
      <rPr>
        <u/>
        <sz val="10"/>
        <color rgb="FF8E7CC3"/>
        <rFont val="Arial"/>
        <family val="2"/>
        <charset val="1"/>
      </rPr>
      <t>inclou un disc de 50 Gb</t>
    </r>
    <r>
      <rPr>
        <sz val="10"/>
        <color rgb="FF8E7CC3"/>
        <rFont val="Arial"/>
        <family val="2"/>
        <charset val="1"/>
      </rPr>
      <t xml:space="preserve"> a cada servidor (que s'estima que incrementa el preu en 4,54€ iva inclòs cada servidor)</t>
    </r>
  </si>
  <si>
    <t>TIPUS</t>
  </si>
  <si>
    <t>PROVEIDOR</t>
  </si>
  <si>
    <r>
      <rPr>
        <b/>
        <sz val="10"/>
        <rFont val="Arial"/>
        <family val="2"/>
        <charset val="1"/>
      </rPr>
      <t xml:space="preserve">PREU € GB/mes 
IVA exclòs </t>
    </r>
    <r>
      <rPr>
        <b/>
        <i/>
        <sz val="10"/>
        <rFont val="Arial"/>
        <family val="2"/>
        <charset val="1"/>
      </rPr>
      <t>(1)</t>
    </r>
  </si>
  <si>
    <t>PREU € GB/mes 
IVA inclòs</t>
  </si>
  <si>
    <t>Volum (EBS) de propòsit general (gp3)</t>
  </si>
  <si>
    <t>EBS gpt3</t>
  </si>
  <si>
    <t>Volum (EBS) de baix rendiment (st1)</t>
  </si>
  <si>
    <t>EBS st1</t>
  </si>
  <si>
    <t>Emmagatzematge compartit en alta disponibilitat</t>
  </si>
  <si>
    <t>EFS</t>
  </si>
  <si>
    <t>Snapshots de disc</t>
  </si>
  <si>
    <t>Snapshot</t>
  </si>
  <si>
    <t>Digital Ocean</t>
  </si>
  <si>
    <t>Programari com a servei (SaaS)</t>
  </si>
  <si>
    <t>Infraestructura</t>
  </si>
  <si>
    <t>Preu €/mes iva exclòs</t>
  </si>
  <si>
    <t>Preu €/mes iva inclòs</t>
  </si>
  <si>
    <t>CDN Cloudfront</t>
  </si>
  <si>
    <t>API-Gateway</t>
  </si>
  <si>
    <t>S3, Glacier, Deep Archive (incloent peticions i operacions API)</t>
  </si>
  <si>
    <t>NextCloud Hetzner</t>
  </si>
  <si>
    <t>Hetzner (CCX)</t>
  </si>
  <si>
    <t>Cookiebot</t>
  </si>
  <si>
    <t>TOTAL Servei d’aprovisionament d’infraestructura</t>
  </si>
  <si>
    <t>(Dades "nombre unitats" de l'octubre 2023)</t>
  </si>
  <si>
    <t>Distribució de pressupost per any i per servei</t>
  </si>
  <si>
    <t>Serveis</t>
  </si>
  <si>
    <t>Import net</t>
  </si>
  <si>
    <t>IVA 21%</t>
  </si>
  <si>
    <t>Import total</t>
  </si>
  <si>
    <t>Total import net</t>
  </si>
  <si>
    <t>Total IVA 21%</t>
  </si>
  <si>
    <t>Total import contracte</t>
  </si>
  <si>
    <t>Distribució de pressupost per any</t>
  </si>
  <si>
    <t xml:space="preserve"> </t>
  </si>
  <si>
    <t>Any</t>
  </si>
  <si>
    <t>Pressupost net</t>
  </si>
  <si>
    <t>IVA</t>
  </si>
  <si>
    <t>(*) L'import total de l'IVA correspon al sumatori dels imports individuals detallats a la taula anterior (fila 11, columnes C, F, I, L) i no a l'aplicació directa de l'IVA actual del 21% sobre el pressupost net totalitzat (files 16 a 19 columna B).</t>
  </si>
  <si>
    <t>Import total (IVA inclòs)</t>
  </si>
  <si>
    <t>Període</t>
  </si>
  <si>
    <t>Capítol</t>
  </si>
  <si>
    <t>C2</t>
  </si>
  <si>
    <t>C6</t>
  </si>
  <si>
    <t>del 24-6 al 31-12</t>
  </si>
  <si>
    <t>II</t>
  </si>
  <si>
    <t>VI</t>
  </si>
  <si>
    <t>de l'1-1 al 31-12</t>
  </si>
  <si>
    <t>de l'1-1 al 31-7</t>
  </si>
  <si>
    <t>  </t>
  </si>
  <si>
    <t>Modificacions de contracte: ampliació / disminució</t>
  </si>
  <si>
    <t>Causes previstes de modificació</t>
  </si>
  <si>
    <t>Import contracte (IVA inclòs)</t>
  </si>
  <si>
    <t>% Ampliació sobre import del contracte</t>
  </si>
  <si>
    <t>Import màxim ampliació (amb IVA)</t>
  </si>
  <si>
    <t>% Disminució sobre import del contracte</t>
  </si>
  <si>
    <t>Import màxim disminució (amb IVA)</t>
  </si>
  <si>
    <t>Modificacions per augment o disminució de volumetries en Serveis/Aplicacions, en llicències, o en càrregues de treball</t>
  </si>
  <si>
    <t> TOTAL</t>
  </si>
  <si>
    <t>IVA EXCLÒS</t>
  </si>
  <si>
    <t>VEC</t>
  </si>
  <si>
    <t>VE prestació</t>
  </si>
  <si>
    <t>VE eventuals pròrrogues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</si>
  <si>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</si>
  <si>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</si>
  <si>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</si>
  <si>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</si>
  <si>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</si>
  <si>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</si>
  <si>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</si>
  <si>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</si>
  <si>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</si>
  <si>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</si>
  <si>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</si>
  <si>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</si>
  <si>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</si>
  <si>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 </t>
  </si>
  <si>
    <t>CÀLCUL COSTOS DIRECTES I INDIRECTES PEL PROJECTE</t>
  </si>
  <si>
    <t>Preu
 IVA exclòs</t>
  </si>
  <si>
    <t>Benefici 
Industrial (20%)</t>
  </si>
  <si>
    <t>Cost Total</t>
  </si>
  <si>
    <t>Cost 
Indirecte (6,4 %)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</si>
  <si>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</si>
  <si>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</si>
  <si>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</si>
  <si>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</si>
  <si>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</si>
  <si>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</si>
  <si>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</si>
  <si>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Costos salarials - Seguretat Social (34%)*</t>
  </si>
  <si>
    <t>TOTAL (Suma costos directes)</t>
  </si>
  <si>
    <t>Costos indirectes:</t>
  </si>
  <si>
    <t>Despeses generals d’estructura (6,40%)**</t>
  </si>
  <si>
    <t>Benefici industrial (20%)**</t>
  </si>
  <si>
    <t>TOTAL (Suma costos indirectes)</t>
  </si>
  <si>
    <t>TOTAL DE COSTOS (directes + indirectes):</t>
  </si>
  <si>
    <t>*Percentatge calculat sobre el salari brut.</t>
  </si>
  <si>
    <t>**Percentatge calculat sobre el cost total del contracte.</t>
  </si>
  <si>
    <t xml:space="preserve">Responsable de seguretat (tarifa de “Responsable de servei Sènior”) </t>
  </si>
  <si>
    <t>C-D</t>
  </si>
  <si>
    <t>D+F</t>
  </si>
  <si>
    <t>Cost Infraestructura</t>
  </si>
  <si>
    <t>6,40% de C</t>
  </si>
  <si>
    <t>20% de C</t>
  </si>
  <si>
    <t>Cost infraestructura</t>
  </si>
  <si>
    <t>E-F-H</t>
  </si>
  <si>
    <t>Costos salarials - 
Seguretat Social (34%)*</t>
  </si>
  <si>
    <t>Costos salarials - Salari Brut , H-I</t>
  </si>
  <si>
    <t>H+I</t>
  </si>
  <si>
    <t>(*) E27</t>
  </si>
  <si>
    <t>(*) B10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</si>
</sst>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3" formatCode="_-* #,##0.00\ _€_-;\-* #,##0.00\ _€_-;_-* &quot;-&quot;??\ _€_-;_-@_-"/>
    <numFmt numFmtId="164" formatCode="_-* #,##0.00\ _€_-;\-* #,##0.00\ _€_-;_-* \-??\ _€_-;_-@_-"/>
    <numFmt numFmtId="165" formatCode="_-* #,##0.00&quot; €&quot;_-;\-* #,##0.00&quot; €&quot;_-;_-* \-??&quot; €&quot;_-;_-@_-"/>
    <numFmt numFmtId="166" formatCode="dd/mm/yyyy"/>
    <numFmt numFmtId="167" formatCode="#,##0.00&quot; €&quot;"/>
    <numFmt numFmtId="168" formatCode="_-* #,##0\ _€_-;\-* #,##0\ _€_-;_-* \-??\ _€_-;_-@_-"/>
    <numFmt numFmtId="169" formatCode="#,##0.000000&quot; €&quot;"/>
    <numFmt numFmtId="170" formatCode="#,##0.00000"/>
    <numFmt numFmtId="171" formatCode="#,##0.00\ [$€-403];[Red]\-#,##0.00\ [$€-403]"/>
    <numFmt numFmtId="172" formatCode="#,##0.000"/>
    <numFmt numFmtId="173" formatCode="_-* #,##0.00000\ _€_-;\-* #,##0.00000\ _€_-;_-* \-??\ _€_-;_-@_-"/>
    <numFmt numFmtId="174" formatCode="#,##0.00\ [$€-1]"/>
    <numFmt numFmtId="175" formatCode="#,##0.000000\ [$€-1]"/>
    <numFmt numFmtId="176" formatCode="#,##0.00&quot; €&quot;;[Red]\-#,##0.00&quot; €&quot;"/>
    <numFmt numFmtId="177" formatCode="_-* #,##0.0000000000000\ _€_-;\-* #,##0.0000000000000\ _€_-;_-* \-??\ _€_-;_-@_-"/>
    <numFmt numFmtId="178" formatCode="_-* #,##0.0000000000\ _€_-;\-* #,##0.0000000000\ _€_-;_-* \-??\ _€_-;_-@_-"/>
    <numFmt numFmtId="179" formatCode="_-* #,##0.000000000000000\ _€_-;\-* #,##0.000000000000000\ _€_-;_-* \-??????\ _€_-;_-@_-"/>
    <numFmt numFmtId="180" formatCode="_-* #,##0.00\ [$€-403]_-;\-* #,##0.00\ [$€-403]_-;_-* \-??\ [$€-403]_-;_-@_-"/>
    <numFmt numFmtId="181" formatCode="#,##0.00\€"/>
  </numFmts>
  <fonts count="46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/>
      <sz val="14"/>
      <color rgb="FFFFFFFF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11"/>
      <color rgb="FFC9211E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1"/>
      <color rgb="FFC9211E"/>
      <name val="Calibri"/>
      <family val="2"/>
      <charset val="1"/>
    </font>
    <font>
      <sz val="11"/>
      <name val="Calibri"/>
      <family val="2"/>
    </font>
    <font>
      <b/>
      <sz val="11"/>
      <color rgb="FFBFBFBF"/>
      <name val="Calibri"/>
      <family val="2"/>
      <charset val="1"/>
    </font>
    <font>
      <sz val="11"/>
      <color rgb="FFBFBFBF"/>
      <name val="Calibri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i/>
      <sz val="10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C9211E"/>
      <name val="Arial"/>
      <family val="2"/>
      <charset val="1"/>
    </font>
    <font>
      <b/>
      <sz val="10"/>
      <color rgb="FFC9211E"/>
      <name val="Arial"/>
      <family val="2"/>
      <charset val="1"/>
    </font>
    <font>
      <sz val="10"/>
      <color rgb="FF8E7CC3"/>
      <name val="Arial"/>
      <family val="2"/>
      <charset val="1"/>
    </font>
    <font>
      <u/>
      <sz val="10"/>
      <color rgb="FF0000FF"/>
      <name val="Arial"/>
      <family val="2"/>
      <charset val="1"/>
    </font>
    <font>
      <u/>
      <sz val="10"/>
      <color rgb="FF8E7CC3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0"/>
      <color rgb="FFFFFFFF"/>
      <name val="Calibri"/>
      <family val="2"/>
      <charset val="1"/>
    </font>
    <font>
      <b/>
      <sz val="10"/>
      <color rgb="FFD9D9D9"/>
      <name val="Calibri"/>
      <family val="2"/>
      <charset val="1"/>
    </font>
    <font>
      <sz val="10"/>
      <color rgb="FFBFBFBF"/>
      <name val="Calibri"/>
      <family val="2"/>
      <charset val="1"/>
    </font>
    <font>
      <b/>
      <sz val="1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sz val="10"/>
      <color rgb="FFBFBFBF"/>
      <name val="Calibri"/>
      <family val="2"/>
      <charset val="1"/>
    </font>
    <font>
      <sz val="11"/>
      <color rgb="FF1F497D"/>
      <name val="Calibri"/>
      <family val="2"/>
      <charset val="1"/>
    </font>
    <font>
      <b/>
      <sz val="11"/>
      <color rgb="FF1F497D"/>
      <name val="Calibri"/>
      <family val="2"/>
      <charset val="1"/>
    </font>
    <font>
      <b/>
      <sz val="11"/>
      <color rgb="FF0000FF"/>
      <name val="Calibri"/>
      <family val="2"/>
      <charset val="1"/>
    </font>
    <font>
      <sz val="11"/>
      <color rgb="FF0000FF"/>
      <name val="Calibri"/>
      <family val="2"/>
      <charset val="1"/>
    </font>
    <font>
      <i/>
      <sz val="11"/>
      <color rgb="FF0000FF"/>
      <name val="Calibri"/>
      <family val="2"/>
      <charset val="1"/>
    </font>
    <font>
      <i/>
      <sz val="1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</font>
    <font>
      <sz val="11"/>
      <color theme="0" tint="-0.249977111117893"/>
      <name val="Calibri"/>
      <family val="2"/>
      <charset val="1"/>
    </font>
    <font>
      <sz val="10"/>
      <color theme="0" tint="-0.249977111117893"/>
      <name val="Calibri"/>
      <family val="2"/>
      <charset val="1"/>
    </font>
    <font>
      <b/>
      <sz val="10"/>
      <color theme="0" tint="-0.249977111117893"/>
      <name val="Calibri"/>
      <family val="2"/>
      <charset val="1"/>
    </font>
  </fonts>
  <fills count="25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C4FEBB"/>
        <bgColor rgb="FFDDEBF7"/>
      </patternFill>
    </fill>
    <fill>
      <patternFill patternType="solid">
        <fgColor rgb="FFBBE6FE"/>
        <bgColor rgb="FFC9DAF8"/>
      </patternFill>
    </fill>
    <fill>
      <patternFill patternType="solid">
        <fgColor rgb="FFC00000"/>
        <bgColor rgb="FFC9211E"/>
      </patternFill>
    </fill>
    <fill>
      <patternFill patternType="solid">
        <fgColor rgb="FF595959"/>
        <bgColor rgb="FF767171"/>
      </patternFill>
    </fill>
    <fill>
      <patternFill patternType="solid">
        <fgColor rgb="FFE7E6E6"/>
        <bgColor rgb="FFEFEFEF"/>
      </patternFill>
    </fill>
    <fill>
      <patternFill patternType="solid">
        <fgColor rgb="FF89FD78"/>
        <bgColor rgb="FFC4FEBB"/>
      </patternFill>
    </fill>
    <fill>
      <patternFill patternType="solid">
        <fgColor rgb="FFF2F2F2"/>
        <bgColor rgb="FFEFEFEF"/>
      </patternFill>
    </fill>
    <fill>
      <patternFill patternType="solid">
        <fgColor rgb="FFC9211E"/>
        <bgColor rgb="FFC00000"/>
      </patternFill>
    </fill>
    <fill>
      <patternFill patternType="solid">
        <fgColor rgb="FF971917"/>
        <bgColor rgb="FF800000"/>
      </patternFill>
    </fill>
    <fill>
      <patternFill patternType="solid">
        <fgColor rgb="FFFFFF00"/>
        <bgColor rgb="FFFFC000"/>
      </patternFill>
    </fill>
    <fill>
      <patternFill patternType="solid">
        <fgColor rgb="FF767171"/>
        <bgColor rgb="FF595959"/>
      </patternFill>
    </fill>
    <fill>
      <patternFill patternType="solid">
        <fgColor rgb="FFFFC000"/>
        <bgColor rgb="FFFF9900"/>
      </patternFill>
    </fill>
    <fill>
      <patternFill patternType="solid">
        <fgColor rgb="FFC9DAF8"/>
        <bgColor rgb="FFBBE6FE"/>
      </patternFill>
    </fill>
    <fill>
      <patternFill patternType="solid">
        <fgColor rgb="FFEFEFEF"/>
        <bgColor rgb="FFF2F2F2"/>
      </patternFill>
    </fill>
    <fill>
      <patternFill patternType="solid">
        <fgColor rgb="FFFFFFFF"/>
        <bgColor rgb="FFF2F2F2"/>
      </patternFill>
    </fill>
    <fill>
      <patternFill patternType="solid">
        <fgColor rgb="FFAFABAB"/>
        <bgColor rgb="FFBFBFBF"/>
      </patternFill>
    </fill>
    <fill>
      <patternFill patternType="solid">
        <fgColor rgb="FFD9D9D9"/>
        <bgColor rgb="FFD0CECE"/>
      </patternFill>
    </fill>
    <fill>
      <patternFill patternType="solid">
        <fgColor rgb="FFFFF2CC"/>
        <bgColor rgb="FFFFF1C1"/>
      </patternFill>
    </fill>
    <fill>
      <patternFill patternType="solid">
        <fgColor rgb="FFFFF1C1"/>
        <bgColor rgb="FFFFF2CC"/>
      </patternFill>
    </fill>
    <fill>
      <patternFill patternType="solid">
        <fgColor rgb="FFDDEBF7"/>
        <bgColor rgb="FFE7E6E6"/>
      </patternFill>
    </fill>
    <fill>
      <patternFill patternType="solid">
        <fgColor theme="0" tint="-0.14999847407452621"/>
        <bgColor rgb="FFEFEFEF"/>
      </patternFill>
    </fill>
    <fill>
      <patternFill patternType="solid">
        <fgColor theme="8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thin">
        <color rgb="FFD0CECE"/>
      </left>
      <right/>
      <top style="thin">
        <color rgb="FFD0CECE"/>
      </top>
      <bottom style="thin">
        <color rgb="FFD0CECE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  <border>
      <left/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E7E6E6"/>
      </left>
      <right style="thin">
        <color rgb="FFE7E6E6"/>
      </right>
      <top/>
      <bottom style="thin">
        <color rgb="FFE7E6E6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/>
      <diagonal/>
    </border>
    <border>
      <left style="thin">
        <color rgb="FFE7E6E6"/>
      </left>
      <right/>
      <top style="thin">
        <color rgb="FFE7E6E6"/>
      </top>
      <bottom style="thin">
        <color rgb="FFE7E6E6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13">
    <xf numFmtId="0" fontId="0" fillId="0" borderId="0"/>
    <xf numFmtId="164" fontId="41" fillId="0" borderId="0" applyBorder="0" applyProtection="0"/>
    <xf numFmtId="165" fontId="41" fillId="0" borderId="0" applyBorder="0" applyProtection="0"/>
    <xf numFmtId="9" fontId="41" fillId="0" borderId="0" applyBorder="0" applyProtection="0"/>
    <xf numFmtId="164" fontId="41" fillId="0" borderId="0" applyBorder="0" applyProtection="0"/>
    <xf numFmtId="164" fontId="41" fillId="0" borderId="0" applyBorder="0" applyProtection="0"/>
    <xf numFmtId="164" fontId="41" fillId="0" borderId="0" applyBorder="0" applyProtection="0"/>
    <xf numFmtId="165" fontId="41" fillId="0" borderId="0" applyBorder="0" applyProtection="0"/>
    <xf numFmtId="0" fontId="41" fillId="0" borderId="0"/>
    <xf numFmtId="0" fontId="1" fillId="0" borderId="0"/>
    <xf numFmtId="0" fontId="1" fillId="0" borderId="0"/>
    <xf numFmtId="0" fontId="41" fillId="0" borderId="0"/>
    <xf numFmtId="0" fontId="41" fillId="0" borderId="0"/>
  </cellStyleXfs>
  <cellXfs count="378">
    <xf numFmtId="0" fontId="0" fillId="0" borderId="0" xfId="0"/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wrapText="1"/>
      <protection locked="0"/>
    </xf>
    <xf numFmtId="0" fontId="0" fillId="0" borderId="0" xfId="0" applyFont="1" applyAlignment="1" applyProtection="1">
      <protection locked="0"/>
    </xf>
    <xf numFmtId="0" fontId="0" fillId="0" borderId="0" xfId="0" applyFont="1" applyAlignment="1" applyProtection="1">
      <alignment horizontal="center" wrapText="1"/>
      <protection locked="0"/>
    </xf>
    <xf numFmtId="0" fontId="0" fillId="0" borderId="0" xfId="0" applyFont="1" applyAlignment="1" applyProtection="1"/>
    <xf numFmtId="0" fontId="2" fillId="2" borderId="0" xfId="0" applyFont="1" applyFill="1" applyBorder="1" applyAlignment="1" applyProtection="1">
      <alignment horizontal="left" vertical="center"/>
      <protection hidden="1"/>
    </xf>
    <xf numFmtId="0" fontId="0" fillId="2" borderId="0" xfId="0" applyFont="1" applyFill="1" applyAlignment="1" applyProtection="1">
      <alignment wrapText="1"/>
    </xf>
    <xf numFmtId="0" fontId="3" fillId="2" borderId="0" xfId="0" applyFont="1" applyFill="1" applyAlignment="1" applyProtection="1"/>
    <xf numFmtId="0" fontId="4" fillId="2" borderId="0" xfId="0" applyFont="1" applyFill="1" applyAlignment="1" applyProtection="1">
      <alignment horizontal="center" wrapText="1"/>
    </xf>
    <xf numFmtId="0" fontId="5" fillId="0" borderId="0" xfId="0" applyFont="1" applyAlignment="1" applyProtection="1"/>
    <xf numFmtId="0" fontId="0" fillId="0" borderId="0" xfId="0" applyFont="1" applyAlignment="1" applyProtection="1">
      <alignment horizontal="center" wrapText="1"/>
    </xf>
    <xf numFmtId="0" fontId="6" fillId="3" borderId="0" xfId="0" applyFont="1" applyFill="1" applyBorder="1" applyAlignment="1" applyProtection="1">
      <alignment horizontal="center"/>
      <protection hidden="1"/>
    </xf>
    <xf numFmtId="166" fontId="0" fillId="3" borderId="0" xfId="0" applyNumberFormat="1" applyFont="1" applyFill="1" applyBorder="1" applyAlignment="1" applyProtection="1"/>
    <xf numFmtId="0" fontId="0" fillId="0" borderId="0" xfId="0" applyFont="1" applyBorder="1" applyAlignment="1" applyProtection="1">
      <alignment horizontal="center"/>
    </xf>
    <xf numFmtId="0" fontId="0" fillId="0" borderId="0" xfId="0" applyFont="1" applyAlignment="1" applyProtection="1">
      <alignment wrapText="1"/>
    </xf>
    <xf numFmtId="0" fontId="5" fillId="0" borderId="0" xfId="0" applyFont="1" applyAlignment="1" applyProtection="1">
      <protection locked="0"/>
    </xf>
    <xf numFmtId="167" fontId="0" fillId="0" borderId="0" xfId="0" applyNumberFormat="1" applyFont="1" applyAlignment="1" applyProtection="1">
      <alignment vertical="center"/>
    </xf>
    <xf numFmtId="166" fontId="0" fillId="0" borderId="0" xfId="0" applyNumberFormat="1" applyFont="1" applyAlignment="1" applyProtection="1">
      <alignment horizontal="center"/>
    </xf>
    <xf numFmtId="0" fontId="7" fillId="0" borderId="0" xfId="0" applyFont="1" applyAlignment="1" applyProtection="1"/>
    <xf numFmtId="2" fontId="0" fillId="0" borderId="0" xfId="0" applyNumberFormat="1" applyFont="1" applyAlignment="1" applyProtection="1"/>
    <xf numFmtId="164" fontId="0" fillId="0" borderId="0" xfId="1" applyFont="1" applyBorder="1" applyAlignment="1" applyProtection="1">
      <alignment horizontal="center"/>
    </xf>
    <xf numFmtId="168" fontId="0" fillId="0" borderId="0" xfId="0" applyNumberFormat="1" applyFont="1" applyAlignment="1" applyProtection="1"/>
    <xf numFmtId="0" fontId="8" fillId="4" borderId="0" xfId="0" applyFont="1" applyFill="1" applyAlignment="1" applyProtection="1">
      <alignment horizontal="left"/>
    </xf>
    <xf numFmtId="0" fontId="0" fillId="4" borderId="0" xfId="0" applyFont="1" applyFill="1" applyAlignment="1" applyProtection="1">
      <alignment wrapText="1"/>
    </xf>
    <xf numFmtId="0" fontId="0" fillId="4" borderId="0" xfId="0" applyFont="1" applyFill="1" applyAlignment="1" applyProtection="1">
      <protection locked="0"/>
    </xf>
    <xf numFmtId="0" fontId="6" fillId="4" borderId="0" xfId="0" applyFont="1" applyFill="1" applyBorder="1" applyAlignment="1" applyProtection="1">
      <alignment horizontal="center"/>
      <protection hidden="1"/>
    </xf>
    <xf numFmtId="166" fontId="0" fillId="4" borderId="0" xfId="0" applyNumberFormat="1" applyFont="1" applyFill="1" applyBorder="1" applyAlignment="1" applyProtection="1"/>
    <xf numFmtId="0" fontId="0" fillId="0" borderId="0" xfId="0" applyFont="1" applyAlignment="1" applyProtection="1">
      <alignment horizontal="right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0" fontId="3" fillId="5" borderId="4" xfId="0" applyFont="1" applyFill="1" applyBorder="1" applyAlignment="1" applyProtection="1">
      <alignment horizontal="center" vertical="center"/>
    </xf>
    <xf numFmtId="0" fontId="3" fillId="6" borderId="2" xfId="0" applyFont="1" applyFill="1" applyBorder="1" applyAlignment="1" applyProtection="1">
      <alignment horizontal="center" vertical="center" wrapText="1"/>
    </xf>
    <xf numFmtId="0" fontId="3" fillId="6" borderId="4" xfId="0" applyFont="1" applyFill="1" applyBorder="1" applyAlignment="1" applyProtection="1">
      <alignment horizontal="center" vertical="center" wrapText="1"/>
    </xf>
    <xf numFmtId="0" fontId="3" fillId="5" borderId="0" xfId="0" applyFont="1" applyFill="1" applyAlignment="1" applyProtection="1">
      <alignment horizontal="center" vertical="center" wrapText="1"/>
    </xf>
    <xf numFmtId="0" fontId="3" fillId="5" borderId="0" xfId="0" applyFont="1" applyFill="1" applyAlignment="1" applyProtection="1">
      <alignment horizontal="center" vertical="center"/>
    </xf>
    <xf numFmtId="0" fontId="3" fillId="6" borderId="0" xfId="0" applyFont="1" applyFill="1" applyAlignment="1" applyProtection="1">
      <alignment horizontal="center" vertical="center" wrapText="1"/>
    </xf>
    <xf numFmtId="0" fontId="0" fillId="0" borderId="0" xfId="0" applyFont="1" applyBorder="1" applyAlignment="1" applyProtection="1">
      <protection locked="0"/>
    </xf>
    <xf numFmtId="4" fontId="5" fillId="0" borderId="0" xfId="0" applyNumberFormat="1" applyFont="1" applyAlignment="1" applyProtection="1">
      <alignment horizontal="left" wrapText="1"/>
    </xf>
    <xf numFmtId="0" fontId="6" fillId="0" borderId="0" xfId="0" applyFont="1" applyBorder="1" applyAlignment="1" applyProtection="1">
      <alignment horizontal="center"/>
      <protection hidden="1"/>
    </xf>
    <xf numFmtId="166" fontId="0" fillId="0" borderId="0" xfId="0" applyNumberFormat="1" applyFont="1" applyBorder="1" applyAlignment="1" applyProtection="1"/>
    <xf numFmtId="4" fontId="5" fillId="0" borderId="0" xfId="0" applyNumberFormat="1" applyFont="1" applyAlignment="1" applyProtection="1">
      <alignment horizontal="left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wrapText="1"/>
      <protection locked="0"/>
    </xf>
    <xf numFmtId="4" fontId="5" fillId="7" borderId="5" xfId="0" applyNumberFormat="1" applyFont="1" applyFill="1" applyBorder="1" applyAlignment="1" applyProtection="1">
      <alignment horizontal="left" wrapText="1"/>
    </xf>
    <xf numFmtId="167" fontId="6" fillId="7" borderId="6" xfId="0" applyNumberFormat="1" applyFont="1" applyFill="1" applyBorder="1" applyAlignment="1" applyProtection="1"/>
    <xf numFmtId="167" fontId="6" fillId="7" borderId="7" xfId="0" applyNumberFormat="1" applyFont="1" applyFill="1" applyBorder="1" applyAlignment="1" applyProtection="1"/>
    <xf numFmtId="167" fontId="5" fillId="7" borderId="6" xfId="0" applyNumberFormat="1" applyFont="1" applyFill="1" applyBorder="1" applyAlignment="1" applyProtection="1"/>
    <xf numFmtId="167" fontId="5" fillId="8" borderId="8" xfId="0" applyNumberFormat="1" applyFont="1" applyFill="1" applyBorder="1" applyAlignment="1" applyProtection="1"/>
    <xf numFmtId="167" fontId="5" fillId="0" borderId="0" xfId="0" applyNumberFormat="1" applyFont="1" applyAlignment="1" applyProtection="1"/>
    <xf numFmtId="4" fontId="5" fillId="7" borderId="0" xfId="0" applyNumberFormat="1" applyFont="1" applyFill="1" applyAlignment="1" applyProtection="1">
      <alignment horizontal="left" wrapText="1"/>
    </xf>
    <xf numFmtId="167" fontId="6" fillId="7" borderId="0" xfId="0" applyNumberFormat="1" applyFont="1" applyFill="1" applyAlignment="1" applyProtection="1"/>
    <xf numFmtId="167" fontId="5" fillId="7" borderId="0" xfId="0" applyNumberFormat="1" applyFont="1" applyFill="1" applyAlignment="1" applyProtection="1"/>
    <xf numFmtId="0" fontId="5" fillId="0" borderId="0" xfId="0" applyFont="1" applyAlignment="1" applyProtection="1">
      <alignment horizontal="center"/>
    </xf>
    <xf numFmtId="0" fontId="0" fillId="0" borderId="0" xfId="0" applyFont="1" applyBorder="1" applyAlignment="1" applyProtection="1">
      <alignment wrapText="1"/>
      <protection locked="0"/>
    </xf>
    <xf numFmtId="167" fontId="9" fillId="0" borderId="0" xfId="0" applyNumberFormat="1" applyFont="1" applyAlignment="1" applyProtection="1"/>
    <xf numFmtId="4" fontId="5" fillId="4" borderId="9" xfId="0" applyNumberFormat="1" applyFont="1" applyFill="1" applyBorder="1" applyAlignment="1" applyProtection="1">
      <alignment horizontal="left" wrapText="1"/>
    </xf>
    <xf numFmtId="167" fontId="9" fillId="9" borderId="10" xfId="0" applyNumberFormat="1" applyFont="1" applyFill="1" applyBorder="1" applyAlignment="1" applyProtection="1"/>
    <xf numFmtId="167" fontId="9" fillId="9" borderId="11" xfId="0" applyNumberFormat="1" applyFont="1" applyFill="1" applyBorder="1" applyAlignment="1" applyProtection="1"/>
    <xf numFmtId="167" fontId="9" fillId="9" borderId="12" xfId="0" applyNumberFormat="1" applyFont="1" applyFill="1" applyBorder="1" applyAlignment="1" applyProtection="1"/>
    <xf numFmtId="4" fontId="5" fillId="4" borderId="13" xfId="0" applyNumberFormat="1" applyFont="1" applyFill="1" applyBorder="1" applyAlignment="1" applyProtection="1">
      <alignment horizontal="left" wrapText="1"/>
    </xf>
    <xf numFmtId="167" fontId="9" fillId="9" borderId="14" xfId="0" applyNumberFormat="1" applyFont="1" applyFill="1" applyBorder="1" applyAlignment="1" applyProtection="1"/>
    <xf numFmtId="167" fontId="9" fillId="9" borderId="15" xfId="0" applyNumberFormat="1" applyFont="1" applyFill="1" applyBorder="1" applyAlignment="1" applyProtection="1"/>
    <xf numFmtId="167" fontId="9" fillId="9" borderId="16" xfId="0" applyNumberFormat="1" applyFont="1" applyFill="1" applyBorder="1" applyAlignment="1" applyProtection="1"/>
    <xf numFmtId="169" fontId="9" fillId="0" borderId="0" xfId="0" applyNumberFormat="1" applyFont="1" applyAlignment="1" applyProtection="1"/>
    <xf numFmtId="167" fontId="0" fillId="0" borderId="0" xfId="0" applyNumberFormat="1" applyFont="1" applyAlignment="1" applyProtection="1"/>
    <xf numFmtId="165" fontId="41" fillId="0" borderId="0" xfId="2" applyBorder="1" applyAlignment="1" applyProtection="1">
      <protection locked="0"/>
    </xf>
    <xf numFmtId="164" fontId="0" fillId="0" borderId="0" xfId="0" applyNumberFormat="1" applyFont="1" applyAlignment="1" applyProtection="1"/>
    <xf numFmtId="0" fontId="8" fillId="3" borderId="0" xfId="0" applyFont="1" applyFill="1" applyAlignment="1" applyProtection="1">
      <alignment horizontal="left"/>
    </xf>
    <xf numFmtId="0" fontId="8" fillId="3" borderId="0" xfId="0" applyFont="1" applyFill="1" applyAlignment="1" applyProtection="1">
      <alignment wrapText="1"/>
    </xf>
    <xf numFmtId="0" fontId="0" fillId="3" borderId="0" xfId="0" applyFont="1" applyFill="1" applyAlignment="1" applyProtection="1">
      <protection locked="0"/>
    </xf>
    <xf numFmtId="0" fontId="5" fillId="0" borderId="0" xfId="0" applyFont="1" applyAlignment="1" applyProtection="1">
      <alignment horizontal="right"/>
      <protection locked="0"/>
    </xf>
    <xf numFmtId="0" fontId="5" fillId="0" borderId="0" xfId="0" applyFont="1" applyAlignment="1" applyProtection="1">
      <alignment wrapText="1"/>
      <protection locked="0"/>
    </xf>
    <xf numFmtId="0" fontId="10" fillId="0" borderId="0" xfId="0" applyFont="1" applyAlignment="1" applyProtection="1"/>
    <xf numFmtId="0" fontId="11" fillId="6" borderId="0" xfId="0" applyFont="1" applyFill="1" applyAlignment="1" applyProtection="1">
      <alignment horizontal="center" vertical="center" wrapText="1"/>
    </xf>
    <xf numFmtId="0" fontId="11" fillId="10" borderId="2" xfId="0" applyFont="1" applyFill="1" applyBorder="1" applyAlignment="1" applyProtection="1">
      <alignment horizontal="center" vertical="center" wrapText="1"/>
    </xf>
    <xf numFmtId="0" fontId="11" fillId="10" borderId="3" xfId="0" applyFont="1" applyFill="1" applyBorder="1" applyAlignment="1" applyProtection="1">
      <alignment horizontal="center" vertical="center" wrapText="1"/>
    </xf>
    <xf numFmtId="0" fontId="11" fillId="10" borderId="4" xfId="0" applyFont="1" applyFill="1" applyBorder="1" applyAlignment="1" applyProtection="1">
      <alignment horizontal="center" vertical="center" wrapText="1"/>
    </xf>
    <xf numFmtId="0" fontId="11" fillId="11" borderId="2" xfId="0" applyFont="1" applyFill="1" applyBorder="1" applyAlignment="1" applyProtection="1">
      <alignment horizontal="center" vertical="center" wrapText="1"/>
    </xf>
    <xf numFmtId="0" fontId="11" fillId="11" borderId="3" xfId="0" applyFont="1" applyFill="1" applyBorder="1" applyAlignment="1" applyProtection="1">
      <alignment horizontal="center" vertical="center" wrapText="1"/>
    </xf>
    <xf numFmtId="0" fontId="11" fillId="11" borderId="4" xfId="0" applyFont="1" applyFill="1" applyBorder="1" applyAlignment="1" applyProtection="1">
      <alignment horizontal="center" vertical="center" wrapText="1"/>
    </xf>
    <xf numFmtId="0" fontId="11" fillId="11" borderId="1" xfId="0" applyFont="1" applyFill="1" applyBorder="1" applyAlignment="1" applyProtection="1">
      <alignment horizontal="center" vertical="center" wrapText="1"/>
    </xf>
    <xf numFmtId="0" fontId="11" fillId="5" borderId="2" xfId="0" applyFont="1" applyFill="1" applyBorder="1" applyAlignment="1" applyProtection="1">
      <alignment horizontal="center" vertical="center" wrapText="1"/>
    </xf>
    <xf numFmtId="0" fontId="11" fillId="5" borderId="3" xfId="0" applyFont="1" applyFill="1" applyBorder="1" applyAlignment="1" applyProtection="1">
      <alignment horizontal="center" vertical="center" wrapText="1"/>
    </xf>
    <xf numFmtId="0" fontId="11" fillId="5" borderId="4" xfId="0" applyFont="1" applyFill="1" applyBorder="1" applyAlignment="1" applyProtection="1">
      <alignment horizontal="center" vertical="center" wrapText="1"/>
    </xf>
    <xf numFmtId="0" fontId="11" fillId="5" borderId="1" xfId="0" applyFont="1" applyFill="1" applyBorder="1" applyAlignment="1" applyProtection="1">
      <alignment horizontal="center" vertical="center" wrapText="1"/>
    </xf>
    <xf numFmtId="0" fontId="11" fillId="11" borderId="0" xfId="0" applyFont="1" applyFill="1" applyAlignment="1" applyProtection="1">
      <alignment horizontal="center" vertical="center" wrapText="1"/>
    </xf>
    <xf numFmtId="0" fontId="5" fillId="0" borderId="0" xfId="0" applyFont="1" applyAlignment="1" applyProtection="1"/>
    <xf numFmtId="3" fontId="0" fillId="0" borderId="5" xfId="0" applyNumberFormat="1" applyFont="1" applyBorder="1" applyAlignment="1" applyProtection="1">
      <alignment horizontal="center" vertical="center"/>
    </xf>
    <xf numFmtId="0" fontId="0" fillId="0" borderId="5" xfId="0" applyFont="1" applyBorder="1" applyAlignment="1" applyProtection="1"/>
    <xf numFmtId="0" fontId="0" fillId="0" borderId="5" xfId="0" applyFont="1" applyBorder="1" applyAlignment="1" applyProtection="1">
      <protection locked="0"/>
    </xf>
    <xf numFmtId="170" fontId="9" fillId="0" borderId="0" xfId="0" applyNumberFormat="1" applyFont="1" applyBorder="1" applyAlignment="1" applyProtection="1">
      <alignment horizontal="center" vertical="center"/>
    </xf>
    <xf numFmtId="4" fontId="9" fillId="0" borderId="0" xfId="0" applyNumberFormat="1" applyFont="1" applyBorder="1" applyAlignment="1" applyProtection="1">
      <alignment horizontal="center" vertical="center"/>
    </xf>
    <xf numFmtId="167" fontId="9" fillId="0" borderId="0" xfId="0" applyNumberFormat="1" applyFont="1" applyBorder="1" applyAlignment="1" applyProtection="1">
      <alignment horizontal="right" vertical="center"/>
    </xf>
    <xf numFmtId="166" fontId="9" fillId="0" borderId="5" xfId="0" applyNumberFormat="1" applyFont="1" applyBorder="1" applyAlignment="1" applyProtection="1">
      <alignment horizontal="center"/>
    </xf>
    <xf numFmtId="0" fontId="0" fillId="0" borderId="5" xfId="0" applyBorder="1" applyAlignment="1" applyProtection="1">
      <alignment horizontal="center"/>
      <protection locked="0"/>
    </xf>
    <xf numFmtId="167" fontId="9" fillId="0" borderId="13" xfId="2" applyNumberFormat="1" applyFont="1" applyBorder="1" applyAlignment="1" applyProtection="1">
      <alignment horizontal="center" vertical="center"/>
    </xf>
    <xf numFmtId="167" fontId="5" fillId="0" borderId="0" xfId="0" applyNumberFormat="1" applyFont="1" applyAlignment="1" applyProtection="1"/>
    <xf numFmtId="0" fontId="0" fillId="7" borderId="17" xfId="0" applyFill="1" applyBorder="1" applyAlignment="1" applyProtection="1">
      <alignment wrapText="1"/>
    </xf>
    <xf numFmtId="0" fontId="0" fillId="7" borderId="17" xfId="0" applyFill="1" applyBorder="1" applyAlignment="1" applyProtection="1">
      <alignment horizontal="left"/>
    </xf>
    <xf numFmtId="0" fontId="0" fillId="7" borderId="18" xfId="0" applyFill="1" applyBorder="1" applyAlignment="1" applyProtection="1">
      <alignment wrapText="1"/>
    </xf>
    <xf numFmtId="4" fontId="6" fillId="7" borderId="0" xfId="0" applyNumberFormat="1" applyFont="1" applyFill="1" applyBorder="1" applyAlignment="1" applyProtection="1">
      <alignment horizontal="center" vertical="center"/>
    </xf>
    <xf numFmtId="2" fontId="6" fillId="7" borderId="0" xfId="0" applyNumberFormat="1" applyFont="1" applyFill="1" applyAlignment="1" applyProtection="1">
      <alignment horizontal="center"/>
    </xf>
    <xf numFmtId="0" fontId="12" fillId="0" borderId="17" xfId="0" applyFont="1" applyBorder="1" applyAlignment="1" applyProtection="1">
      <alignment horizontal="center" vertical="center"/>
    </xf>
    <xf numFmtId="0" fontId="12" fillId="0" borderId="17" xfId="0" applyFont="1" applyBorder="1" applyAlignment="1" applyProtection="1">
      <alignment wrapText="1"/>
    </xf>
    <xf numFmtId="0" fontId="12" fillId="0" borderId="17" xfId="0" applyFont="1" applyBorder="1" applyAlignment="1" applyProtection="1">
      <alignment horizontal="left"/>
    </xf>
    <xf numFmtId="0" fontId="12" fillId="0" borderId="18" xfId="0" applyFont="1" applyBorder="1" applyAlignment="1" applyProtection="1">
      <alignment wrapText="1"/>
    </xf>
    <xf numFmtId="4" fontId="12" fillId="0" borderId="0" xfId="0" applyNumberFormat="1" applyFont="1" applyBorder="1" applyAlignment="1" applyProtection="1">
      <alignment horizontal="center" vertical="center"/>
    </xf>
    <xf numFmtId="167" fontId="12" fillId="0" borderId="0" xfId="0" applyNumberFormat="1" applyFont="1" applyBorder="1" applyAlignment="1" applyProtection="1">
      <alignment horizontal="right" vertical="center"/>
    </xf>
    <xf numFmtId="166" fontId="12" fillId="0" borderId="19" xfId="0" applyNumberFormat="1" applyFont="1" applyBorder="1" applyAlignment="1" applyProtection="1">
      <alignment horizontal="center"/>
    </xf>
    <xf numFmtId="171" fontId="12" fillId="0" borderId="0" xfId="0" applyNumberFormat="1" applyFont="1" applyBorder="1" applyAlignment="1" applyProtection="1">
      <alignment horizontal="center"/>
    </xf>
    <xf numFmtId="171" fontId="10" fillId="0" borderId="0" xfId="0" applyNumberFormat="1" applyFont="1" applyAlignment="1" applyProtection="1"/>
    <xf numFmtId="0" fontId="0" fillId="0" borderId="17" xfId="0" applyBorder="1" applyAlignment="1" applyProtection="1">
      <alignment horizontal="center" vertical="center"/>
    </xf>
    <xf numFmtId="0" fontId="0" fillId="0" borderId="17" xfId="0" applyBorder="1" applyAlignment="1" applyProtection="1">
      <alignment wrapText="1"/>
    </xf>
    <xf numFmtId="0" fontId="0" fillId="0" borderId="17" xfId="0" applyBorder="1" applyAlignment="1" applyProtection="1">
      <alignment horizontal="left"/>
    </xf>
    <xf numFmtId="0" fontId="5" fillId="0" borderId="18" xfId="0" applyFont="1" applyBorder="1" applyAlignment="1" applyProtection="1">
      <alignment wrapText="1"/>
    </xf>
    <xf numFmtId="4" fontId="6" fillId="0" borderId="0" xfId="0" applyNumberFormat="1" applyFont="1" applyBorder="1" applyAlignment="1" applyProtection="1">
      <alignment horizontal="center" vertical="center"/>
    </xf>
    <xf numFmtId="167" fontId="6" fillId="0" borderId="0" xfId="0" applyNumberFormat="1" applyFont="1" applyBorder="1" applyAlignment="1" applyProtection="1">
      <alignment horizontal="right" vertical="center"/>
    </xf>
    <xf numFmtId="166" fontId="9" fillId="0" borderId="19" xfId="0" applyNumberFormat="1" applyFont="1" applyBorder="1" applyAlignment="1" applyProtection="1">
      <alignment horizontal="center"/>
    </xf>
    <xf numFmtId="166" fontId="9" fillId="0" borderId="0" xfId="0" applyNumberFormat="1" applyFont="1" applyBorder="1" applyAlignment="1" applyProtection="1">
      <alignment horizontal="center"/>
    </xf>
    <xf numFmtId="0" fontId="0" fillId="0" borderId="17" xfId="0" applyBorder="1" applyAlignment="1" applyProtection="1">
      <alignment horizontal="center" vertical="center"/>
    </xf>
    <xf numFmtId="0" fontId="0" fillId="0" borderId="17" xfId="0" applyBorder="1" applyAlignment="1" applyProtection="1">
      <alignment wrapText="1"/>
    </xf>
    <xf numFmtId="0" fontId="0" fillId="0" borderId="17" xfId="0" applyBorder="1" applyAlignment="1" applyProtection="1">
      <alignment horizontal="left"/>
    </xf>
    <xf numFmtId="0" fontId="0" fillId="0" borderId="18" xfId="0" applyBorder="1" applyAlignment="1" applyProtection="1">
      <alignment wrapText="1"/>
    </xf>
    <xf numFmtId="4" fontId="9" fillId="0" borderId="0" xfId="0" applyNumberFormat="1" applyFont="1" applyBorder="1" applyAlignment="1" applyProtection="1">
      <alignment horizontal="center" vertical="center"/>
    </xf>
    <xf numFmtId="167" fontId="9" fillId="0" borderId="0" xfId="0" applyNumberFormat="1" applyFont="1" applyBorder="1" applyAlignment="1" applyProtection="1">
      <alignment horizontal="right" vertical="center"/>
    </xf>
    <xf numFmtId="2" fontId="9" fillId="0" borderId="0" xfId="0" applyNumberFormat="1" applyFont="1" applyBorder="1" applyAlignment="1" applyProtection="1">
      <alignment horizontal="right" vertical="center"/>
    </xf>
    <xf numFmtId="166" fontId="9" fillId="0" borderId="19" xfId="0" applyNumberFormat="1" applyFont="1" applyBorder="1" applyAlignment="1" applyProtection="1">
      <alignment horizontal="center"/>
    </xf>
    <xf numFmtId="166" fontId="9" fillId="0" borderId="0" xfId="0" applyNumberFormat="1" applyFont="1" applyBorder="1" applyAlignment="1" applyProtection="1">
      <alignment horizontal="center"/>
    </xf>
    <xf numFmtId="166" fontId="5" fillId="0" borderId="0" xfId="0" applyNumberFormat="1" applyFont="1" applyAlignment="1" applyProtection="1"/>
    <xf numFmtId="172" fontId="9" fillId="0" borderId="0" xfId="0" applyNumberFormat="1" applyFont="1" applyBorder="1" applyAlignment="1" applyProtection="1">
      <alignment horizontal="center" vertical="center"/>
    </xf>
    <xf numFmtId="166" fontId="5" fillId="0" borderId="0" xfId="0" applyNumberFormat="1" applyFont="1" applyAlignment="1" applyProtection="1"/>
    <xf numFmtId="0" fontId="0" fillId="0" borderId="0" xfId="0" applyFont="1" applyAlignment="1" applyProtection="1"/>
    <xf numFmtId="166" fontId="12" fillId="0" borderId="0" xfId="0" applyNumberFormat="1" applyFont="1" applyBorder="1" applyAlignment="1" applyProtection="1">
      <alignment horizontal="center"/>
    </xf>
    <xf numFmtId="165" fontId="12" fillId="0" borderId="20" xfId="2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wrapText="1"/>
    </xf>
    <xf numFmtId="4" fontId="6" fillId="0" borderId="0" xfId="0" applyNumberFormat="1" applyFont="1" applyBorder="1" applyAlignment="1" applyProtection="1">
      <alignment horizontal="center" vertical="center"/>
    </xf>
    <xf numFmtId="167" fontId="6" fillId="0" borderId="0" xfId="0" applyNumberFormat="1" applyFont="1" applyBorder="1" applyAlignment="1" applyProtection="1">
      <alignment horizontal="right" vertical="center"/>
    </xf>
    <xf numFmtId="0" fontId="0" fillId="0" borderId="0" xfId="0" applyAlignment="1" applyProtection="1"/>
    <xf numFmtId="171" fontId="12" fillId="0" borderId="0" xfId="0" applyNumberFormat="1" applyFont="1"/>
    <xf numFmtId="4" fontId="10" fillId="0" borderId="0" xfId="0" applyNumberFormat="1" applyFont="1" applyBorder="1" applyAlignment="1" applyProtection="1">
      <alignment horizontal="center" vertical="center"/>
    </xf>
    <xf numFmtId="9" fontId="0" fillId="0" borderId="0" xfId="3" applyFont="1" applyBorder="1" applyAlignment="1" applyProtection="1"/>
    <xf numFmtId="173" fontId="41" fillId="0" borderId="0" xfId="1" applyNumberFormat="1" applyBorder="1" applyAlignment="1" applyProtection="1"/>
    <xf numFmtId="0" fontId="8" fillId="4" borderId="0" xfId="0" applyFont="1" applyFill="1" applyAlignment="1" applyProtection="1">
      <alignment wrapText="1"/>
    </xf>
    <xf numFmtId="170" fontId="13" fillId="0" borderId="0" xfId="0" applyNumberFormat="1" applyFont="1" applyBorder="1" applyAlignment="1" applyProtection="1">
      <alignment horizontal="center" vertical="center"/>
    </xf>
    <xf numFmtId="0" fontId="12" fillId="0" borderId="0" xfId="0" applyFont="1" applyAlignment="1" applyProtection="1"/>
    <xf numFmtId="164" fontId="41" fillId="0" borderId="19" xfId="1" applyBorder="1" applyAlignment="1" applyProtection="1"/>
    <xf numFmtId="0" fontId="0" fillId="4" borderId="0" xfId="0" applyFont="1" applyFill="1" applyAlignment="1" applyProtection="1"/>
    <xf numFmtId="0" fontId="0" fillId="0" borderId="0" xfId="0" applyAlignment="1" applyProtection="1"/>
    <xf numFmtId="0" fontId="0" fillId="0" borderId="21" xfId="0" applyBorder="1" applyAlignment="1" applyProtection="1"/>
    <xf numFmtId="0" fontId="3" fillId="5" borderId="22" xfId="0" applyFont="1" applyFill="1" applyBorder="1" applyAlignment="1" applyProtection="1">
      <alignment horizontal="center" vertical="center" wrapText="1"/>
    </xf>
    <xf numFmtId="17" fontId="7" fillId="0" borderId="0" xfId="3" applyNumberFormat="1" applyFont="1" applyBorder="1" applyAlignment="1" applyProtection="1"/>
    <xf numFmtId="0" fontId="14" fillId="0" borderId="0" xfId="0" applyFont="1" applyAlignment="1" applyProtection="1">
      <alignment horizontal="right"/>
    </xf>
    <xf numFmtId="0" fontId="0" fillId="0" borderId="5" xfId="0" applyFont="1" applyBorder="1" applyAlignment="1" applyProtection="1">
      <alignment horizontal="left"/>
    </xf>
    <xf numFmtId="165" fontId="5" fillId="0" borderId="5" xfId="2" applyFont="1" applyBorder="1" applyAlignment="1" applyProtection="1">
      <alignment horizontal="center"/>
    </xf>
    <xf numFmtId="165" fontId="5" fillId="12" borderId="5" xfId="2" applyFont="1" applyFill="1" applyBorder="1" applyAlignment="1" applyProtection="1">
      <alignment horizontal="center"/>
    </xf>
    <xf numFmtId="165" fontId="7" fillId="0" borderId="0" xfId="2" applyFont="1" applyBorder="1" applyAlignment="1" applyProtection="1"/>
    <xf numFmtId="10" fontId="7" fillId="0" borderId="0" xfId="3" applyNumberFormat="1" applyFont="1" applyBorder="1" applyAlignment="1" applyProtection="1"/>
    <xf numFmtId="0" fontId="15" fillId="0" borderId="0" xfId="0" applyFont="1" applyAlignment="1" applyProtection="1"/>
    <xf numFmtId="9" fontId="15" fillId="0" borderId="0" xfId="0" applyNumberFormat="1" applyFont="1" applyAlignment="1" applyProtection="1"/>
    <xf numFmtId="0" fontId="0" fillId="0" borderId="5" xfId="0" applyFont="1" applyBorder="1" applyAlignment="1" applyProtection="1">
      <alignment horizontal="left" wrapText="1"/>
    </xf>
    <xf numFmtId="0" fontId="3" fillId="5" borderId="19" xfId="0" applyFont="1" applyFill="1" applyBorder="1" applyAlignment="1" applyProtection="1">
      <alignment horizontal="center" vertical="center"/>
    </xf>
    <xf numFmtId="0" fontId="3" fillId="5" borderId="19" xfId="0" applyFont="1" applyFill="1" applyBorder="1" applyAlignment="1" applyProtection="1">
      <alignment horizontal="center" vertical="center" wrapText="1"/>
    </xf>
    <xf numFmtId="0" fontId="0" fillId="0" borderId="19" xfId="0" applyBorder="1" applyAlignment="1" applyProtection="1"/>
    <xf numFmtId="10" fontId="0" fillId="0" borderId="19" xfId="0" applyNumberFormat="1" applyBorder="1" applyAlignment="1" applyProtection="1"/>
    <xf numFmtId="2" fontId="0" fillId="0" borderId="19" xfId="0" applyNumberFormat="1" applyBorder="1" applyAlignment="1" applyProtection="1"/>
    <xf numFmtId="4" fontId="0" fillId="0" borderId="19" xfId="0" applyNumberFormat="1" applyBorder="1" applyAlignment="1" applyProtection="1"/>
    <xf numFmtId="2" fontId="5" fillId="7" borderId="19" xfId="0" applyNumberFormat="1" applyFont="1" applyFill="1" applyBorder="1" applyAlignment="1" applyProtection="1">
      <alignment horizontal="right"/>
    </xf>
    <xf numFmtId="10" fontId="0" fillId="0" borderId="0" xfId="0" applyNumberFormat="1" applyAlignment="1" applyProtection="1"/>
    <xf numFmtId="0" fontId="0" fillId="0" borderId="24" xfId="0" applyBorder="1" applyAlignment="1" applyProtection="1">
      <alignment wrapText="1"/>
    </xf>
    <xf numFmtId="2" fontId="0" fillId="0" borderId="25" xfId="0" applyNumberFormat="1" applyBorder="1" applyAlignment="1" applyProtection="1"/>
    <xf numFmtId="0" fontId="1" fillId="0" borderId="0" xfId="10" applyFont="1" applyAlignment="1" applyProtection="1"/>
    <xf numFmtId="0" fontId="5" fillId="14" borderId="0" xfId="8" applyFont="1" applyFill="1" applyAlignment="1" applyProtection="1"/>
    <xf numFmtId="0" fontId="0" fillId="14" borderId="0" xfId="8" applyFont="1" applyFill="1" applyAlignment="1" applyProtection="1"/>
    <xf numFmtId="164" fontId="0" fillId="14" borderId="0" xfId="6" applyFont="1" applyFill="1" applyBorder="1" applyAlignment="1" applyProtection="1"/>
    <xf numFmtId="0" fontId="16" fillId="15" borderId="5" xfId="10" applyFont="1" applyFill="1" applyBorder="1" applyAlignment="1" applyProtection="1">
      <alignment wrapText="1"/>
    </xf>
    <xf numFmtId="0" fontId="16" fillId="15" borderId="12" xfId="10" applyFont="1" applyFill="1" applyBorder="1" applyAlignment="1" applyProtection="1">
      <alignment wrapText="1"/>
    </xf>
    <xf numFmtId="0" fontId="16" fillId="15" borderId="9" xfId="10" applyFont="1" applyFill="1" applyBorder="1" applyAlignment="1" applyProtection="1">
      <alignment wrapText="1"/>
    </xf>
    <xf numFmtId="0" fontId="16" fillId="15" borderId="10" xfId="10" applyFont="1" applyFill="1" applyBorder="1" applyAlignment="1" applyProtection="1">
      <alignment wrapText="1"/>
    </xf>
    <xf numFmtId="0" fontId="0" fillId="0" borderId="5" xfId="8" applyFont="1" applyBorder="1" applyAlignment="1" applyProtection="1">
      <alignment wrapText="1"/>
    </xf>
    <xf numFmtId="0" fontId="0" fillId="0" borderId="5" xfId="8" applyFont="1" applyBorder="1" applyAlignment="1" applyProtection="1"/>
    <xf numFmtId="0" fontId="17" fillId="0" borderId="5" xfId="10" applyFont="1" applyBorder="1" applyAlignment="1" applyProtection="1"/>
    <xf numFmtId="165" fontId="5" fillId="12" borderId="8" xfId="7" applyFont="1" applyFill="1" applyBorder="1" applyAlignment="1" applyProtection="1"/>
    <xf numFmtId="165" fontId="0" fillId="0" borderId="5" xfId="7" applyFont="1" applyBorder="1" applyAlignment="1" applyProtection="1"/>
    <xf numFmtId="0" fontId="5" fillId="0" borderId="5" xfId="8" applyFont="1" applyBorder="1" applyAlignment="1" applyProtection="1"/>
    <xf numFmtId="164" fontId="17" fillId="0" borderId="6" xfId="10" applyNumberFormat="1" applyFont="1" applyBorder="1" applyAlignment="1" applyProtection="1"/>
    <xf numFmtId="164" fontId="1" fillId="0" borderId="5" xfId="10" applyNumberFormat="1" applyFont="1" applyBorder="1" applyAlignment="1" applyProtection="1"/>
    <xf numFmtId="164" fontId="1" fillId="0" borderId="9" xfId="10" applyNumberFormat="1" applyFont="1" applyBorder="1" applyAlignment="1" applyProtection="1"/>
    <xf numFmtId="0" fontId="18" fillId="0" borderId="11" xfId="10" applyFont="1" applyBorder="1" applyAlignment="1" applyProtection="1"/>
    <xf numFmtId="0" fontId="1" fillId="0" borderId="11" xfId="10" applyFont="1" applyBorder="1" applyAlignment="1" applyProtection="1"/>
    <xf numFmtId="164" fontId="0" fillId="0" borderId="0" xfId="6" applyFont="1" applyBorder="1" applyAlignment="1" applyProtection="1"/>
    <xf numFmtId="164" fontId="0" fillId="0" borderId="0" xfId="8" applyNumberFormat="1" applyFont="1" applyBorder="1" applyAlignment="1" applyProtection="1"/>
    <xf numFmtId="3" fontId="1" fillId="0" borderId="1" xfId="10" applyNumberFormat="1" applyFont="1" applyBorder="1" applyAlignment="1" applyProtection="1">
      <alignment horizontal="right"/>
    </xf>
    <xf numFmtId="164" fontId="1" fillId="0" borderId="1" xfId="10" applyNumberFormat="1" applyFont="1" applyBorder="1" applyAlignment="1" applyProtection="1"/>
    <xf numFmtId="0" fontId="19" fillId="0" borderId="0" xfId="10" applyFont="1" applyAlignment="1" applyProtection="1"/>
    <xf numFmtId="0" fontId="1" fillId="0" borderId="0" xfId="10" applyFont="1" applyBorder="1" applyAlignment="1" applyProtection="1"/>
    <xf numFmtId="0" fontId="16" fillId="14" borderId="0" xfId="10" applyFont="1" applyFill="1" applyAlignment="1" applyProtection="1"/>
    <xf numFmtId="0" fontId="1" fillId="14" borderId="0" xfId="10" applyFont="1" applyFill="1" applyAlignment="1" applyProtection="1"/>
    <xf numFmtId="0" fontId="16" fillId="0" borderId="0" xfId="10" applyFont="1" applyAlignment="1" applyProtection="1"/>
    <xf numFmtId="0" fontId="17" fillId="0" borderId="0" xfId="10" applyFont="1" applyAlignment="1" applyProtection="1">
      <alignment wrapText="1"/>
    </xf>
    <xf numFmtId="0" fontId="20" fillId="0" borderId="0" xfId="10" applyFont="1" applyAlignment="1" applyProtection="1"/>
    <xf numFmtId="0" fontId="16" fillId="0" borderId="5" xfId="10" applyFont="1" applyBorder="1" applyAlignment="1" applyProtection="1"/>
    <xf numFmtId="174" fontId="16" fillId="12" borderId="5" xfId="10" applyNumberFormat="1" applyFont="1" applyFill="1" applyBorder="1" applyAlignment="1" applyProtection="1"/>
    <xf numFmtId="174" fontId="17" fillId="0" borderId="5" xfId="10" applyNumberFormat="1" applyFont="1" applyBorder="1" applyAlignment="1" applyProtection="1"/>
    <xf numFmtId="0" fontId="21" fillId="0" borderId="5" xfId="10" applyFont="1" applyBorder="1" applyAlignment="1" applyProtection="1"/>
    <xf numFmtId="0" fontId="22" fillId="0" borderId="0" xfId="10" applyFont="1" applyAlignment="1" applyProtection="1"/>
    <xf numFmtId="0" fontId="16" fillId="16" borderId="10" xfId="10" applyFont="1" applyFill="1" applyBorder="1" applyAlignment="1" applyProtection="1"/>
    <xf numFmtId="0" fontId="16" fillId="16" borderId="11" xfId="10" applyFont="1" applyFill="1" applyBorder="1" applyAlignment="1" applyProtection="1"/>
    <xf numFmtId="0" fontId="16" fillId="16" borderId="12" xfId="10" applyFont="1" applyFill="1" applyBorder="1" applyAlignment="1" applyProtection="1"/>
    <xf numFmtId="0" fontId="22" fillId="17" borderId="10" xfId="10" applyFont="1" applyFill="1" applyBorder="1" applyAlignment="1" applyProtection="1">
      <alignment vertical="top"/>
    </xf>
    <xf numFmtId="0" fontId="22" fillId="17" borderId="11" xfId="10" applyFont="1" applyFill="1" applyBorder="1" applyAlignment="1" applyProtection="1">
      <alignment vertical="top" wrapText="1"/>
    </xf>
    <xf numFmtId="0" fontId="22" fillId="17" borderId="12" xfId="10" applyFont="1" applyFill="1" applyBorder="1" applyAlignment="1" applyProtection="1">
      <alignment vertical="top" wrapText="1"/>
    </xf>
    <xf numFmtId="0" fontId="23" fillId="16" borderId="14" xfId="10" applyFont="1" applyFill="1" applyBorder="1" applyAlignment="1" applyProtection="1"/>
    <xf numFmtId="0" fontId="23" fillId="16" borderId="0" xfId="10" applyFont="1" applyFill="1" applyBorder="1" applyAlignment="1" applyProtection="1"/>
    <xf numFmtId="0" fontId="23" fillId="16" borderId="26" xfId="10" applyFont="1" applyFill="1" applyBorder="1" applyAlignment="1" applyProtection="1"/>
    <xf numFmtId="0" fontId="22" fillId="17" borderId="27" xfId="10" applyFont="1" applyFill="1" applyBorder="1" applyAlignment="1" applyProtection="1">
      <alignment vertical="top"/>
    </xf>
    <xf numFmtId="0" fontId="22" fillId="17" borderId="0" xfId="10" applyFont="1" applyFill="1" applyBorder="1" applyAlignment="1" applyProtection="1">
      <alignment vertical="top" wrapText="1"/>
    </xf>
    <xf numFmtId="0" fontId="22" fillId="17" borderId="26" xfId="10" applyFont="1" applyFill="1" applyBorder="1" applyAlignment="1" applyProtection="1">
      <alignment vertical="top" wrapText="1"/>
    </xf>
    <xf numFmtId="0" fontId="23" fillId="16" borderId="27" xfId="10" applyFont="1" applyFill="1" applyBorder="1" applyAlignment="1" applyProtection="1"/>
    <xf numFmtId="0" fontId="23" fillId="16" borderId="15" xfId="10" applyFont="1" applyFill="1" applyBorder="1" applyAlignment="1" applyProtection="1"/>
    <xf numFmtId="0" fontId="23" fillId="16" borderId="16" xfId="10" applyFont="1" applyFill="1" applyBorder="1" applyAlignment="1" applyProtection="1"/>
    <xf numFmtId="0" fontId="22" fillId="17" borderId="14" xfId="10" applyFont="1" applyFill="1" applyBorder="1" applyAlignment="1" applyProtection="1">
      <alignment vertical="top"/>
    </xf>
    <xf numFmtId="0" fontId="22" fillId="17" borderId="15" xfId="10" applyFont="1" applyFill="1" applyBorder="1" applyAlignment="1" applyProtection="1">
      <alignment vertical="top" wrapText="1"/>
    </xf>
    <xf numFmtId="0" fontId="22" fillId="17" borderId="16" xfId="10" applyFont="1" applyFill="1" applyBorder="1" applyAlignment="1" applyProtection="1">
      <alignment vertical="top" wrapText="1"/>
    </xf>
    <xf numFmtId="0" fontId="16" fillId="15" borderId="6" xfId="10" applyFont="1" applyFill="1" applyBorder="1" applyAlignment="1" applyProtection="1">
      <alignment wrapText="1"/>
    </xf>
    <xf numFmtId="0" fontId="16" fillId="15" borderId="7" xfId="10" applyFont="1" applyFill="1" applyBorder="1" applyAlignment="1" applyProtection="1">
      <alignment wrapText="1"/>
    </xf>
    <xf numFmtId="0" fontId="16" fillId="15" borderId="8" xfId="10" applyFont="1" applyFill="1" applyBorder="1" applyAlignment="1" applyProtection="1">
      <alignment wrapText="1"/>
    </xf>
    <xf numFmtId="0" fontId="16" fillId="0" borderId="6" xfId="10" applyFont="1" applyBorder="1" applyAlignment="1" applyProtection="1"/>
    <xf numFmtId="0" fontId="16" fillId="0" borderId="7" xfId="10" applyFont="1" applyBorder="1" applyAlignment="1" applyProtection="1"/>
    <xf numFmtId="0" fontId="16" fillId="0" borderId="8" xfId="10" applyFont="1" applyBorder="1" applyAlignment="1" applyProtection="1"/>
    <xf numFmtId="2" fontId="16" fillId="12" borderId="5" xfId="10" applyNumberFormat="1" applyFont="1" applyFill="1" applyBorder="1" applyAlignment="1" applyProtection="1"/>
    <xf numFmtId="175" fontId="17" fillId="0" borderId="5" xfId="10" applyNumberFormat="1" applyFont="1" applyBorder="1" applyAlignment="1" applyProtection="1"/>
    <xf numFmtId="3" fontId="5" fillId="0" borderId="5" xfId="10" applyNumberFormat="1" applyFont="1" applyBorder="1" applyAlignment="1" applyProtection="1"/>
    <xf numFmtId="164" fontId="17" fillId="0" borderId="5" xfId="10" applyNumberFormat="1" applyFont="1" applyBorder="1" applyAlignment="1" applyProtection="1"/>
    <xf numFmtId="0" fontId="16" fillId="0" borderId="6" xfId="10" applyFont="1" applyBorder="1" applyAlignment="1" applyProtection="1">
      <alignment vertical="center"/>
    </xf>
    <xf numFmtId="0" fontId="16" fillId="0" borderId="7" xfId="10" applyFont="1" applyBorder="1" applyAlignment="1" applyProtection="1">
      <alignment vertical="center"/>
    </xf>
    <xf numFmtId="0" fontId="16" fillId="0" borderId="8" xfId="10" applyFont="1" applyBorder="1" applyAlignment="1" applyProtection="1">
      <alignment vertical="center"/>
    </xf>
    <xf numFmtId="0" fontId="16" fillId="12" borderId="5" xfId="10" applyFont="1" applyFill="1" applyBorder="1" applyAlignment="1" applyProtection="1"/>
    <xf numFmtId="0" fontId="18" fillId="0" borderId="0" xfId="10" applyFont="1" applyBorder="1" applyAlignment="1" applyProtection="1"/>
    <xf numFmtId="164" fontId="1" fillId="0" borderId="0" xfId="10" applyNumberFormat="1" applyFont="1" applyBorder="1" applyAlignment="1" applyProtection="1"/>
    <xf numFmtId="0" fontId="22" fillId="17" borderId="11" xfId="10" applyFont="1" applyFill="1" applyBorder="1" applyAlignment="1" applyProtection="1">
      <alignment vertical="top"/>
    </xf>
    <xf numFmtId="0" fontId="22" fillId="17" borderId="12" xfId="10" applyFont="1" applyFill="1" applyBorder="1" applyAlignment="1" applyProtection="1">
      <alignment vertical="top"/>
    </xf>
    <xf numFmtId="0" fontId="22" fillId="17" borderId="0" xfId="10" applyFont="1" applyFill="1" applyBorder="1" applyAlignment="1" applyProtection="1">
      <alignment vertical="top"/>
    </xf>
    <xf numFmtId="0" fontId="22" fillId="17" borderId="26" xfId="10" applyFont="1" applyFill="1" applyBorder="1" applyAlignment="1" applyProtection="1">
      <alignment vertical="top"/>
    </xf>
    <xf numFmtId="0" fontId="22" fillId="17" borderId="15" xfId="10" applyFont="1" applyFill="1" applyBorder="1" applyAlignment="1" applyProtection="1">
      <alignment vertical="top"/>
    </xf>
    <xf numFmtId="0" fontId="22" fillId="17" borderId="16" xfId="10" applyFont="1" applyFill="1" applyBorder="1" applyAlignment="1" applyProtection="1">
      <alignment vertical="top"/>
    </xf>
    <xf numFmtId="165" fontId="5" fillId="0" borderId="5" xfId="7" applyFont="1" applyBorder="1" applyAlignment="1" applyProtection="1"/>
    <xf numFmtId="176" fontId="1" fillId="0" borderId="9" xfId="10" applyNumberFormat="1" applyFont="1" applyBorder="1" applyAlignment="1" applyProtection="1"/>
    <xf numFmtId="0" fontId="5" fillId="0" borderId="6" xfId="10" applyFont="1" applyBorder="1" applyAlignment="1" applyProtection="1"/>
    <xf numFmtId="0" fontId="5" fillId="0" borderId="7" xfId="10" applyFont="1" applyBorder="1" applyAlignment="1" applyProtection="1"/>
    <xf numFmtId="0" fontId="5" fillId="0" borderId="8" xfId="10" applyFont="1" applyBorder="1" applyAlignment="1" applyProtection="1"/>
    <xf numFmtId="164" fontId="26" fillId="0" borderId="1" xfId="10" applyNumberFormat="1" applyFont="1" applyBorder="1" applyAlignment="1" applyProtection="1"/>
    <xf numFmtId="177" fontId="1" fillId="0" borderId="0" xfId="10" applyNumberFormat="1" applyFont="1" applyAlignment="1" applyProtection="1"/>
    <xf numFmtId="178" fontId="1" fillId="0" borderId="0" xfId="10" applyNumberFormat="1" applyFont="1" applyAlignment="1" applyProtection="1"/>
    <xf numFmtId="179" fontId="1" fillId="0" borderId="0" xfId="10" applyNumberFormat="1" applyFont="1" applyAlignment="1" applyProtection="1"/>
    <xf numFmtId="0" fontId="27" fillId="0" borderId="0" xfId="0" applyFont="1" applyAlignment="1" applyProtection="1"/>
    <xf numFmtId="0" fontId="28" fillId="0" borderId="0" xfId="0" applyFont="1" applyAlignment="1" applyProtection="1">
      <alignment horizontal="left"/>
    </xf>
    <xf numFmtId="0" fontId="27" fillId="0" borderId="0" xfId="0" applyFont="1" applyBorder="1" applyAlignment="1" applyProtection="1"/>
    <xf numFmtId="0" fontId="29" fillId="5" borderId="5" xfId="0" applyFont="1" applyFill="1" applyBorder="1" applyAlignment="1" applyProtection="1">
      <alignment horizontal="center" vertical="center"/>
    </xf>
    <xf numFmtId="0" fontId="28" fillId="18" borderId="5" xfId="0" applyFont="1" applyFill="1" applyBorder="1" applyAlignment="1" applyProtection="1">
      <alignment vertical="center" wrapText="1"/>
    </xf>
    <xf numFmtId="0" fontId="29" fillId="5" borderId="9" xfId="0" applyFont="1" applyFill="1" applyBorder="1" applyAlignment="1" applyProtection="1">
      <alignment horizontal="center" vertical="center"/>
    </xf>
    <xf numFmtId="0" fontId="28" fillId="0" borderId="5" xfId="0" applyFont="1" applyBorder="1" applyAlignment="1" applyProtection="1">
      <alignment vertical="center"/>
    </xf>
    <xf numFmtId="165" fontId="27" fillId="0" borderId="5" xfId="0" applyNumberFormat="1" applyFont="1" applyBorder="1" applyAlignment="1" applyProtection="1">
      <alignment horizontal="center" vertical="center"/>
    </xf>
    <xf numFmtId="0" fontId="28" fillId="0" borderId="5" xfId="0" applyFont="1" applyBorder="1" applyAlignment="1" applyProtection="1">
      <alignment horizontal="left" vertical="center"/>
    </xf>
    <xf numFmtId="165" fontId="27" fillId="7" borderId="5" xfId="0" applyNumberFormat="1" applyFont="1" applyFill="1" applyBorder="1" applyAlignment="1" applyProtection="1">
      <alignment horizontal="center" vertical="center"/>
    </xf>
    <xf numFmtId="165" fontId="27" fillId="0" borderId="0" xfId="0" applyNumberFormat="1" applyFont="1" applyAlignment="1" applyProtection="1"/>
    <xf numFmtId="0" fontId="28" fillId="0" borderId="0" xfId="0" applyFont="1" applyAlignment="1" applyProtection="1"/>
    <xf numFmtId="0" fontId="29" fillId="5" borderId="5" xfId="0" applyFont="1" applyFill="1" applyBorder="1" applyAlignment="1" applyProtection="1">
      <alignment horizontal="center" vertical="center" wrapText="1"/>
    </xf>
    <xf numFmtId="0" fontId="28" fillId="0" borderId="5" xfId="0" applyFont="1" applyBorder="1" applyAlignment="1" applyProtection="1">
      <alignment horizontal="center" vertical="center" wrapText="1"/>
    </xf>
    <xf numFmtId="165" fontId="27" fillId="0" borderId="5" xfId="0" applyNumberFormat="1" applyFont="1" applyBorder="1" applyAlignment="1" applyProtection="1">
      <alignment horizontal="center" vertical="center" wrapText="1"/>
    </xf>
    <xf numFmtId="0" fontId="28" fillId="19" borderId="5" xfId="0" applyFont="1" applyFill="1" applyBorder="1" applyAlignment="1" applyProtection="1">
      <alignment horizontal="center" vertical="center" wrapText="1"/>
    </xf>
    <xf numFmtId="165" fontId="28" fillId="19" borderId="5" xfId="0" applyNumberFormat="1" applyFont="1" applyFill="1" applyBorder="1" applyAlignment="1" applyProtection="1">
      <alignment horizontal="center" vertical="center" wrapText="1"/>
    </xf>
    <xf numFmtId="164" fontId="27" fillId="0" borderId="0" xfId="0" applyNumberFormat="1" applyFont="1" applyAlignment="1" applyProtection="1"/>
    <xf numFmtId="165" fontId="30" fillId="0" borderId="5" xfId="0" applyNumberFormat="1" applyFont="1" applyBorder="1" applyAlignment="1" applyProtection="1">
      <alignment horizontal="center" vertical="center" wrapText="1"/>
    </xf>
    <xf numFmtId="165" fontId="28" fillId="0" borderId="0" xfId="0" applyNumberFormat="1" applyFont="1" applyBorder="1" applyAlignment="1" applyProtection="1">
      <alignment horizontal="center" vertical="center" wrapText="1"/>
    </xf>
    <xf numFmtId="165" fontId="27" fillId="0" borderId="0" xfId="0" applyNumberFormat="1" applyFont="1" applyBorder="1" applyAlignment="1" applyProtection="1">
      <alignment horizontal="center" vertical="center" wrapText="1"/>
    </xf>
    <xf numFmtId="0" fontId="29" fillId="5" borderId="9" xfId="0" applyFont="1" applyFill="1" applyBorder="1" applyAlignment="1" applyProtection="1">
      <alignment horizontal="center" vertical="center" wrapText="1"/>
    </xf>
    <xf numFmtId="0" fontId="27" fillId="0" borderId="21" xfId="0" applyFont="1" applyBorder="1" applyAlignment="1" applyProtection="1">
      <alignment horizontal="center"/>
    </xf>
    <xf numFmtId="0" fontId="27" fillId="0" borderId="28" xfId="0" applyFont="1" applyBorder="1" applyAlignment="1" applyProtection="1"/>
    <xf numFmtId="165" fontId="28" fillId="0" borderId="28" xfId="0" applyNumberFormat="1" applyFont="1" applyBorder="1" applyAlignment="1" applyProtection="1">
      <alignment horizontal="center" vertical="center" wrapText="1"/>
    </xf>
    <xf numFmtId="165" fontId="27" fillId="0" borderId="28" xfId="0" applyNumberFormat="1" applyFont="1" applyBorder="1" applyAlignment="1" applyProtection="1">
      <alignment horizontal="center" vertical="center" wrapText="1"/>
    </xf>
    <xf numFmtId="165" fontId="27" fillId="0" borderId="22" xfId="0" applyNumberFormat="1" applyFont="1" applyBorder="1" applyAlignment="1" applyProtection="1"/>
    <xf numFmtId="165" fontId="27" fillId="0" borderId="22" xfId="0" applyNumberFormat="1" applyFont="1" applyBorder="1" applyAlignment="1" applyProtection="1">
      <alignment horizontal="center" vertical="center" wrapText="1"/>
    </xf>
    <xf numFmtId="0" fontId="27" fillId="0" borderId="29" xfId="0" applyFont="1" applyBorder="1" applyAlignment="1" applyProtection="1">
      <alignment horizontal="center"/>
    </xf>
    <xf numFmtId="0" fontId="27" fillId="0" borderId="30" xfId="0" applyFont="1" applyBorder="1" applyAlignment="1" applyProtection="1"/>
    <xf numFmtId="165" fontId="28" fillId="0" borderId="30" xfId="0" applyNumberFormat="1" applyFont="1" applyBorder="1" applyAlignment="1" applyProtection="1">
      <alignment horizontal="center" vertical="center" wrapText="1"/>
    </xf>
    <xf numFmtId="165" fontId="27" fillId="0" borderId="30" xfId="0" applyNumberFormat="1" applyFont="1" applyBorder="1" applyAlignment="1" applyProtection="1">
      <alignment horizontal="center" vertical="center" wrapText="1"/>
    </xf>
    <xf numFmtId="165" fontId="27" fillId="0" borderId="31" xfId="0" applyNumberFormat="1" applyFont="1" applyBorder="1" applyAlignment="1" applyProtection="1"/>
    <xf numFmtId="165" fontId="27" fillId="0" borderId="31" xfId="0" applyNumberFormat="1" applyFont="1" applyBorder="1" applyAlignment="1" applyProtection="1">
      <alignment horizontal="center" vertical="center" wrapText="1"/>
    </xf>
    <xf numFmtId="0" fontId="28" fillId="19" borderId="32" xfId="0" applyFont="1" applyFill="1" applyBorder="1" applyAlignment="1" applyProtection="1">
      <alignment horizontal="center"/>
    </xf>
    <xf numFmtId="0" fontId="28" fillId="19" borderId="33" xfId="0" applyFont="1" applyFill="1" applyBorder="1" applyAlignment="1" applyProtection="1">
      <alignment horizontal="center"/>
    </xf>
    <xf numFmtId="165" fontId="28" fillId="19" borderId="33" xfId="0" applyNumberFormat="1" applyFont="1" applyFill="1" applyBorder="1" applyAlignment="1" applyProtection="1">
      <alignment horizontal="center" vertical="center" wrapText="1"/>
    </xf>
    <xf numFmtId="165" fontId="28" fillId="19" borderId="34" xfId="0" applyNumberFormat="1" applyFont="1" applyFill="1" applyBorder="1" applyAlignment="1" applyProtection="1">
      <alignment horizontal="center"/>
    </xf>
    <xf numFmtId="165" fontId="28" fillId="19" borderId="34" xfId="0" applyNumberFormat="1" applyFont="1" applyFill="1" applyBorder="1" applyAlignment="1" applyProtection="1">
      <alignment horizontal="center" vertical="center" wrapText="1"/>
    </xf>
    <xf numFmtId="0" fontId="27" fillId="0" borderId="5" xfId="0" applyFont="1" applyBorder="1" applyAlignment="1" applyProtection="1">
      <alignment horizontal="left" vertical="center" wrapText="1"/>
    </xf>
    <xf numFmtId="167" fontId="27" fillId="0" borderId="5" xfId="0" applyNumberFormat="1" applyFont="1" applyBorder="1" applyAlignment="1" applyProtection="1">
      <alignment horizontal="right" vertical="center" wrapText="1"/>
    </xf>
    <xf numFmtId="10" fontId="27" fillId="0" borderId="5" xfId="0" applyNumberFormat="1" applyFont="1" applyBorder="1" applyAlignment="1" applyProtection="1">
      <alignment horizontal="center" vertical="center" wrapText="1"/>
    </xf>
    <xf numFmtId="176" fontId="27" fillId="0" borderId="5" xfId="0" applyNumberFormat="1" applyFont="1" applyBorder="1" applyAlignment="1" applyProtection="1">
      <alignment horizontal="right" vertical="center"/>
    </xf>
    <xf numFmtId="0" fontId="27" fillId="7" borderId="5" xfId="0" applyFont="1" applyFill="1" applyBorder="1" applyAlignment="1" applyProtection="1">
      <alignment horizontal="left" vertical="center"/>
    </xf>
    <xf numFmtId="167" fontId="28" fillId="7" borderId="5" xfId="0" applyNumberFormat="1" applyFont="1" applyFill="1" applyBorder="1" applyAlignment="1" applyProtection="1">
      <alignment horizontal="right" vertical="center" wrapText="1"/>
    </xf>
    <xf numFmtId="10" fontId="28" fillId="7" borderId="5" xfId="0" applyNumberFormat="1" applyFont="1" applyFill="1" applyBorder="1" applyAlignment="1" applyProtection="1">
      <alignment horizontal="center" vertical="center" wrapText="1"/>
    </xf>
    <xf numFmtId="176" fontId="28" fillId="7" borderId="5" xfId="0" applyNumberFormat="1" applyFont="1" applyFill="1" applyBorder="1" applyAlignment="1" applyProtection="1">
      <alignment horizontal="right" vertical="center"/>
    </xf>
    <xf numFmtId="176" fontId="27" fillId="20" borderId="5" xfId="0" applyNumberFormat="1" applyFont="1" applyFill="1" applyBorder="1" applyAlignment="1" applyProtection="1">
      <alignment horizontal="right" vertical="center"/>
    </xf>
    <xf numFmtId="0" fontId="27" fillId="20" borderId="5" xfId="0" applyFont="1" applyFill="1" applyBorder="1" applyAlignment="1" applyProtection="1">
      <alignment horizontal="right"/>
    </xf>
    <xf numFmtId="0" fontId="29" fillId="5" borderId="6" xfId="0" applyFont="1" applyFill="1" applyBorder="1" applyAlignment="1" applyProtection="1">
      <alignment horizontal="center" vertical="center"/>
    </xf>
    <xf numFmtId="0" fontId="29" fillId="5" borderId="6" xfId="0" applyFont="1" applyFill="1" applyBorder="1" applyAlignment="1" applyProtection="1">
      <alignment horizontal="center" vertical="center" wrapText="1"/>
    </xf>
    <xf numFmtId="165" fontId="27" fillId="0" borderId="5" xfId="0" applyNumberFormat="1" applyFont="1" applyBorder="1" applyAlignment="1" applyProtection="1">
      <alignment horizontal="right" vertical="center"/>
    </xf>
    <xf numFmtId="180" fontId="31" fillId="0" borderId="0" xfId="0" applyNumberFormat="1" applyFont="1" applyAlignment="1" applyProtection="1"/>
    <xf numFmtId="180" fontId="27" fillId="0" borderId="0" xfId="0" applyNumberFormat="1" applyFont="1" applyAlignment="1" applyProtection="1"/>
    <xf numFmtId="0" fontId="32" fillId="7" borderId="5" xfId="0" applyFont="1" applyFill="1" applyBorder="1" applyAlignment="1" applyProtection="1">
      <alignment horizontal="center" vertical="center"/>
    </xf>
    <xf numFmtId="165" fontId="28" fillId="7" borderId="5" xfId="0" applyNumberFormat="1" applyFont="1" applyFill="1" applyBorder="1" applyAlignment="1" applyProtection="1">
      <alignment horizontal="right" vertical="center"/>
    </xf>
    <xf numFmtId="165" fontId="33" fillId="7" borderId="5" xfId="0" applyNumberFormat="1" applyFont="1" applyFill="1" applyBorder="1" applyAlignment="1" applyProtection="1">
      <alignment horizontal="right" vertical="center"/>
    </xf>
    <xf numFmtId="165" fontId="34" fillId="7" borderId="5" xfId="0" applyNumberFormat="1" applyFont="1" applyFill="1" applyBorder="1" applyAlignment="1" applyProtection="1">
      <alignment horizontal="right" vertical="center"/>
    </xf>
    <xf numFmtId="176" fontId="27" fillId="0" borderId="0" xfId="0" applyNumberFormat="1" applyFont="1" applyAlignment="1" applyProtection="1"/>
    <xf numFmtId="0" fontId="35" fillId="0" borderId="0" xfId="0" applyFont="1" applyAlignment="1" applyProtection="1">
      <alignment wrapText="1"/>
    </xf>
    <xf numFmtId="0" fontId="36" fillId="0" borderId="5" xfId="0" applyFont="1" applyBorder="1" applyAlignment="1" applyProtection="1">
      <alignment horizontal="center" wrapText="1"/>
    </xf>
    <xf numFmtId="176" fontId="27" fillId="21" borderId="0" xfId="0" applyNumberFormat="1" applyFont="1" applyFill="1" applyAlignment="1" applyProtection="1">
      <alignment horizontal="center"/>
    </xf>
    <xf numFmtId="0" fontId="27" fillId="21" borderId="0" xfId="0" applyFont="1" applyFill="1" applyAlignment="1" applyProtection="1">
      <alignment horizontal="center"/>
    </xf>
    <xf numFmtId="0" fontId="33" fillId="0" borderId="0" xfId="0" applyFont="1" applyAlignment="1" applyProtection="1"/>
    <xf numFmtId="0" fontId="27" fillId="0" borderId="0" xfId="0" applyFont="1" applyAlignment="1" applyProtection="1">
      <alignment horizontal="center"/>
    </xf>
    <xf numFmtId="0" fontId="36" fillId="0" borderId="0" xfId="0" applyFont="1" applyAlignment="1" applyProtection="1">
      <alignment wrapText="1"/>
    </xf>
    <xf numFmtId="174" fontId="9" fillId="0" borderId="0" xfId="0" applyNumberFormat="1" applyFont="1" applyAlignment="1" applyProtection="1"/>
    <xf numFmtId="0" fontId="37" fillId="0" borderId="5" xfId="0" applyFont="1" applyBorder="1" applyAlignment="1" applyProtection="1"/>
    <xf numFmtId="0" fontId="38" fillId="0" borderId="5" xfId="0" applyFont="1" applyBorder="1" applyAlignment="1" applyProtection="1"/>
    <xf numFmtId="174" fontId="38" fillId="0" borderId="5" xfId="0" applyNumberFormat="1" applyFont="1" applyBorder="1" applyAlignment="1" applyProtection="1"/>
    <xf numFmtId="0" fontId="38" fillId="0" borderId="5" xfId="0" applyFont="1" applyBorder="1" applyAlignment="1" applyProtection="1">
      <alignment wrapText="1"/>
    </xf>
    <xf numFmtId="0" fontId="11" fillId="5" borderId="6" xfId="0" applyFont="1" applyFill="1" applyBorder="1" applyAlignment="1" applyProtection="1">
      <alignment horizontal="left" vertical="center" wrapText="1"/>
    </xf>
    <xf numFmtId="0" fontId="9" fillId="0" borderId="5" xfId="0" applyFont="1" applyBorder="1" applyAlignment="1" applyProtection="1">
      <alignment vertical="top"/>
    </xf>
    <xf numFmtId="181" fontId="9" fillId="0" borderId="16" xfId="0" applyNumberFormat="1" applyFont="1" applyBorder="1" applyAlignment="1" applyProtection="1">
      <alignment horizontal="right" vertical="top"/>
    </xf>
    <xf numFmtId="181" fontId="6" fillId="0" borderId="16" xfId="0" applyNumberFormat="1" applyFont="1" applyBorder="1" applyAlignment="1" applyProtection="1">
      <alignment horizontal="right" vertical="top"/>
    </xf>
    <xf numFmtId="0" fontId="9" fillId="0" borderId="15" xfId="0" applyFont="1" applyBorder="1" applyAlignment="1" applyProtection="1">
      <alignment vertical="top"/>
    </xf>
    <xf numFmtId="0" fontId="9" fillId="0" borderId="5" xfId="0" applyFont="1" applyBorder="1" applyAlignment="1" applyProtection="1">
      <alignment horizontal="left" vertical="top"/>
    </xf>
    <xf numFmtId="174" fontId="6" fillId="0" borderId="8" xfId="0" applyNumberFormat="1" applyFont="1" applyBorder="1" applyAlignment="1" applyProtection="1">
      <alignment horizontal="right" vertical="top"/>
    </xf>
    <xf numFmtId="0" fontId="9" fillId="0" borderId="0" xfId="0" applyFont="1" applyAlignment="1" applyProtection="1">
      <alignment vertical="top"/>
    </xf>
    <xf numFmtId="165" fontId="11" fillId="5" borderId="6" xfId="2" applyFont="1" applyFill="1" applyBorder="1" applyAlignment="1" applyProtection="1">
      <alignment horizontal="left" vertical="center" wrapText="1"/>
    </xf>
    <xf numFmtId="0" fontId="40" fillId="0" borderId="0" xfId="0" applyFont="1" applyBorder="1" applyAlignment="1" applyProtection="1">
      <alignment horizontal="left" vertical="top"/>
    </xf>
    <xf numFmtId="165" fontId="42" fillId="23" borderId="5" xfId="0" applyNumberFormat="1" applyFont="1" applyFill="1" applyBorder="1" applyAlignment="1" applyProtection="1">
      <alignment horizontal="center" vertical="center"/>
    </xf>
    <xf numFmtId="43" fontId="27" fillId="0" borderId="0" xfId="0" applyNumberFormat="1" applyFont="1" applyAlignment="1" applyProtection="1"/>
    <xf numFmtId="0" fontId="9" fillId="24" borderId="5" xfId="0" applyFont="1" applyFill="1" applyBorder="1" applyAlignment="1" applyProtection="1">
      <alignment vertical="top"/>
    </xf>
    <xf numFmtId="181" fontId="9" fillId="24" borderId="16" xfId="0" applyNumberFormat="1" applyFont="1" applyFill="1" applyBorder="1" applyAlignment="1" applyProtection="1">
      <alignment horizontal="right" vertical="top"/>
    </xf>
    <xf numFmtId="0" fontId="38" fillId="0" borderId="6" xfId="0" applyFont="1" applyBorder="1" applyAlignment="1" applyProtection="1">
      <alignment horizontal="center" wrapText="1"/>
    </xf>
    <xf numFmtId="0" fontId="37" fillId="0" borderId="21" xfId="0" applyFont="1" applyBorder="1" applyAlignment="1" applyProtection="1">
      <alignment horizontal="center" wrapText="1"/>
    </xf>
    <xf numFmtId="0" fontId="37" fillId="22" borderId="28" xfId="0" applyFont="1" applyFill="1" applyBorder="1" applyAlignment="1" applyProtection="1">
      <alignment horizontal="center" wrapText="1"/>
    </xf>
    <xf numFmtId="0" fontId="38" fillId="0" borderId="22" xfId="0" applyFont="1" applyBorder="1" applyAlignment="1" applyProtection="1">
      <alignment horizontal="center" wrapText="1"/>
    </xf>
    <xf numFmtId="0" fontId="37" fillId="22" borderId="21" xfId="0" applyFont="1" applyFill="1" applyBorder="1" applyAlignment="1" applyProtection="1">
      <alignment horizontal="center" wrapText="1"/>
    </xf>
    <xf numFmtId="174" fontId="37" fillId="22" borderId="22" xfId="0" applyNumberFormat="1" applyFont="1" applyFill="1" applyBorder="1" applyAlignment="1" applyProtection="1">
      <alignment horizontal="center" wrapText="1"/>
    </xf>
    <xf numFmtId="0" fontId="38" fillId="24" borderId="21" xfId="0" applyFont="1" applyFill="1" applyBorder="1" applyAlignment="1" applyProtection="1">
      <alignment horizontal="center" wrapText="1"/>
    </xf>
    <xf numFmtId="0" fontId="38" fillId="0" borderId="28" xfId="0" applyFont="1" applyBorder="1" applyAlignment="1" applyProtection="1">
      <alignment horizontal="center" wrapText="1"/>
    </xf>
    <xf numFmtId="0" fontId="43" fillId="0" borderId="0" xfId="0" applyFont="1" applyAlignment="1" applyProtection="1"/>
    <xf numFmtId="0" fontId="37" fillId="0" borderId="9" xfId="0" applyFont="1" applyBorder="1" applyAlignment="1" applyProtection="1">
      <alignment horizontal="right"/>
    </xf>
    <xf numFmtId="0" fontId="38" fillId="0" borderId="10" xfId="0" applyFont="1" applyBorder="1" applyAlignment="1" applyProtection="1">
      <alignment horizontal="center"/>
    </xf>
    <xf numFmtId="4" fontId="28" fillId="0" borderId="35" xfId="0" applyNumberFormat="1" applyFont="1" applyBorder="1" applyAlignment="1" applyProtection="1">
      <alignment horizontal="center"/>
    </xf>
    <xf numFmtId="181" fontId="39" fillId="22" borderId="9" xfId="0" applyNumberFormat="1" applyFont="1" applyFill="1" applyBorder="1" applyAlignment="1" applyProtection="1">
      <alignment horizontal="center"/>
    </xf>
    <xf numFmtId="181" fontId="39" fillId="0" borderId="36" xfId="0" applyNumberFormat="1" applyFont="1" applyBorder="1" applyAlignment="1" applyProtection="1">
      <alignment horizontal="center"/>
    </xf>
    <xf numFmtId="181" fontId="39" fillId="22" borderId="37" xfId="0" applyNumberFormat="1" applyFont="1" applyFill="1" applyBorder="1" applyAlignment="1" applyProtection="1">
      <alignment horizontal="center"/>
    </xf>
    <xf numFmtId="174" fontId="39" fillId="22" borderId="36" xfId="0" applyNumberFormat="1" applyFont="1" applyFill="1" applyBorder="1" applyAlignment="1" applyProtection="1">
      <alignment horizontal="center"/>
    </xf>
    <xf numFmtId="181" fontId="39" fillId="24" borderId="37" xfId="0" applyNumberFormat="1" applyFont="1" applyFill="1" applyBorder="1" applyAlignment="1" applyProtection="1">
      <alignment horizontal="center"/>
    </xf>
    <xf numFmtId="181" fontId="39" fillId="0" borderId="9" xfId="0" applyNumberFormat="1" applyFont="1" applyBorder="1" applyAlignment="1" applyProtection="1">
      <alignment horizontal="center"/>
    </xf>
    <xf numFmtId="0" fontId="11" fillId="5" borderId="14" xfId="0" applyFont="1" applyFill="1" applyBorder="1" applyAlignment="1" applyProtection="1">
      <alignment horizontal="left" vertical="center" wrapText="1"/>
    </xf>
    <xf numFmtId="0" fontId="43" fillId="0" borderId="0" xfId="0" applyFont="1" applyBorder="1" applyAlignment="1" applyProtection="1">
      <alignment horizontal="center" vertical="top"/>
    </xf>
    <xf numFmtId="0" fontId="43" fillId="0" borderId="0" xfId="0" applyFont="1" applyBorder="1" applyAlignment="1" applyProtection="1">
      <alignment horizontal="center" vertical="top" wrapText="1"/>
    </xf>
    <xf numFmtId="0" fontId="43" fillId="0" borderId="0" xfId="0" applyFont="1" applyFill="1" applyBorder="1" applyAlignment="1" applyProtection="1">
      <alignment horizontal="center" vertical="top"/>
    </xf>
    <xf numFmtId="9" fontId="43" fillId="0" borderId="0" xfId="0" applyNumberFormat="1" applyFont="1" applyBorder="1" applyAlignment="1" applyProtection="1">
      <alignment horizontal="center" vertical="top"/>
    </xf>
    <xf numFmtId="174" fontId="43" fillId="0" borderId="0" xfId="0" applyNumberFormat="1" applyFont="1" applyBorder="1" applyAlignment="1" applyProtection="1">
      <alignment horizontal="center" vertical="top"/>
    </xf>
    <xf numFmtId="4" fontId="43" fillId="0" borderId="0" xfId="0" applyNumberFormat="1" applyFont="1" applyAlignment="1" applyProtection="1"/>
    <xf numFmtId="43" fontId="43" fillId="0" borderId="0" xfId="0" applyNumberFormat="1" applyFont="1" applyAlignment="1" applyProtection="1"/>
    <xf numFmtId="0" fontId="44" fillId="0" borderId="0" xfId="0" applyFont="1" applyAlignment="1" applyProtection="1">
      <alignment horizontal="right"/>
    </xf>
    <xf numFmtId="165" fontId="45" fillId="0" borderId="0" xfId="0" applyNumberFormat="1" applyFont="1" applyBorder="1" applyAlignment="1" applyProtection="1">
      <alignment horizontal="center" vertical="center" wrapText="1"/>
    </xf>
    <xf numFmtId="165" fontId="44" fillId="0" borderId="0" xfId="0" applyNumberFormat="1" applyFont="1" applyBorder="1" applyAlignment="1" applyProtection="1">
      <alignment horizontal="center" vertical="center" wrapText="1"/>
    </xf>
    <xf numFmtId="0" fontId="4" fillId="13" borderId="19" xfId="0" applyFont="1" applyFill="1" applyBorder="1" applyAlignment="1" applyProtection="1">
      <alignment horizontal="center" vertical="center" wrapText="1"/>
    </xf>
    <xf numFmtId="0" fontId="5" fillId="7" borderId="19" xfId="0" applyFont="1" applyFill="1" applyBorder="1" applyAlignment="1" applyProtection="1">
      <alignment horizontal="left"/>
    </xf>
    <xf numFmtId="0" fontId="4" fillId="13" borderId="23" xfId="0" applyFont="1" applyFill="1" applyBorder="1" applyAlignment="1" applyProtection="1">
      <alignment horizontal="center" vertical="center" wrapText="1"/>
    </xf>
    <xf numFmtId="0" fontId="29" fillId="5" borderId="5" xfId="0" applyFont="1" applyFill="1" applyBorder="1" applyAlignment="1" applyProtection="1">
      <alignment horizontal="center" vertical="center"/>
    </xf>
    <xf numFmtId="0" fontId="27" fillId="0" borderId="27" xfId="0" applyFont="1" applyBorder="1" applyAlignment="1" applyProtection="1">
      <alignment horizontal="center" vertical="center" wrapText="1"/>
    </xf>
    <xf numFmtId="0" fontId="29" fillId="5" borderId="9" xfId="0" applyFont="1" applyFill="1" applyBorder="1" applyAlignment="1" applyProtection="1">
      <alignment horizontal="center" vertical="center" wrapText="1"/>
    </xf>
    <xf numFmtId="0" fontId="11" fillId="5" borderId="14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</cellXfs>
  <cellStyles count="13">
    <cellStyle name="Coma" xfId="1" builtinId="3"/>
    <cellStyle name="Coma 2" xfId="4"/>
    <cellStyle name="Millares 2" xfId="5"/>
    <cellStyle name="Millares 3" xfId="6"/>
    <cellStyle name="Moneda" xfId="2" builtinId="4"/>
    <cellStyle name="Moneda 2" xfId="7"/>
    <cellStyle name="Normal" xfId="0" builtinId="0"/>
    <cellStyle name="Normal 2" xfId="8"/>
    <cellStyle name="Normal 3" xfId="9"/>
    <cellStyle name="Normal 3 2" xfId="10"/>
    <cellStyle name="Normal 4" xfId="11"/>
    <cellStyle name="Normal 5" xfId="12"/>
    <cellStyle name="Percentatge" xfId="3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FBFBF"/>
      <rgbColor rgb="FF767171"/>
      <rgbColor rgb="FF8E7CC3"/>
      <rgbColor rgb="FFC9211E"/>
      <rgbColor rgb="FFFFF2CC"/>
      <rgbColor rgb="FFDDEBF7"/>
      <rgbColor rgb="FF660066"/>
      <rgbColor rgb="FFFF8080"/>
      <rgbColor rgb="FF0066CC"/>
      <rgbColor rgb="FFC9DAF8"/>
      <rgbColor rgb="FF000080"/>
      <rgbColor rgb="FFFF00FF"/>
      <rgbColor rgb="FFF2F2F2"/>
      <rgbColor rgb="FF00FFFF"/>
      <rgbColor rgb="FF800080"/>
      <rgbColor rgb="FF800000"/>
      <rgbColor rgb="FF008080"/>
      <rgbColor rgb="FF0000FF"/>
      <rgbColor rgb="FF00CCFF"/>
      <rgbColor rgb="FFBBE6FE"/>
      <rgbColor rgb="FFC4FEBB"/>
      <rgbColor rgb="FFFFF1C1"/>
      <rgbColor rgb="FFD9D9D9"/>
      <rgbColor rgb="FFE7E6E6"/>
      <rgbColor rgb="FFEFEFEF"/>
      <rgbColor rgb="FFD0CECE"/>
      <rgbColor rgb="FF3366FF"/>
      <rgbColor rgb="FF33CCCC"/>
      <rgbColor rgb="FF89FD78"/>
      <rgbColor rgb="FFFFC000"/>
      <rgbColor rgb="FFFF9900"/>
      <rgbColor rgb="FFFF6600"/>
      <rgbColor rgb="FF595959"/>
      <rgbColor rgb="FFAFABAB"/>
      <rgbColor rgb="FF003366"/>
      <rgbColor rgb="FF339966"/>
      <rgbColor rgb="FF003300"/>
      <rgbColor rgb="FF333300"/>
      <rgbColor rgb="FF971917"/>
      <rgbColor rgb="FF993366"/>
      <rgbColor rgb="FF1F49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aws.amazon.com/es/s3/pricing/?nc=sn&amp;loc=4" TargetMode="External"/><Relationship Id="rId2" Type="http://schemas.openxmlformats.org/officeDocument/2006/relationships/hyperlink" Target="https://aws.amazon.com/es/ec2/pricing/on-demand/" TargetMode="External"/><Relationship Id="rId1" Type="http://schemas.openxmlformats.org/officeDocument/2006/relationships/hyperlink" Target="https://aws.amazon.com/es/s3/pricing/?nc=sn&amp;loc=4" TargetMode="External"/><Relationship Id="rId6" Type="http://schemas.openxmlformats.org/officeDocument/2006/relationships/hyperlink" Target="https://www.digitalocean.com/pricing/" TargetMode="External"/><Relationship Id="rId5" Type="http://schemas.openxmlformats.org/officeDocument/2006/relationships/hyperlink" Target="https://aws.amazon.com/es/s3/pricing/?nc=sn&amp;loc=4" TargetMode="External"/><Relationship Id="rId4" Type="http://schemas.openxmlformats.org/officeDocument/2006/relationships/hyperlink" Target="https://www.digitalocean.com/pricing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1"/>
  <sheetViews>
    <sheetView tabSelected="1" zoomScale="80" zoomScaleNormal="80" workbookViewId="0"/>
  </sheetViews>
  <sheetFormatPr defaultColWidth="11.44140625" defaultRowHeight="14.4" x14ac:dyDescent="0.3"/>
  <cols>
    <col min="1" max="1" width="19.109375" style="1" customWidth="1"/>
    <col min="2" max="2" width="11.88671875" style="2" customWidth="1"/>
    <col min="3" max="3" width="22.109375" style="3" customWidth="1"/>
    <col min="4" max="4" width="15.109375" style="2" customWidth="1"/>
    <col min="5" max="5" width="33.109375" style="4" customWidth="1"/>
    <col min="6" max="6" width="21.88671875" style="3" customWidth="1"/>
    <col min="7" max="7" width="12.33203125" style="3" customWidth="1"/>
    <col min="8" max="8" width="17.33203125" style="5" customWidth="1"/>
    <col min="9" max="9" width="15.6640625" style="5" customWidth="1"/>
    <col min="10" max="10" width="14" style="5" customWidth="1"/>
    <col min="11" max="11" width="21.33203125" style="5" customWidth="1"/>
    <col min="12" max="12" width="17.5546875" style="5" customWidth="1"/>
    <col min="13" max="13" width="22.44140625" style="5" customWidth="1"/>
    <col min="14" max="14" width="15.109375" style="5" customWidth="1"/>
    <col min="15" max="15" width="21.44140625" style="5" customWidth="1"/>
    <col min="16" max="16" width="23.44140625" style="5" customWidth="1"/>
    <col min="17" max="17" width="15.33203125" style="5" customWidth="1"/>
    <col min="18" max="18" width="14.33203125" style="5" customWidth="1"/>
    <col min="19" max="19" width="14.6640625" style="5" customWidth="1"/>
    <col min="20" max="20" width="15.6640625" style="5" customWidth="1"/>
    <col min="21" max="21" width="14.6640625" style="1" customWidth="1"/>
    <col min="22" max="22" width="16.88671875" style="5" customWidth="1"/>
    <col min="23" max="23" width="20.109375" style="5" customWidth="1"/>
    <col min="24" max="16384" width="11.44140625" style="5"/>
  </cols>
  <sheetData>
    <row r="1" spans="1:23" ht="31.5" customHeight="1" x14ac:dyDescent="0.3">
      <c r="A1" s="6" t="s">
        <v>0</v>
      </c>
      <c r="B1" s="7"/>
      <c r="C1" s="8"/>
      <c r="D1" s="6"/>
      <c r="E1" s="9"/>
      <c r="F1" s="10" t="s">
        <v>1</v>
      </c>
      <c r="G1" s="5"/>
      <c r="J1" s="11"/>
      <c r="T1" s="1"/>
      <c r="U1" s="5"/>
      <c r="V1" s="1"/>
    </row>
    <row r="2" spans="1:23" ht="16.5" customHeight="1" x14ac:dyDescent="0.3">
      <c r="A2" s="12" t="s">
        <v>2</v>
      </c>
      <c r="B2" s="13">
        <v>45467</v>
      </c>
      <c r="C2" s="14"/>
      <c r="D2" s="15"/>
      <c r="E2" s="11"/>
      <c r="F2" s="16" t="s">
        <v>3</v>
      </c>
      <c r="G2" s="17"/>
      <c r="I2" s="18"/>
      <c r="T2" s="1"/>
      <c r="U2" s="5"/>
      <c r="V2" s="1"/>
    </row>
    <row r="3" spans="1:23" ht="18" customHeight="1" x14ac:dyDescent="0.3">
      <c r="A3" s="12" t="s">
        <v>4</v>
      </c>
      <c r="B3" s="13">
        <v>45497</v>
      </c>
      <c r="C3" s="14"/>
      <c r="D3" s="15"/>
      <c r="E3" s="11"/>
      <c r="F3" s="16" t="s">
        <v>5</v>
      </c>
      <c r="G3" s="17"/>
      <c r="H3" s="19"/>
      <c r="I3" s="18"/>
      <c r="P3" s="20"/>
      <c r="T3" s="1"/>
      <c r="U3" s="5"/>
      <c r="V3" s="1"/>
    </row>
    <row r="4" spans="1:23" s="10" customFormat="1" ht="21.75" customHeight="1" x14ac:dyDescent="0.3">
      <c r="A4" s="12" t="s">
        <v>6</v>
      </c>
      <c r="B4" s="13">
        <v>46561</v>
      </c>
      <c r="C4" s="14"/>
      <c r="D4" s="15"/>
      <c r="E4" s="11"/>
      <c r="F4" s="3" t="s">
        <v>7</v>
      </c>
      <c r="G4" s="5">
        <v>12</v>
      </c>
      <c r="H4" s="5">
        <v>12</v>
      </c>
      <c r="I4" s="21">
        <v>5.74</v>
      </c>
      <c r="J4" s="22"/>
      <c r="K4" s="5"/>
      <c r="L4" s="5"/>
      <c r="M4" s="23" t="s">
        <v>8</v>
      </c>
      <c r="N4" s="24">
        <v>6.26</v>
      </c>
      <c r="O4" s="25">
        <v>12</v>
      </c>
      <c r="P4" s="25">
        <v>5.74</v>
      </c>
      <c r="Q4" s="25"/>
      <c r="R4" s="25"/>
      <c r="S4" s="5"/>
      <c r="T4" s="5"/>
      <c r="U4" s="1"/>
      <c r="V4" s="5"/>
      <c r="W4" s="1"/>
    </row>
    <row r="5" spans="1:23" ht="28.8" x14ac:dyDescent="0.3">
      <c r="A5" s="26" t="s">
        <v>9</v>
      </c>
      <c r="B5" s="27">
        <v>46562</v>
      </c>
      <c r="C5" s="14"/>
      <c r="D5" s="28"/>
      <c r="E5" s="29" t="s">
        <v>10</v>
      </c>
      <c r="F5" s="30" t="s">
        <v>11</v>
      </c>
      <c r="G5" s="31" t="s">
        <v>12</v>
      </c>
      <c r="H5" s="31" t="s">
        <v>13</v>
      </c>
      <c r="I5" s="32" t="s">
        <v>14</v>
      </c>
      <c r="J5" s="33" t="s">
        <v>15</v>
      </c>
      <c r="K5" s="34" t="s">
        <v>16</v>
      </c>
      <c r="M5" s="35" t="s">
        <v>10</v>
      </c>
      <c r="N5" s="36" t="s">
        <v>14</v>
      </c>
      <c r="O5" s="36" t="s">
        <v>17</v>
      </c>
      <c r="P5" s="36" t="s">
        <v>18</v>
      </c>
      <c r="Q5" s="37" t="s">
        <v>15</v>
      </c>
      <c r="R5" s="37" t="s">
        <v>19</v>
      </c>
      <c r="U5" s="5"/>
      <c r="V5" s="1"/>
    </row>
    <row r="6" spans="1:23" x14ac:dyDescent="0.3">
      <c r="A6" s="26" t="s">
        <v>20</v>
      </c>
      <c r="B6" s="27">
        <v>47292</v>
      </c>
      <c r="C6" s="38" t="s">
        <v>21</v>
      </c>
      <c r="E6" s="39" t="s">
        <v>22</v>
      </c>
      <c r="F6" s="17">
        <f>+H20</f>
        <v>50294.02</v>
      </c>
      <c r="G6" s="17">
        <f>+H28</f>
        <v>114739.2</v>
      </c>
      <c r="H6" s="17">
        <f>+H36</f>
        <v>114739.2</v>
      </c>
      <c r="I6" s="17">
        <f>H44</f>
        <v>54883.58</v>
      </c>
      <c r="J6" s="17">
        <f>ROUND(SUM(F6:I6),2)</f>
        <v>334656</v>
      </c>
      <c r="K6" s="17">
        <f>+ROUND(J6/1.21,2)</f>
        <v>276575.21000000002</v>
      </c>
      <c r="L6" s="17"/>
      <c r="M6" s="39" t="s">
        <v>22</v>
      </c>
      <c r="N6" s="17">
        <f>+H53</f>
        <v>59855.62</v>
      </c>
      <c r="O6" s="17">
        <f>+H61</f>
        <v>114739.2</v>
      </c>
      <c r="P6" s="17">
        <f>+H69</f>
        <v>54883.58</v>
      </c>
      <c r="Q6" s="17">
        <f>SUM(N6:P6)</f>
        <v>229478.40000000002</v>
      </c>
      <c r="R6" s="17">
        <f>+ROUND(Q6/1.21,2)</f>
        <v>189651.57</v>
      </c>
      <c r="U6" s="5"/>
      <c r="V6" s="1"/>
    </row>
    <row r="7" spans="1:23" x14ac:dyDescent="0.3">
      <c r="A7" s="40"/>
      <c r="B7" s="41"/>
      <c r="C7" s="38" t="s">
        <v>23</v>
      </c>
      <c r="E7" s="39" t="s">
        <v>24</v>
      </c>
      <c r="F7" s="17">
        <f>+K20</f>
        <v>30065.65</v>
      </c>
      <c r="G7" s="17">
        <f>+K28</f>
        <v>38605.14</v>
      </c>
      <c r="H7" s="17">
        <f>+K36</f>
        <v>18718.98</v>
      </c>
      <c r="I7" s="17">
        <f>K44</f>
        <v>4993.08</v>
      </c>
      <c r="J7" s="17">
        <f>ROUND(SUM(F7:I7),2)</f>
        <v>92382.85</v>
      </c>
      <c r="K7" s="17">
        <f>+ROUND(J7/1.21,2)</f>
        <v>76349.460000000006</v>
      </c>
      <c r="L7" s="17"/>
      <c r="M7" s="39" t="s">
        <v>24</v>
      </c>
      <c r="N7" s="17">
        <f>+K53</f>
        <v>5445.41</v>
      </c>
      <c r="O7" s="17">
        <f>+K61</f>
        <v>10438.49</v>
      </c>
      <c r="P7" s="17">
        <f>+K69</f>
        <v>4993.08</v>
      </c>
      <c r="Q7" s="17">
        <f>SUM(N7:P7)</f>
        <v>20876.98</v>
      </c>
      <c r="R7" s="17">
        <f>+ROUND(Q7/1.21,2)</f>
        <v>17253.7</v>
      </c>
      <c r="U7" s="5"/>
      <c r="V7" s="1"/>
    </row>
    <row r="8" spans="1:23" s="10" customFormat="1" ht="28.8" x14ac:dyDescent="0.3">
      <c r="A8" s="40"/>
      <c r="B8" s="41"/>
      <c r="C8" s="38" t="s">
        <v>23</v>
      </c>
      <c r="D8" s="2"/>
      <c r="E8" s="39" t="s">
        <v>25</v>
      </c>
      <c r="F8" s="17">
        <f>N20</f>
        <v>75000</v>
      </c>
      <c r="G8" s="17">
        <f>N28</f>
        <v>150000</v>
      </c>
      <c r="H8" s="17">
        <f>N36</f>
        <v>150000</v>
      </c>
      <c r="I8" s="17">
        <f>N44</f>
        <v>71750</v>
      </c>
      <c r="J8" s="17">
        <f>ROUND(SUM(F8:I8),2)</f>
        <v>446750</v>
      </c>
      <c r="K8" s="17">
        <f>+ROUND(J8/1.21,2)</f>
        <v>369214.88</v>
      </c>
      <c r="L8" s="17"/>
      <c r="M8" s="39" t="s">
        <v>26</v>
      </c>
      <c r="N8" s="17">
        <f>+N53</f>
        <v>78250</v>
      </c>
      <c r="O8" s="17">
        <f>+N61</f>
        <v>150000</v>
      </c>
      <c r="P8" s="17">
        <f>+N69</f>
        <v>71750</v>
      </c>
      <c r="Q8" s="17">
        <f>SUM(N8:P8)</f>
        <v>300000</v>
      </c>
      <c r="R8" s="17">
        <f>+ROUND(Q8/1.21,2)</f>
        <v>247933.88</v>
      </c>
      <c r="S8" s="5"/>
      <c r="T8" s="5"/>
      <c r="U8" s="5"/>
      <c r="V8" s="1"/>
      <c r="W8" s="5"/>
    </row>
    <row r="9" spans="1:23" s="10" customFormat="1" ht="28.8" x14ac:dyDescent="0.3">
      <c r="A9" s="14"/>
      <c r="B9" s="14"/>
      <c r="C9" s="38" t="s">
        <v>27</v>
      </c>
      <c r="D9" s="2"/>
      <c r="E9" s="39" t="s">
        <v>28</v>
      </c>
      <c r="F9" s="17">
        <f>+O20</f>
        <v>65843.16</v>
      </c>
      <c r="G9" s="17">
        <f>+O28</f>
        <v>157723.17000000001</v>
      </c>
      <c r="H9" s="17">
        <f>+O36</f>
        <v>165609.32999999999</v>
      </c>
      <c r="I9" s="17">
        <f>+O44</f>
        <v>83177.289999999994</v>
      </c>
      <c r="J9" s="17">
        <f>ROUND(SUM(F9:I9),2)</f>
        <v>472352.95</v>
      </c>
      <c r="K9" s="17">
        <f>+ROUND(J9/1.21,2)</f>
        <v>390374.34</v>
      </c>
      <c r="L9" s="17"/>
      <c r="M9" s="39" t="s">
        <v>28</v>
      </c>
      <c r="N9" s="17">
        <f>+O53</f>
        <v>90712.506500000003</v>
      </c>
      <c r="O9" s="17">
        <f>+O61</f>
        <v>173889.7965</v>
      </c>
      <c r="P9" s="17">
        <f>+O69</f>
        <v>83177.285992500008</v>
      </c>
      <c r="Q9" s="17">
        <f>SUM(N9:P9)</f>
        <v>347779.58899250004</v>
      </c>
      <c r="R9" s="17">
        <f>+ROUND(Q9/1.21,2)</f>
        <v>287421.15000000002</v>
      </c>
      <c r="S9" s="5"/>
      <c r="T9" s="5"/>
      <c r="U9" s="5"/>
      <c r="V9" s="1"/>
      <c r="W9" s="5"/>
    </row>
    <row r="10" spans="1:23" s="10" customFormat="1" x14ac:dyDescent="0.3">
      <c r="A10" s="14"/>
      <c r="B10" s="14"/>
      <c r="C10" s="38" t="s">
        <v>29</v>
      </c>
      <c r="D10" s="2"/>
      <c r="E10" s="42" t="s">
        <v>30</v>
      </c>
      <c r="F10" s="17">
        <f>+R20</f>
        <v>111377.34</v>
      </c>
      <c r="G10" s="17">
        <f>+R28</f>
        <v>254092.79999999999</v>
      </c>
      <c r="H10" s="17">
        <f>+R36</f>
        <v>254092.79999999999</v>
      </c>
      <c r="I10" s="17">
        <f>R44</f>
        <v>121541.06</v>
      </c>
      <c r="J10" s="17">
        <f>ROUND(SUM(F10:I10),2)</f>
        <v>741104</v>
      </c>
      <c r="K10" s="17">
        <f>+ROUND(J10/1.21,2)</f>
        <v>612482.64</v>
      </c>
      <c r="L10" s="17"/>
      <c r="M10" s="42" t="s">
        <v>30</v>
      </c>
      <c r="N10" s="17">
        <f>+R53</f>
        <v>132551.74</v>
      </c>
      <c r="O10" s="17">
        <f>+R61</f>
        <v>254092.79999999999</v>
      </c>
      <c r="P10" s="17">
        <f>+R69</f>
        <v>121541.06</v>
      </c>
      <c r="Q10" s="17">
        <f>SUM(N10:P10)</f>
        <v>508185.59999999998</v>
      </c>
      <c r="R10" s="17">
        <f>+ROUND(Q10/1.21,2)</f>
        <v>419988.1</v>
      </c>
      <c r="S10" s="5"/>
      <c r="T10" s="5"/>
      <c r="U10" s="5"/>
      <c r="V10" s="1"/>
      <c r="W10" s="5"/>
    </row>
    <row r="11" spans="1:23" s="10" customFormat="1" ht="28.8" x14ac:dyDescent="0.3">
      <c r="A11" s="43"/>
      <c r="B11" s="43"/>
      <c r="C11" s="44"/>
      <c r="D11" s="16"/>
      <c r="E11" s="45" t="s">
        <v>31</v>
      </c>
      <c r="F11" s="46">
        <f>SUM(F6:F10)</f>
        <v>332580.17</v>
      </c>
      <c r="G11" s="47">
        <f>SUM(G6:G10)</f>
        <v>715160.31</v>
      </c>
      <c r="H11" s="47">
        <f>SUM(H6:H10)</f>
        <v>703160.31</v>
      </c>
      <c r="I11" s="47">
        <f>SUM(I6:I10)</f>
        <v>336345.01</v>
      </c>
      <c r="J11" s="48">
        <f>ROUND(SUM(J6:J10),2)</f>
        <v>2087245.8</v>
      </c>
      <c r="K11" s="49">
        <f>ROUND(SUM(K6:K10),2)</f>
        <v>1724996.53</v>
      </c>
      <c r="L11" s="50"/>
      <c r="M11" s="51" t="s">
        <v>32</v>
      </c>
      <c r="N11" s="52">
        <f>SUM(N6:N10)</f>
        <v>366815.27649999998</v>
      </c>
      <c r="O11" s="52">
        <f>SUM(O6:O10)</f>
        <v>703160.28649999993</v>
      </c>
      <c r="P11" s="52">
        <f>SUM(P6:P10)</f>
        <v>336345.0059925</v>
      </c>
      <c r="Q11" s="53">
        <f>SUM(Q6:Q10)</f>
        <v>1406320.5689925002</v>
      </c>
      <c r="R11" s="53">
        <f>SUM(R6:R10)</f>
        <v>1162248.3999999999</v>
      </c>
      <c r="V11" s="54"/>
    </row>
    <row r="12" spans="1:23" s="10" customFormat="1" x14ac:dyDescent="0.3">
      <c r="A12" s="14"/>
      <c r="B12" s="14"/>
      <c r="C12" s="55"/>
      <c r="D12" s="3"/>
      <c r="E12" s="39"/>
      <c r="F12" s="56"/>
      <c r="G12" s="56"/>
      <c r="H12" s="56"/>
      <c r="I12" s="56"/>
      <c r="J12" s="50"/>
      <c r="K12" s="50"/>
      <c r="L12" s="50"/>
      <c r="M12" s="39"/>
      <c r="N12" s="56"/>
      <c r="O12" s="56"/>
      <c r="P12" s="56"/>
      <c r="Q12" s="50"/>
      <c r="R12" s="50"/>
      <c r="S12" s="5"/>
      <c r="T12" s="5"/>
      <c r="U12" s="5"/>
      <c r="V12" s="1"/>
      <c r="W12" s="5"/>
    </row>
    <row r="13" spans="1:23" s="10" customFormat="1" x14ac:dyDescent="0.3">
      <c r="A13" s="14"/>
      <c r="B13" s="14"/>
      <c r="C13" s="55"/>
      <c r="D13" s="3"/>
      <c r="E13" s="57" t="s">
        <v>33</v>
      </c>
      <c r="F13" s="58">
        <f t="shared" ref="F13:K13" si="0">F11-F14</f>
        <v>257580.16999999998</v>
      </c>
      <c r="G13" s="59">
        <f t="shared" si="0"/>
        <v>565160.31000000006</v>
      </c>
      <c r="H13" s="59">
        <f t="shared" si="0"/>
        <v>553160.31000000006</v>
      </c>
      <c r="I13" s="60">
        <f t="shared" si="0"/>
        <v>264595.01</v>
      </c>
      <c r="J13" s="58">
        <f t="shared" si="0"/>
        <v>1640495.8</v>
      </c>
      <c r="K13" s="60">
        <f t="shared" si="0"/>
        <v>1355781.65</v>
      </c>
      <c r="L13" s="50"/>
      <c r="M13" s="39"/>
      <c r="N13" s="56"/>
      <c r="O13" s="56"/>
      <c r="P13" s="56"/>
      <c r="Q13" s="50"/>
      <c r="R13" s="50"/>
      <c r="S13" s="5"/>
      <c r="T13" s="5"/>
      <c r="U13" s="5"/>
      <c r="V13" s="1"/>
      <c r="W13" s="5"/>
    </row>
    <row r="14" spans="1:23" s="10" customFormat="1" x14ac:dyDescent="0.3">
      <c r="A14" s="14"/>
      <c r="B14" s="14"/>
      <c r="C14" s="55"/>
      <c r="D14" s="3"/>
      <c r="E14" s="61" t="s">
        <v>34</v>
      </c>
      <c r="F14" s="62">
        <f t="shared" ref="F14:K14" si="1">F8</f>
        <v>75000</v>
      </c>
      <c r="G14" s="63">
        <f t="shared" si="1"/>
        <v>150000</v>
      </c>
      <c r="H14" s="63">
        <f t="shared" si="1"/>
        <v>150000</v>
      </c>
      <c r="I14" s="64">
        <f t="shared" si="1"/>
        <v>71750</v>
      </c>
      <c r="J14" s="62">
        <f t="shared" si="1"/>
        <v>446750</v>
      </c>
      <c r="K14" s="64">
        <f t="shared" si="1"/>
        <v>369214.88</v>
      </c>
      <c r="L14" s="50"/>
      <c r="M14" s="39"/>
      <c r="N14" s="65"/>
      <c r="O14" s="56"/>
      <c r="P14" s="56"/>
      <c r="Q14" s="50"/>
      <c r="R14" s="50"/>
      <c r="S14" s="5"/>
      <c r="T14" s="5"/>
      <c r="U14" s="5"/>
      <c r="V14" s="1"/>
      <c r="W14" s="5"/>
    </row>
    <row r="15" spans="1:23" s="10" customFormat="1" x14ac:dyDescent="0.3">
      <c r="A15" s="1"/>
      <c r="B15" s="1"/>
      <c r="C15" s="15"/>
      <c r="D15" s="5"/>
      <c r="E15" s="15"/>
      <c r="F15" s="66"/>
      <c r="G15" s="66"/>
      <c r="H15" s="66"/>
      <c r="I15" s="67"/>
      <c r="J15" s="68"/>
      <c r="K15" s="66"/>
      <c r="L15" s="66"/>
      <c r="M15" s="15"/>
      <c r="N15" s="67"/>
      <c r="O15" s="67"/>
      <c r="P15" s="67"/>
      <c r="Q15" s="66"/>
      <c r="R15" s="66"/>
      <c r="S15" s="5"/>
      <c r="T15" s="5"/>
      <c r="U15" s="1"/>
      <c r="V15" s="5"/>
      <c r="W15" s="5"/>
    </row>
    <row r="16" spans="1:23" s="10" customFormat="1" ht="15.6" x14ac:dyDescent="0.3">
      <c r="A16" s="69" t="s">
        <v>35</v>
      </c>
      <c r="B16" s="70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</row>
    <row r="17" spans="1:23" s="74" customFormat="1" ht="15.6" x14ac:dyDescent="0.3">
      <c r="A17" s="69" t="s">
        <v>36</v>
      </c>
      <c r="B17" s="70"/>
      <c r="C17" s="71"/>
      <c r="D17" s="72" t="s">
        <v>37</v>
      </c>
      <c r="E17" s="73">
        <v>5.26</v>
      </c>
      <c r="F17" s="3"/>
      <c r="G17" s="3"/>
      <c r="H17" s="66"/>
      <c r="I17" s="67"/>
      <c r="J17" s="68"/>
      <c r="K17" s="5"/>
      <c r="L17" s="5"/>
      <c r="M17" s="5"/>
      <c r="N17" s="67"/>
      <c r="O17" s="67"/>
      <c r="P17" s="67"/>
      <c r="Q17" s="5"/>
      <c r="R17" s="5"/>
      <c r="S17" s="5"/>
      <c r="T17" s="5"/>
      <c r="U17" s="1"/>
      <c r="V17" s="5"/>
      <c r="W17" s="5"/>
    </row>
    <row r="18" spans="1:23" s="10" customFormat="1" ht="52.5" customHeight="1" x14ac:dyDescent="0.3">
      <c r="B18" s="75" t="s">
        <v>10</v>
      </c>
      <c r="C18" s="75" t="s">
        <v>38</v>
      </c>
      <c r="D18" s="75" t="s">
        <v>39</v>
      </c>
      <c r="E18" s="75" t="s">
        <v>40</v>
      </c>
      <c r="F18" s="76" t="s">
        <v>41</v>
      </c>
      <c r="G18" s="77" t="s">
        <v>42</v>
      </c>
      <c r="H18" s="78" t="s">
        <v>43</v>
      </c>
      <c r="I18" s="79" t="s">
        <v>44</v>
      </c>
      <c r="J18" s="80" t="s">
        <v>42</v>
      </c>
      <c r="K18" s="81" t="s">
        <v>45</v>
      </c>
      <c r="L18" s="76" t="s">
        <v>46</v>
      </c>
      <c r="M18" s="77" t="s">
        <v>42</v>
      </c>
      <c r="N18" s="78" t="s">
        <v>47</v>
      </c>
      <c r="O18" s="82" t="s">
        <v>48</v>
      </c>
      <c r="P18" s="83" t="s">
        <v>49</v>
      </c>
      <c r="Q18" s="84" t="s">
        <v>42</v>
      </c>
      <c r="R18" s="85" t="s">
        <v>50</v>
      </c>
      <c r="S18" s="75" t="s">
        <v>51</v>
      </c>
      <c r="T18" s="75" t="s">
        <v>4</v>
      </c>
      <c r="U18" s="75" t="s">
        <v>52</v>
      </c>
      <c r="V18" s="86" t="s">
        <v>53</v>
      </c>
      <c r="W18" s="87" t="s">
        <v>54</v>
      </c>
    </row>
    <row r="19" spans="1:23" s="88" customFormat="1" x14ac:dyDescent="0.3">
      <c r="B19" s="89" t="s">
        <v>55</v>
      </c>
      <c r="C19" s="90" t="s">
        <v>56</v>
      </c>
      <c r="D19" s="91" t="s">
        <v>57</v>
      </c>
      <c r="E19" s="90" t="s">
        <v>57</v>
      </c>
      <c r="F19" s="92">
        <v>841.60006999999996</v>
      </c>
      <c r="G19" s="93">
        <f>+Perfils!$G$20</f>
        <v>59.76</v>
      </c>
      <c r="H19" s="94">
        <f>ROUND(F19*G19,2)</f>
        <v>50294.02</v>
      </c>
      <c r="I19" s="92">
        <v>500.84374000000003</v>
      </c>
      <c r="J19" s="93">
        <f>+Perfils!$G$28</f>
        <v>60.03</v>
      </c>
      <c r="K19" s="94">
        <f>ROUND(I19*J19,2)</f>
        <v>30065.65</v>
      </c>
      <c r="L19" s="92">
        <v>1249.3753099999999</v>
      </c>
      <c r="M19" s="94">
        <f>+Perfils!$G$36</f>
        <v>60.03</v>
      </c>
      <c r="N19" s="94">
        <f>ROUND(L19*M19,2)</f>
        <v>75000</v>
      </c>
      <c r="O19" s="94">
        <f>ROUND('Infraestructura-Talles'!$K$52*E17/12,2)</f>
        <v>65843.16</v>
      </c>
      <c r="P19" s="92">
        <v>1683.1999000000001</v>
      </c>
      <c r="Q19" s="93">
        <f>+Perfils!$G$42</f>
        <v>66.17</v>
      </c>
      <c r="R19" s="94">
        <f>ROUND(P19*Q19,2)</f>
        <v>111377.34</v>
      </c>
      <c r="S19" s="95">
        <f>+$B$2</f>
        <v>45467</v>
      </c>
      <c r="T19" s="95">
        <f>+$B$3</f>
        <v>45497</v>
      </c>
      <c r="U19" s="96">
        <v>1</v>
      </c>
      <c r="V19" s="97">
        <f>ROUND((F6+F7+F9+F10)/5.26/2,2)</f>
        <v>24484.81</v>
      </c>
      <c r="W19" s="98">
        <f>+H19+K19+R19+N19+O19</f>
        <v>332580.17000000004</v>
      </c>
    </row>
    <row r="20" spans="1:23" ht="15.6" x14ac:dyDescent="0.3">
      <c r="A20" s="10"/>
      <c r="B20" s="75" t="s">
        <v>58</v>
      </c>
      <c r="C20" s="99"/>
      <c r="D20" s="100"/>
      <c r="E20" s="101"/>
      <c r="F20" s="102">
        <f>SUM(F19:F19)</f>
        <v>841.60006999999996</v>
      </c>
      <c r="G20" s="102"/>
      <c r="H20" s="52">
        <f>SUM(H19:H19)</f>
        <v>50294.02</v>
      </c>
      <c r="I20" s="102">
        <f>SUM(I19:I19)</f>
        <v>500.84374000000003</v>
      </c>
      <c r="J20" s="102"/>
      <c r="K20" s="52">
        <f>SUM(K19:K19)</f>
        <v>30065.65</v>
      </c>
      <c r="L20" s="103">
        <f>SUM(L19:L19)</f>
        <v>1249.3753099999999</v>
      </c>
      <c r="M20" s="52"/>
      <c r="N20" s="52">
        <f>SUM(N19:N19)</f>
        <v>75000</v>
      </c>
      <c r="O20" s="52">
        <f>SUM(O19:O19)</f>
        <v>65843.16</v>
      </c>
      <c r="P20" s="102">
        <f>SUM(P19:P19)</f>
        <v>1683.1999000000001</v>
      </c>
      <c r="Q20" s="102"/>
      <c r="R20" s="52">
        <f>SUM(R19:R19)</f>
        <v>111377.34</v>
      </c>
      <c r="S20" s="102"/>
      <c r="T20" s="102"/>
      <c r="U20" s="102"/>
      <c r="V20" s="52">
        <f>SUM(V19:V19)</f>
        <v>24484.81</v>
      </c>
      <c r="W20" s="52">
        <f>SUM(W19:W19)</f>
        <v>332580.17000000004</v>
      </c>
    </row>
    <row r="21" spans="1:23" x14ac:dyDescent="0.3">
      <c r="A21" s="74"/>
      <c r="B21" s="104"/>
      <c r="C21" s="105"/>
      <c r="D21" s="106"/>
      <c r="E21" s="107"/>
      <c r="F21" s="108"/>
      <c r="G21" s="108"/>
      <c r="H21" s="109"/>
      <c r="I21" s="108"/>
      <c r="J21" s="108"/>
      <c r="K21" s="109"/>
      <c r="L21" s="109"/>
      <c r="M21" s="109"/>
      <c r="N21" s="109"/>
      <c r="O21" s="109"/>
      <c r="P21" s="108"/>
      <c r="Q21" s="108"/>
      <c r="R21" s="109"/>
      <c r="S21" s="110"/>
      <c r="T21" s="110"/>
      <c r="U21" s="111"/>
      <c r="V21" s="111"/>
      <c r="W21" s="112"/>
    </row>
    <row r="22" spans="1:23" s="88" customFormat="1" x14ac:dyDescent="0.3">
      <c r="B22" s="113"/>
      <c r="C22" s="114"/>
      <c r="D22" s="115"/>
      <c r="E22" s="116" t="s">
        <v>59</v>
      </c>
      <c r="F22" s="117">
        <f>ROUND((F20/$E$17/8)/20,2)</f>
        <v>1</v>
      </c>
      <c r="G22" s="117"/>
      <c r="H22" s="117"/>
      <c r="I22" s="117">
        <f>ROUND((I20/$E$17/8)/20,2)</f>
        <v>0.6</v>
      </c>
      <c r="J22" s="117"/>
      <c r="K22" s="118"/>
      <c r="L22" s="117">
        <f>ROUND((L20/$E$17/8)/20,2)</f>
        <v>1.48</v>
      </c>
      <c r="M22" s="118"/>
      <c r="N22" s="118"/>
      <c r="O22" s="118"/>
      <c r="P22" s="117">
        <f>ROUND((P20/$E$17/8)/20,2)</f>
        <v>2</v>
      </c>
      <c r="Q22" s="93"/>
      <c r="R22" s="117"/>
      <c r="S22" s="117">
        <f>SUM(I22:R22)</f>
        <v>4.08</v>
      </c>
      <c r="T22" s="119"/>
      <c r="U22" s="120"/>
      <c r="V22" s="120"/>
    </row>
    <row r="23" spans="1:23" s="10" customFormat="1" x14ac:dyDescent="0.3">
      <c r="B23" s="121"/>
      <c r="C23" s="122"/>
      <c r="D23" s="123"/>
      <c r="E23" s="124"/>
      <c r="F23" s="125"/>
      <c r="G23" s="125"/>
      <c r="H23" s="126"/>
      <c r="I23" s="125"/>
      <c r="J23" s="125"/>
      <c r="K23" s="126"/>
      <c r="L23" s="126"/>
      <c r="M23" s="126"/>
      <c r="N23" s="126"/>
      <c r="O23" s="126"/>
      <c r="P23" s="125"/>
      <c r="Q23" s="125"/>
      <c r="R23" s="127"/>
      <c r="S23" s="128"/>
      <c r="T23" s="128"/>
      <c r="U23" s="129"/>
      <c r="V23" s="129"/>
    </row>
    <row r="24" spans="1:23" s="10" customFormat="1" x14ac:dyDescent="0.3">
      <c r="A24" s="5"/>
      <c r="B24" s="1"/>
      <c r="C24" s="15"/>
      <c r="D24" s="5"/>
      <c r="E24" s="1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1"/>
      <c r="V24" s="129"/>
      <c r="W24" s="5"/>
    </row>
    <row r="25" spans="1:23" s="10" customFormat="1" ht="15.6" x14ac:dyDescent="0.3">
      <c r="A25" s="69" t="s">
        <v>60</v>
      </c>
      <c r="B25" s="70"/>
      <c r="C25" s="71"/>
      <c r="D25" s="72" t="s">
        <v>37</v>
      </c>
      <c r="E25" s="73">
        <v>12</v>
      </c>
      <c r="F25" s="3"/>
      <c r="G25" s="5"/>
      <c r="H25" s="5"/>
      <c r="I25" s="5"/>
      <c r="J25" s="5"/>
      <c r="K25" s="5"/>
      <c r="L25" s="5"/>
      <c r="M25" s="5"/>
      <c r="N25" s="5"/>
      <c r="O25" s="126" t="s">
        <v>61</v>
      </c>
      <c r="P25" s="5"/>
      <c r="Q25" s="5"/>
      <c r="R25" s="5"/>
      <c r="S25" s="5"/>
      <c r="T25" s="1"/>
      <c r="U25" s="5"/>
      <c r="V25" s="129"/>
    </row>
    <row r="26" spans="1:23" s="10" customFormat="1" ht="52.5" customHeight="1" x14ac:dyDescent="0.3">
      <c r="B26" s="75" t="s">
        <v>10</v>
      </c>
      <c r="C26" s="75" t="s">
        <v>38</v>
      </c>
      <c r="D26" s="75" t="s">
        <v>39</v>
      </c>
      <c r="E26" s="75" t="s">
        <v>40</v>
      </c>
      <c r="F26" s="76" t="s">
        <v>41</v>
      </c>
      <c r="G26" s="77" t="s">
        <v>42</v>
      </c>
      <c r="H26" s="78" t="s">
        <v>43</v>
      </c>
      <c r="I26" s="79" t="s">
        <v>44</v>
      </c>
      <c r="J26" s="80" t="s">
        <v>42</v>
      </c>
      <c r="K26" s="81" t="s">
        <v>45</v>
      </c>
      <c r="L26" s="76" t="s">
        <v>46</v>
      </c>
      <c r="M26" s="77" t="s">
        <v>42</v>
      </c>
      <c r="N26" s="78" t="s">
        <v>47</v>
      </c>
      <c r="O26" s="82" t="s">
        <v>48</v>
      </c>
      <c r="P26" s="83" t="s">
        <v>49</v>
      </c>
      <c r="Q26" s="84" t="s">
        <v>42</v>
      </c>
      <c r="R26" s="85" t="s">
        <v>50</v>
      </c>
      <c r="S26" s="82" t="s">
        <v>54</v>
      </c>
      <c r="T26" s="130"/>
      <c r="V26" s="129"/>
    </row>
    <row r="27" spans="1:23" s="133" customFormat="1" x14ac:dyDescent="0.3">
      <c r="A27" s="88"/>
      <c r="B27" s="89" t="s">
        <v>55</v>
      </c>
      <c r="C27" s="90" t="s">
        <v>56</v>
      </c>
      <c r="D27" s="91" t="s">
        <v>57</v>
      </c>
      <c r="E27" s="90" t="s">
        <v>57</v>
      </c>
      <c r="F27" s="92">
        <v>1920</v>
      </c>
      <c r="G27" s="93">
        <f>+Perfils!$G$20</f>
        <v>59.76</v>
      </c>
      <c r="H27" s="94">
        <f>ROUND(F27*G27,2)</f>
        <v>114739.2</v>
      </c>
      <c r="I27" s="92">
        <v>643.09744999999998</v>
      </c>
      <c r="J27" s="93">
        <f>+Perfils!$G$28</f>
        <v>60.03</v>
      </c>
      <c r="K27" s="94">
        <f>ROUND(I27*J27,2)</f>
        <v>38605.14</v>
      </c>
      <c r="L27" s="92">
        <v>2498.7506199999998</v>
      </c>
      <c r="M27" s="94">
        <f>+Perfils!$G$36</f>
        <v>60.03</v>
      </c>
      <c r="N27" s="94">
        <f>ROUND(L27*M27,2)</f>
        <v>150000</v>
      </c>
      <c r="O27" s="94">
        <f>ROUND('Infraestructura-Talles'!$K$52*1.05,2)</f>
        <v>157723.17000000001</v>
      </c>
      <c r="P27" s="131">
        <v>3840</v>
      </c>
      <c r="Q27" s="93">
        <f>+Perfils!$G$42</f>
        <v>66.17</v>
      </c>
      <c r="R27" s="94">
        <f>ROUND(P27*Q27,2)</f>
        <v>254092.79999999999</v>
      </c>
      <c r="S27" s="98">
        <f>+H27+K27+R27+O27+N27</f>
        <v>715160.31</v>
      </c>
      <c r="T27" s="132"/>
      <c r="U27" s="88"/>
      <c r="V27" s="88"/>
      <c r="W27" s="88"/>
    </row>
    <row r="28" spans="1:23" ht="15.6" x14ac:dyDescent="0.3">
      <c r="A28" s="10"/>
      <c r="B28" s="75" t="s">
        <v>58</v>
      </c>
      <c r="C28" s="99"/>
      <c r="D28" s="100"/>
      <c r="E28" s="101"/>
      <c r="F28" s="102">
        <f>SUM(F27:F27)</f>
        <v>1920</v>
      </c>
      <c r="G28" s="102"/>
      <c r="H28" s="52">
        <f>SUM(H27:H27)</f>
        <v>114739.2</v>
      </c>
      <c r="I28" s="102">
        <f>SUM(I27:I27)</f>
        <v>643.09744999999998</v>
      </c>
      <c r="J28" s="102"/>
      <c r="K28" s="52">
        <f>SUM(K27:K27)</f>
        <v>38605.14</v>
      </c>
      <c r="L28" s="103">
        <f>SUM(L27:L27)</f>
        <v>2498.7506199999998</v>
      </c>
      <c r="M28" s="52"/>
      <c r="N28" s="52">
        <f>SUM(N27:N27)</f>
        <v>150000</v>
      </c>
      <c r="O28" s="52">
        <f>SUM(O27:O27)</f>
        <v>157723.17000000001</v>
      </c>
      <c r="P28" s="102">
        <f>SUM(P27:P27)</f>
        <v>3840</v>
      </c>
      <c r="Q28" s="102"/>
      <c r="R28" s="52">
        <f>SUM(R27:R27)</f>
        <v>254092.79999999999</v>
      </c>
      <c r="S28" s="52">
        <f>SUM(S27:S27)</f>
        <v>715160.31</v>
      </c>
      <c r="T28" s="10"/>
      <c r="U28" s="10"/>
      <c r="V28" s="10"/>
      <c r="W28" s="10"/>
    </row>
    <row r="29" spans="1:23" x14ac:dyDescent="0.3">
      <c r="A29" s="74"/>
      <c r="B29" s="104"/>
      <c r="C29" s="105"/>
      <c r="D29" s="106"/>
      <c r="E29" s="107"/>
      <c r="F29" s="108"/>
      <c r="G29" s="108"/>
      <c r="H29" s="109"/>
      <c r="I29" s="108"/>
      <c r="J29" s="108"/>
      <c r="K29" s="109"/>
      <c r="L29" s="109"/>
      <c r="M29" s="109"/>
      <c r="N29" s="109"/>
      <c r="O29" s="109"/>
      <c r="P29" s="108"/>
      <c r="Q29" s="108"/>
      <c r="R29" s="109"/>
      <c r="S29" s="110"/>
      <c r="T29" s="110"/>
      <c r="U29" s="134"/>
      <c r="V29" s="135"/>
      <c r="W29" s="74"/>
    </row>
    <row r="30" spans="1:23" s="133" customFormat="1" x14ac:dyDescent="0.3">
      <c r="A30" s="88"/>
      <c r="B30" s="113"/>
      <c r="C30" s="114"/>
      <c r="D30" s="115"/>
      <c r="E30" s="116" t="s">
        <v>59</v>
      </c>
      <c r="F30" s="117">
        <f>ROUND((F28/$E$25/8)/20,2)</f>
        <v>1</v>
      </c>
      <c r="G30" s="117"/>
      <c r="H30" s="117"/>
      <c r="I30" s="117">
        <f>ROUND((I28/$E$25/8)/20,2)</f>
        <v>0.33</v>
      </c>
      <c r="J30" s="117"/>
      <c r="K30" s="118"/>
      <c r="L30" s="117">
        <f>ROUND((L28/$E$25/8)/20,2)</f>
        <v>1.3</v>
      </c>
      <c r="M30" s="118"/>
      <c r="N30" s="118"/>
      <c r="O30" s="118"/>
      <c r="P30" s="117">
        <f>ROUND((P28/$E$25/8)/20,2)</f>
        <v>2</v>
      </c>
      <c r="Q30" s="93"/>
      <c r="R30" s="93"/>
      <c r="S30" s="117">
        <f>ROUND(SUM(F30:R30),2)</f>
        <v>4.63</v>
      </c>
      <c r="T30" s="117"/>
      <c r="U30" s="120"/>
      <c r="V30" s="93"/>
      <c r="W30" s="88"/>
    </row>
    <row r="31" spans="1:23" s="10" customFormat="1" x14ac:dyDescent="0.3">
      <c r="B31" s="121"/>
      <c r="C31" s="122"/>
      <c r="D31" s="123"/>
      <c r="E31" s="136"/>
      <c r="F31" s="137"/>
      <c r="G31" s="137"/>
      <c r="H31" s="137"/>
      <c r="I31" s="137"/>
      <c r="J31" s="137"/>
      <c r="K31" s="138"/>
      <c r="L31" s="138"/>
      <c r="M31" s="138"/>
      <c r="N31" s="138"/>
      <c r="O31" s="138"/>
      <c r="P31" s="137"/>
      <c r="Q31" s="125"/>
      <c r="R31" s="125"/>
      <c r="S31" s="137"/>
      <c r="T31" s="137"/>
      <c r="U31" s="129"/>
      <c r="V31" s="125"/>
    </row>
    <row r="32" spans="1:23" s="10" customFormat="1" x14ac:dyDescent="0.3">
      <c r="B32" s="121"/>
      <c r="C32" s="122"/>
      <c r="D32" s="123"/>
      <c r="E32" s="136"/>
      <c r="F32" s="137"/>
      <c r="G32" s="137"/>
      <c r="H32" s="137"/>
      <c r="I32" s="137"/>
      <c r="J32" s="137"/>
      <c r="K32" s="138"/>
      <c r="L32" s="138"/>
      <c r="M32" s="138"/>
      <c r="N32" s="138"/>
      <c r="O32" s="138"/>
      <c r="P32" s="137"/>
      <c r="Q32" s="125"/>
      <c r="R32" s="125"/>
      <c r="S32" s="137"/>
      <c r="T32" s="137"/>
      <c r="U32" s="129"/>
      <c r="V32" s="125"/>
    </row>
    <row r="33" spans="1:23" s="10" customFormat="1" ht="15.6" x14ac:dyDescent="0.3">
      <c r="A33" s="69" t="s">
        <v>62</v>
      </c>
      <c r="B33" s="70"/>
      <c r="C33" s="71"/>
      <c r="D33" s="72" t="s">
        <v>37</v>
      </c>
      <c r="E33" s="73">
        <v>12</v>
      </c>
      <c r="F33" s="3"/>
      <c r="G33" s="5"/>
      <c r="H33" s="5"/>
      <c r="I33" s="5"/>
      <c r="J33" s="5"/>
      <c r="K33" s="5"/>
      <c r="L33" s="5"/>
      <c r="M33" s="5"/>
      <c r="N33" s="5"/>
      <c r="O33" s="126" t="s">
        <v>61</v>
      </c>
      <c r="P33" s="5"/>
      <c r="Q33" s="5"/>
      <c r="R33" s="5"/>
      <c r="S33" s="5"/>
      <c r="T33" s="137"/>
      <c r="U33" s="129"/>
      <c r="V33" s="125"/>
    </row>
    <row r="34" spans="1:23" s="10" customFormat="1" ht="52.5" customHeight="1" x14ac:dyDescent="0.3">
      <c r="B34" s="75" t="s">
        <v>10</v>
      </c>
      <c r="C34" s="75" t="s">
        <v>38</v>
      </c>
      <c r="D34" s="75" t="s">
        <v>39</v>
      </c>
      <c r="E34" s="75" t="s">
        <v>40</v>
      </c>
      <c r="F34" s="76" t="s">
        <v>41</v>
      </c>
      <c r="G34" s="77" t="s">
        <v>42</v>
      </c>
      <c r="H34" s="78" t="s">
        <v>43</v>
      </c>
      <c r="I34" s="79" t="s">
        <v>44</v>
      </c>
      <c r="J34" s="80" t="s">
        <v>42</v>
      </c>
      <c r="K34" s="81" t="s">
        <v>45</v>
      </c>
      <c r="L34" s="76" t="s">
        <v>46</v>
      </c>
      <c r="M34" s="77" t="s">
        <v>42</v>
      </c>
      <c r="N34" s="78" t="s">
        <v>47</v>
      </c>
      <c r="O34" s="82" t="s">
        <v>48</v>
      </c>
      <c r="P34" s="83" t="s">
        <v>49</v>
      </c>
      <c r="Q34" s="84" t="s">
        <v>42</v>
      </c>
      <c r="R34" s="85" t="s">
        <v>50</v>
      </c>
      <c r="S34" s="82" t="s">
        <v>54</v>
      </c>
      <c r="T34" s="137"/>
      <c r="U34" s="129"/>
      <c r="V34" s="125"/>
    </row>
    <row r="35" spans="1:23" s="139" customFormat="1" x14ac:dyDescent="0.3">
      <c r="A35" s="88"/>
      <c r="B35" s="89" t="s">
        <v>55</v>
      </c>
      <c r="C35" s="90" t="s">
        <v>56</v>
      </c>
      <c r="D35" s="91" t="s">
        <v>57</v>
      </c>
      <c r="E35" s="90" t="s">
        <v>57</v>
      </c>
      <c r="F35" s="92">
        <v>1920</v>
      </c>
      <c r="G35" s="93">
        <f>+Perfils!$G$20</f>
        <v>59.76</v>
      </c>
      <c r="H35" s="94">
        <f>ROUND(F35*G35,2)</f>
        <v>114739.2</v>
      </c>
      <c r="I35" s="92">
        <v>311.82709</v>
      </c>
      <c r="J35" s="93">
        <f>+Perfils!$G$28</f>
        <v>60.03</v>
      </c>
      <c r="K35" s="94">
        <f>ROUND(I35*J35,2)</f>
        <v>18718.98</v>
      </c>
      <c r="L35" s="92">
        <v>2498.7506199999998</v>
      </c>
      <c r="M35" s="94">
        <f>+Perfils!$G$36</f>
        <v>60.03</v>
      </c>
      <c r="N35" s="94">
        <f>ROUND(L35*M35,2)</f>
        <v>150000</v>
      </c>
      <c r="O35" s="94">
        <f>ROUND('Infraestructura-Talles'!$K$52*1.05*1.05,2)</f>
        <v>165609.32999999999</v>
      </c>
      <c r="P35" s="131">
        <v>3840</v>
      </c>
      <c r="Q35" s="93">
        <f>+Perfils!$G$42</f>
        <v>66.17</v>
      </c>
      <c r="R35" s="94">
        <f>ROUND(P35*Q35,2)</f>
        <v>254092.79999999999</v>
      </c>
      <c r="S35" s="98">
        <f>+H35+K35+R35+O35+N35</f>
        <v>703160.30999999994</v>
      </c>
      <c r="T35" s="117"/>
      <c r="U35" s="120"/>
      <c r="V35" s="93"/>
      <c r="W35" s="88"/>
    </row>
    <row r="36" spans="1:23" s="10" customFormat="1" ht="15.6" x14ac:dyDescent="0.3">
      <c r="B36" s="75" t="s">
        <v>58</v>
      </c>
      <c r="C36" s="99"/>
      <c r="D36" s="100"/>
      <c r="E36" s="101"/>
      <c r="F36" s="102">
        <f>SUM(F35:F35)</f>
        <v>1920</v>
      </c>
      <c r="G36" s="102"/>
      <c r="H36" s="52">
        <f>SUM(H35:H35)</f>
        <v>114739.2</v>
      </c>
      <c r="I36" s="102">
        <f>SUM(I35:I35)</f>
        <v>311.82709</v>
      </c>
      <c r="J36" s="102"/>
      <c r="K36" s="52">
        <f>SUM(K35:K35)</f>
        <v>18718.98</v>
      </c>
      <c r="L36" s="103">
        <f>SUM(L35:L35)</f>
        <v>2498.7506199999998</v>
      </c>
      <c r="M36" s="52"/>
      <c r="N36" s="52">
        <f>SUM(N35:N35)</f>
        <v>150000</v>
      </c>
      <c r="O36" s="52">
        <f>SUM(O35:O35)</f>
        <v>165609.32999999999</v>
      </c>
      <c r="P36" s="102">
        <f>SUM(P35:P35)</f>
        <v>3840</v>
      </c>
      <c r="Q36" s="102"/>
      <c r="R36" s="52">
        <f>SUM(R35:R35)</f>
        <v>254092.79999999999</v>
      </c>
      <c r="S36" s="52">
        <f>SUM(S35:S35)</f>
        <v>703160.30999999994</v>
      </c>
      <c r="T36" s="137"/>
      <c r="U36" s="129"/>
      <c r="V36" s="125"/>
    </row>
    <row r="37" spans="1:23" s="74" customFormat="1" x14ac:dyDescent="0.3">
      <c r="B37" s="104"/>
      <c r="C37" s="105"/>
      <c r="D37" s="106"/>
      <c r="E37" s="107"/>
      <c r="F37" s="108"/>
      <c r="G37" s="108"/>
      <c r="H37" s="109"/>
      <c r="I37" s="108"/>
      <c r="J37" s="108"/>
      <c r="K37" s="109"/>
      <c r="L37" s="109"/>
      <c r="M37" s="109"/>
      <c r="N37" s="109"/>
      <c r="O37" s="140"/>
      <c r="P37" s="108"/>
      <c r="Q37" s="108"/>
      <c r="R37" s="109"/>
      <c r="S37" s="110"/>
      <c r="T37" s="141"/>
      <c r="U37" s="134"/>
      <c r="V37" s="108"/>
    </row>
    <row r="38" spans="1:23" s="88" customFormat="1" x14ac:dyDescent="0.3">
      <c r="B38" s="113"/>
      <c r="C38" s="114"/>
      <c r="D38" s="115"/>
      <c r="E38" s="116" t="s">
        <v>59</v>
      </c>
      <c r="F38" s="117">
        <f>ROUND((F36/$E$33/8)/20,2)</f>
        <v>1</v>
      </c>
      <c r="G38" s="117"/>
      <c r="H38" s="117"/>
      <c r="I38" s="117">
        <f>ROUND((I36/$E$33/8)/20,2)</f>
        <v>0.16</v>
      </c>
      <c r="J38" s="117"/>
      <c r="K38" s="118"/>
      <c r="L38" s="117">
        <f>ROUND((L36/$E$33/8)/20,2)</f>
        <v>1.3</v>
      </c>
      <c r="M38" s="118"/>
      <c r="N38" s="118"/>
      <c r="O38" s="118"/>
      <c r="P38" s="117">
        <f>ROUND((P36/$E$33/8)/20,2)</f>
        <v>2</v>
      </c>
      <c r="Q38" s="93"/>
      <c r="R38" s="93"/>
      <c r="S38" s="117">
        <f>ROUND(SUM(F38:R38),2)</f>
        <v>4.46</v>
      </c>
      <c r="T38" s="117"/>
      <c r="U38" s="120"/>
      <c r="V38" s="93"/>
    </row>
    <row r="39" spans="1:23" s="10" customFormat="1" x14ac:dyDescent="0.3">
      <c r="B39" s="121"/>
      <c r="C39" s="122"/>
      <c r="D39" s="123"/>
      <c r="E39" s="136"/>
      <c r="F39" s="137"/>
      <c r="G39" s="137"/>
      <c r="H39" s="137"/>
      <c r="I39" s="137"/>
      <c r="J39" s="137"/>
      <c r="K39" s="138"/>
      <c r="L39" s="138"/>
      <c r="M39" s="138"/>
      <c r="N39" s="138"/>
      <c r="O39" s="138"/>
      <c r="P39" s="137"/>
      <c r="Q39" s="125"/>
      <c r="R39" s="125"/>
      <c r="S39" s="137"/>
      <c r="T39" s="137"/>
      <c r="U39" s="129"/>
      <c r="V39" s="125"/>
    </row>
    <row r="40" spans="1:23" x14ac:dyDescent="0.3">
      <c r="A40" s="5"/>
      <c r="B40" s="1"/>
      <c r="C40" s="2"/>
      <c r="D40" s="3"/>
      <c r="E40" s="2"/>
      <c r="F40" s="4"/>
      <c r="H40" s="3"/>
      <c r="P40" s="142"/>
      <c r="U40" s="5"/>
    </row>
    <row r="41" spans="1:23" ht="15.6" x14ac:dyDescent="0.3">
      <c r="A41" s="69" t="s">
        <v>63</v>
      </c>
      <c r="B41" s="70"/>
      <c r="C41" s="71"/>
      <c r="D41" s="72" t="s">
        <v>37</v>
      </c>
      <c r="E41" s="73">
        <v>5.74</v>
      </c>
      <c r="O41" s="126" t="s">
        <v>61</v>
      </c>
      <c r="T41" s="10"/>
      <c r="U41" s="10"/>
    </row>
    <row r="42" spans="1:23" ht="52.5" customHeight="1" x14ac:dyDescent="0.3">
      <c r="A42" s="10"/>
      <c r="B42" s="75" t="s">
        <v>10</v>
      </c>
      <c r="C42" s="75" t="s">
        <v>38</v>
      </c>
      <c r="D42" s="75" t="s">
        <v>39</v>
      </c>
      <c r="E42" s="75" t="s">
        <v>40</v>
      </c>
      <c r="F42" s="76" t="s">
        <v>41</v>
      </c>
      <c r="G42" s="77" t="s">
        <v>42</v>
      </c>
      <c r="H42" s="78" t="s">
        <v>43</v>
      </c>
      <c r="I42" s="79" t="s">
        <v>44</v>
      </c>
      <c r="J42" s="80" t="s">
        <v>42</v>
      </c>
      <c r="K42" s="81" t="s">
        <v>45</v>
      </c>
      <c r="L42" s="76" t="s">
        <v>46</v>
      </c>
      <c r="M42" s="77" t="s">
        <v>42</v>
      </c>
      <c r="N42" s="78" t="s">
        <v>47</v>
      </c>
      <c r="O42" s="82" t="s">
        <v>48</v>
      </c>
      <c r="P42" s="83" t="s">
        <v>49</v>
      </c>
      <c r="Q42" s="84" t="s">
        <v>42</v>
      </c>
      <c r="R42" s="85" t="s">
        <v>50</v>
      </c>
      <c r="S42" s="82" t="s">
        <v>54</v>
      </c>
      <c r="T42" s="130"/>
      <c r="U42" s="10"/>
      <c r="V42" s="10"/>
      <c r="W42" s="10"/>
    </row>
    <row r="43" spans="1:23" s="88" customFormat="1" x14ac:dyDescent="0.3">
      <c r="B43" s="89" t="s">
        <v>55</v>
      </c>
      <c r="C43" s="90" t="s">
        <v>56</v>
      </c>
      <c r="D43" s="91" t="s">
        <v>57</v>
      </c>
      <c r="E43" s="90" t="s">
        <v>57</v>
      </c>
      <c r="F43" s="92">
        <v>918.39993000000004</v>
      </c>
      <c r="G43" s="93">
        <f>+Perfils!$G$20</f>
        <v>59.76</v>
      </c>
      <c r="H43" s="94">
        <f>ROUND(F43*G43,2)</f>
        <v>54883.58</v>
      </c>
      <c r="I43" s="92">
        <v>83.176410000000004</v>
      </c>
      <c r="J43" s="93">
        <f>+Perfils!$G$28</f>
        <v>60.03</v>
      </c>
      <c r="K43" s="94">
        <f>ROUND(I43*J43,2)</f>
        <v>4993.08</v>
      </c>
      <c r="L43" s="92">
        <v>1195.2357199999999</v>
      </c>
      <c r="M43" s="94">
        <f>+Perfils!$G$36</f>
        <v>60.03</v>
      </c>
      <c r="N43" s="94">
        <f>ROUND(L43*M43,2)</f>
        <v>71750</v>
      </c>
      <c r="O43" s="94">
        <f>ROUND('Infraestructura-Talles'!$K$52/12*$E$41*1.05*1.05*1.05,2)+0.01</f>
        <v>83177.289999999994</v>
      </c>
      <c r="P43" s="92">
        <v>1836.80006</v>
      </c>
      <c r="Q43" s="93">
        <f>+Perfils!$G$42</f>
        <v>66.17</v>
      </c>
      <c r="R43" s="94">
        <f>ROUND(P43*Q43,2)</f>
        <v>121541.06</v>
      </c>
      <c r="S43" s="98">
        <f>+H43+K43+R43+O43+N43</f>
        <v>336345.01</v>
      </c>
      <c r="T43" s="132"/>
    </row>
    <row r="44" spans="1:23" s="10" customFormat="1" ht="15.6" x14ac:dyDescent="0.3">
      <c r="B44" s="75" t="s">
        <v>58</v>
      </c>
      <c r="C44" s="99"/>
      <c r="D44" s="100"/>
      <c r="E44" s="101"/>
      <c r="F44" s="102">
        <f>SUM(F43:F43)</f>
        <v>918.39993000000004</v>
      </c>
      <c r="G44" s="102"/>
      <c r="H44" s="52">
        <f>SUM(H43:H43)</f>
        <v>54883.58</v>
      </c>
      <c r="I44" s="102">
        <f>SUM(I43:I43)</f>
        <v>83.176410000000004</v>
      </c>
      <c r="J44" s="102"/>
      <c r="K44" s="52">
        <f>SUM(K43:K43)</f>
        <v>4993.08</v>
      </c>
      <c r="L44" s="103">
        <f>SUM(L43:L43)</f>
        <v>1195.2357199999999</v>
      </c>
      <c r="M44" s="52"/>
      <c r="N44" s="52">
        <f>SUM(N43:N43)</f>
        <v>71750</v>
      </c>
      <c r="O44" s="52">
        <f>SUM(O43:O43)</f>
        <v>83177.289999999994</v>
      </c>
      <c r="P44" s="102">
        <f>SUM(P43:P43)</f>
        <v>1836.80006</v>
      </c>
      <c r="Q44" s="102"/>
      <c r="R44" s="52">
        <f>SUM(R43:R43)</f>
        <v>121541.06</v>
      </c>
      <c r="S44" s="52">
        <f>SUM(S43:S43)</f>
        <v>336345.01</v>
      </c>
    </row>
    <row r="45" spans="1:23" s="74" customFormat="1" x14ac:dyDescent="0.3">
      <c r="B45" s="104"/>
      <c r="C45" s="105"/>
      <c r="D45" s="106"/>
      <c r="E45" s="107"/>
      <c r="F45" s="108"/>
      <c r="G45" s="108"/>
      <c r="H45" s="109"/>
      <c r="I45" s="108"/>
      <c r="J45" s="108"/>
      <c r="K45" s="109"/>
      <c r="L45" s="109"/>
      <c r="M45" s="109"/>
      <c r="N45" s="109"/>
      <c r="O45" s="140"/>
      <c r="P45" s="108"/>
      <c r="Q45" s="108"/>
      <c r="R45" s="109"/>
      <c r="S45" s="112"/>
    </row>
    <row r="46" spans="1:23" s="88" customFormat="1" x14ac:dyDescent="0.3">
      <c r="B46" s="113"/>
      <c r="C46" s="114"/>
      <c r="D46" s="115"/>
      <c r="E46" s="116" t="s">
        <v>59</v>
      </c>
      <c r="F46" s="117">
        <f>ROUND((F44/$E$41/8)/20,2)</f>
        <v>1</v>
      </c>
      <c r="G46" s="117"/>
      <c r="H46" s="117"/>
      <c r="I46" s="117">
        <f>ROUND((I44/$E$41/8)/20,2)</f>
        <v>0.09</v>
      </c>
      <c r="J46" s="117"/>
      <c r="K46" s="118"/>
      <c r="L46" s="117">
        <f>ROUND((L44/$E$41/8)/20,2)</f>
        <v>1.3</v>
      </c>
      <c r="M46" s="118"/>
      <c r="N46" s="118"/>
      <c r="O46" s="143"/>
      <c r="P46" s="117">
        <f>ROUND((P44/$E$41/8)/20,2)</f>
        <v>2</v>
      </c>
      <c r="Q46" s="93"/>
      <c r="R46" s="93"/>
      <c r="S46" s="117">
        <f>ROUND(SUM(F46:R46),2)</f>
        <v>4.3899999999999997</v>
      </c>
    </row>
    <row r="47" spans="1:23" s="10" customFormat="1" x14ac:dyDescent="0.3">
      <c r="A47" s="5"/>
      <c r="B47" s="1"/>
      <c r="C47" s="2"/>
      <c r="D47" s="3"/>
      <c r="E47" s="2"/>
      <c r="F47" s="4"/>
      <c r="G47" s="3"/>
      <c r="H47" s="3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</row>
    <row r="48" spans="1:23" x14ac:dyDescent="0.3">
      <c r="U48" s="5"/>
    </row>
    <row r="49" spans="1:23" ht="15.6" x14ac:dyDescent="0.3">
      <c r="A49" s="23" t="s">
        <v>8</v>
      </c>
      <c r="B49" s="144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U49" s="5"/>
    </row>
    <row r="50" spans="1:23" ht="15.6" x14ac:dyDescent="0.3">
      <c r="A50" s="23" t="s">
        <v>64</v>
      </c>
      <c r="B50" s="144"/>
      <c r="C50" s="25"/>
      <c r="D50" s="72" t="s">
        <v>37</v>
      </c>
      <c r="E50" s="73">
        <v>6.26</v>
      </c>
    </row>
    <row r="51" spans="1:23" ht="52.5" customHeight="1" x14ac:dyDescent="0.3">
      <c r="A51" s="10"/>
      <c r="B51" s="75" t="s">
        <v>10</v>
      </c>
      <c r="C51" s="75" t="s">
        <v>38</v>
      </c>
      <c r="D51" s="75" t="s">
        <v>39</v>
      </c>
      <c r="E51" s="75" t="s">
        <v>40</v>
      </c>
      <c r="F51" s="76" t="s">
        <v>41</v>
      </c>
      <c r="G51" s="77" t="s">
        <v>42</v>
      </c>
      <c r="H51" s="78" t="s">
        <v>43</v>
      </c>
      <c r="I51" s="79" t="s">
        <v>44</v>
      </c>
      <c r="J51" s="80" t="s">
        <v>42</v>
      </c>
      <c r="K51" s="81" t="s">
        <v>45</v>
      </c>
      <c r="L51" s="76" t="s">
        <v>46</v>
      </c>
      <c r="M51" s="77" t="s">
        <v>42</v>
      </c>
      <c r="N51" s="78" t="s">
        <v>47</v>
      </c>
      <c r="O51" s="82" t="s">
        <v>48</v>
      </c>
      <c r="P51" s="83" t="s">
        <v>49</v>
      </c>
      <c r="Q51" s="84" t="s">
        <v>42</v>
      </c>
      <c r="R51" s="85" t="s">
        <v>50</v>
      </c>
      <c r="S51" s="82" t="s">
        <v>54</v>
      </c>
      <c r="T51" s="130"/>
      <c r="U51" s="10"/>
      <c r="V51" s="10"/>
      <c r="W51" s="10"/>
    </row>
    <row r="52" spans="1:23" s="133" customFormat="1" x14ac:dyDescent="0.3">
      <c r="A52" s="88"/>
      <c r="B52" s="89" t="s">
        <v>55</v>
      </c>
      <c r="C52" s="90" t="s">
        <v>56</v>
      </c>
      <c r="D52" s="91" t="s">
        <v>57</v>
      </c>
      <c r="E52" s="90" t="s">
        <v>57</v>
      </c>
      <c r="F52" s="145">
        <f>ROUND(F43/$E$41*$E$50,5)+0.0001</f>
        <v>1001.60002</v>
      </c>
      <c r="G52" s="93">
        <f>+Perfils!$G$20</f>
        <v>59.76</v>
      </c>
      <c r="H52" s="94">
        <f>ROUND(F52*G52,2)</f>
        <v>59855.62</v>
      </c>
      <c r="I52" s="145">
        <f>ROUND(I43/$E$41*$E$50,5)</f>
        <v>90.711560000000006</v>
      </c>
      <c r="J52" s="93">
        <f>+Perfils!$G$28</f>
        <v>60.03</v>
      </c>
      <c r="K52" s="94">
        <f>ROUND(I52*J52,2)</f>
        <v>5445.41</v>
      </c>
      <c r="L52" s="145">
        <f>ROUND(L43/$E$41*$E$50,5)</f>
        <v>1303.5149100000001</v>
      </c>
      <c r="M52" s="94">
        <f>+Perfils!$G$36</f>
        <v>60.03</v>
      </c>
      <c r="N52" s="94">
        <f>ROUND(L52*M52,2)</f>
        <v>78250</v>
      </c>
      <c r="O52" s="94">
        <f>O35*1.05-O43</f>
        <v>90712.506500000003</v>
      </c>
      <c r="P52" s="145">
        <f>ROUND(P43/$E$41*$E$50,5)-0.0001</f>
        <v>2003.1999700000001</v>
      </c>
      <c r="Q52" s="93">
        <f>+Perfils!$G$42</f>
        <v>66.17</v>
      </c>
      <c r="R52" s="94">
        <f>ROUND(P52*Q52,2)</f>
        <v>132551.74</v>
      </c>
      <c r="S52" s="98">
        <f>+H52+K52+R52+O52+N52</f>
        <v>366815.27649999998</v>
      </c>
      <c r="T52" s="132"/>
      <c r="U52" s="88"/>
      <c r="V52" s="88"/>
      <c r="W52" s="88"/>
    </row>
    <row r="53" spans="1:23" ht="15.6" x14ac:dyDescent="0.3">
      <c r="A53" s="10"/>
      <c r="B53" s="75" t="s">
        <v>58</v>
      </c>
      <c r="C53" s="99"/>
      <c r="D53" s="100"/>
      <c r="E53" s="101"/>
      <c r="F53" s="102">
        <f>SUM(F52:F52)</f>
        <v>1001.60002</v>
      </c>
      <c r="G53" s="102"/>
      <c r="H53" s="52">
        <f>SUM(H52:H52)</f>
        <v>59855.62</v>
      </c>
      <c r="I53" s="102">
        <f>SUM(I52:I52)</f>
        <v>90.711560000000006</v>
      </c>
      <c r="J53" s="102"/>
      <c r="K53" s="52">
        <f>SUM(K52:K52)</f>
        <v>5445.41</v>
      </c>
      <c r="L53" s="103">
        <f>SUM(L52:L52)</f>
        <v>1303.5149100000001</v>
      </c>
      <c r="M53" s="52"/>
      <c r="N53" s="52">
        <f>SUM(N52:N52)</f>
        <v>78250</v>
      </c>
      <c r="O53" s="52">
        <f>SUM(O52:O52)</f>
        <v>90712.506500000003</v>
      </c>
      <c r="P53" s="102">
        <f>SUM(P52:P52)</f>
        <v>2003.1999700000001</v>
      </c>
      <c r="Q53" s="102"/>
      <c r="R53" s="52">
        <f>SUM(R52:R52)</f>
        <v>132551.74</v>
      </c>
      <c r="S53" s="52">
        <f>SUM(S52:S52)</f>
        <v>366815.27649999998</v>
      </c>
      <c r="T53" s="10"/>
      <c r="U53" s="10"/>
      <c r="V53" s="10"/>
      <c r="W53" s="10"/>
    </row>
    <row r="54" spans="1:23" s="146" customFormat="1" x14ac:dyDescent="0.3">
      <c r="A54" s="74"/>
      <c r="B54" s="104"/>
      <c r="C54" s="105"/>
      <c r="D54" s="106"/>
      <c r="E54" s="107"/>
      <c r="F54" s="108"/>
      <c r="G54" s="108"/>
      <c r="H54" s="109"/>
      <c r="I54" s="108"/>
      <c r="J54" s="108"/>
      <c r="K54" s="109"/>
      <c r="L54" s="109"/>
      <c r="M54" s="109"/>
      <c r="N54" s="109"/>
      <c r="O54" s="109"/>
      <c r="P54" s="108"/>
      <c r="Q54" s="108"/>
      <c r="R54" s="109"/>
      <c r="S54" s="110"/>
      <c r="T54" s="110"/>
      <c r="U54" s="134"/>
      <c r="V54" s="134"/>
      <c r="W54" s="74"/>
    </row>
    <row r="55" spans="1:23" s="133" customFormat="1" x14ac:dyDescent="0.3">
      <c r="A55" s="88"/>
      <c r="B55" s="113"/>
      <c r="C55" s="114"/>
      <c r="D55" s="115"/>
      <c r="E55" s="116" t="s">
        <v>59</v>
      </c>
      <c r="F55" s="117">
        <f>ROUND((F53/$E$50/8)/20,2)</f>
        <v>1</v>
      </c>
      <c r="G55" s="117"/>
      <c r="H55" s="117"/>
      <c r="I55" s="117">
        <f>ROUND((I53/$E$50/8)/20,2)</f>
        <v>0.09</v>
      </c>
      <c r="J55" s="117"/>
      <c r="K55" s="118"/>
      <c r="L55" s="117">
        <f>ROUND((L53/$E$50/8)/20,2)</f>
        <v>1.3</v>
      </c>
      <c r="M55" s="118"/>
      <c r="N55" s="118"/>
      <c r="O55" s="118"/>
      <c r="P55" s="117">
        <f>ROUND((P53/$E$50/8)/20,2)</f>
        <v>2</v>
      </c>
      <c r="Q55" s="93"/>
      <c r="R55" s="93"/>
      <c r="S55" s="117">
        <f>ROUND(SUM(F55:R55),2)</f>
        <v>4.3899999999999997</v>
      </c>
      <c r="T55" s="147"/>
      <c r="U55" s="120"/>
      <c r="V55" s="120"/>
      <c r="W55" s="88"/>
    </row>
    <row r="56" spans="1:23" x14ac:dyDescent="0.3">
      <c r="A56" s="10"/>
      <c r="B56" s="121"/>
      <c r="C56" s="122"/>
      <c r="D56" s="123"/>
      <c r="E56" s="124"/>
      <c r="F56" s="125"/>
      <c r="G56" s="125"/>
      <c r="H56" s="126"/>
      <c r="I56" s="125"/>
      <c r="J56" s="125"/>
      <c r="K56" s="126"/>
      <c r="L56" s="126"/>
      <c r="M56" s="126"/>
      <c r="N56" s="126"/>
      <c r="O56" s="126"/>
      <c r="P56" s="125"/>
      <c r="Q56" s="125"/>
      <c r="R56" s="127"/>
      <c r="S56" s="128"/>
      <c r="T56" s="128"/>
      <c r="U56" s="129"/>
      <c r="V56" s="129"/>
      <c r="W56" s="10"/>
    </row>
    <row r="57" spans="1:23" x14ac:dyDescent="0.3">
      <c r="A57" s="5"/>
      <c r="B57" s="1"/>
      <c r="C57" s="15"/>
      <c r="D57" s="5"/>
      <c r="E57" s="15"/>
      <c r="F57" s="5"/>
      <c r="G57" s="5"/>
      <c r="V57" s="129"/>
    </row>
    <row r="58" spans="1:23" ht="15.6" x14ac:dyDescent="0.3">
      <c r="A58" s="23" t="s">
        <v>65</v>
      </c>
      <c r="B58" s="144"/>
      <c r="C58" s="148"/>
      <c r="D58" s="72" t="s">
        <v>37</v>
      </c>
      <c r="E58" s="73">
        <v>12</v>
      </c>
      <c r="G58" s="5"/>
      <c r="T58" s="1"/>
      <c r="U58" s="5"/>
      <c r="V58" s="129"/>
      <c r="W58" s="10"/>
    </row>
    <row r="59" spans="1:23" ht="52.5" customHeight="1" x14ac:dyDescent="0.3">
      <c r="A59" s="10"/>
      <c r="B59" s="75" t="s">
        <v>10</v>
      </c>
      <c r="C59" s="75" t="s">
        <v>38</v>
      </c>
      <c r="D59" s="75" t="s">
        <v>39</v>
      </c>
      <c r="E59" s="75" t="s">
        <v>40</v>
      </c>
      <c r="F59" s="76" t="s">
        <v>41</v>
      </c>
      <c r="G59" s="77" t="s">
        <v>42</v>
      </c>
      <c r="H59" s="78" t="s">
        <v>43</v>
      </c>
      <c r="I59" s="79" t="s">
        <v>44</v>
      </c>
      <c r="J59" s="80" t="s">
        <v>42</v>
      </c>
      <c r="K59" s="81" t="s">
        <v>45</v>
      </c>
      <c r="L59" s="76" t="s">
        <v>46</v>
      </c>
      <c r="M59" s="77" t="s">
        <v>42</v>
      </c>
      <c r="N59" s="78" t="s">
        <v>47</v>
      </c>
      <c r="O59" s="82" t="s">
        <v>48</v>
      </c>
      <c r="P59" s="83" t="s">
        <v>49</v>
      </c>
      <c r="Q59" s="84" t="s">
        <v>42</v>
      </c>
      <c r="R59" s="85" t="s">
        <v>50</v>
      </c>
      <c r="S59" s="82" t="s">
        <v>54</v>
      </c>
      <c r="T59" s="130"/>
      <c r="U59" s="10"/>
      <c r="V59" s="129"/>
      <c r="W59" s="10"/>
    </row>
    <row r="60" spans="1:23" s="133" customFormat="1" x14ac:dyDescent="0.3">
      <c r="A60" s="88"/>
      <c r="B60" s="89" t="s">
        <v>55</v>
      </c>
      <c r="C60" s="90" t="s">
        <v>56</v>
      </c>
      <c r="D60" s="91" t="s">
        <v>57</v>
      </c>
      <c r="E60" s="90" t="s">
        <v>57</v>
      </c>
      <c r="F60" s="145">
        <f>ROUND(F43/$E$41*$E$58,5)+0.0001</f>
        <v>1919.9999499999999</v>
      </c>
      <c r="G60" s="93">
        <f>+Perfils!$G$20</f>
        <v>59.76</v>
      </c>
      <c r="H60" s="94">
        <f>ROUND(F60*G60,2)</f>
        <v>114739.2</v>
      </c>
      <c r="I60" s="145">
        <f>ROUND(I43/$E$41*$E$58,5)</f>
        <v>173.88797</v>
      </c>
      <c r="J60" s="93">
        <f>+Perfils!$G$28</f>
        <v>60.03</v>
      </c>
      <c r="K60" s="94">
        <f>ROUND(I60*J60,2)</f>
        <v>10438.49</v>
      </c>
      <c r="L60" s="145">
        <f>ROUND(L43/$E$41*$E$58,5)</f>
        <v>2498.75063</v>
      </c>
      <c r="M60" s="94">
        <f>+Perfils!$G$36</f>
        <v>60.03</v>
      </c>
      <c r="N60" s="94">
        <f>ROUND(L60*M60,2)</f>
        <v>150000</v>
      </c>
      <c r="O60" s="94">
        <f>O35*1.05</f>
        <v>173889.7965</v>
      </c>
      <c r="P60" s="145">
        <f>ROUND(P43/$E$41*$E$58,5)-0.0001</f>
        <v>3840.0000299999997</v>
      </c>
      <c r="Q60" s="93">
        <f>+Perfils!$G$42</f>
        <v>66.17</v>
      </c>
      <c r="R60" s="94">
        <f>ROUND(P60*Q60,2)</f>
        <v>254092.79999999999</v>
      </c>
      <c r="S60" s="98">
        <f>+H60+K60+R60+O60+N60</f>
        <v>703160.28649999993</v>
      </c>
      <c r="T60" s="132"/>
      <c r="U60" s="88"/>
      <c r="V60" s="88"/>
      <c r="W60" s="88"/>
    </row>
    <row r="61" spans="1:23" ht="15.6" x14ac:dyDescent="0.3">
      <c r="A61" s="10"/>
      <c r="B61" s="75" t="s">
        <v>58</v>
      </c>
      <c r="C61" s="99"/>
      <c r="D61" s="100"/>
      <c r="E61" s="101"/>
      <c r="F61" s="102">
        <f>SUM(F60:F60)</f>
        <v>1919.9999499999999</v>
      </c>
      <c r="G61" s="102"/>
      <c r="H61" s="52">
        <f>SUM(H60:H60)</f>
        <v>114739.2</v>
      </c>
      <c r="I61" s="102">
        <f>SUM(I60:I60)</f>
        <v>173.88797</v>
      </c>
      <c r="J61" s="102"/>
      <c r="K61" s="52">
        <f>SUM(K60:K60)</f>
        <v>10438.49</v>
      </c>
      <c r="L61" s="103">
        <f>SUM(L60:L60)</f>
        <v>2498.75063</v>
      </c>
      <c r="M61" s="52"/>
      <c r="N61" s="52">
        <f>SUM(N60:N60)</f>
        <v>150000</v>
      </c>
      <c r="O61" s="52">
        <f>SUM(O60:O60)</f>
        <v>173889.7965</v>
      </c>
      <c r="P61" s="102">
        <f>SUM(P60:P60)</f>
        <v>3840.0000299999997</v>
      </c>
      <c r="Q61" s="102"/>
      <c r="R61" s="52">
        <f>SUM(R60:R60)</f>
        <v>254092.79999999999</v>
      </c>
      <c r="S61" s="52">
        <f>SUM(S60:S60)</f>
        <v>703160.28649999993</v>
      </c>
      <c r="T61" s="10"/>
      <c r="U61" s="10"/>
      <c r="V61" s="10"/>
      <c r="W61" s="10"/>
    </row>
    <row r="62" spans="1:23" s="146" customFormat="1" x14ac:dyDescent="0.3">
      <c r="A62" s="74"/>
      <c r="B62" s="104"/>
      <c r="C62" s="105"/>
      <c r="D62" s="106"/>
      <c r="E62" s="107"/>
      <c r="F62" s="108"/>
      <c r="G62" s="108"/>
      <c r="H62" s="109"/>
      <c r="I62" s="108"/>
      <c r="J62" s="108"/>
      <c r="K62" s="109"/>
      <c r="L62" s="109"/>
      <c r="M62" s="109"/>
      <c r="N62" s="109"/>
      <c r="O62" s="109"/>
      <c r="P62" s="108"/>
      <c r="Q62" s="108"/>
      <c r="R62" s="109"/>
      <c r="S62" s="110"/>
      <c r="T62" s="110"/>
      <c r="U62" s="134"/>
      <c r="V62" s="135"/>
      <c r="W62" s="74"/>
    </row>
    <row r="63" spans="1:23" s="133" customFormat="1" x14ac:dyDescent="0.3">
      <c r="A63" s="88"/>
      <c r="B63" s="113"/>
      <c r="C63" s="114"/>
      <c r="D63" s="115"/>
      <c r="E63" s="116" t="s">
        <v>59</v>
      </c>
      <c r="F63" s="117">
        <f>ROUND((F61/$E$58/8)/20,2)</f>
        <v>1</v>
      </c>
      <c r="G63" s="117"/>
      <c r="H63" s="117"/>
      <c r="I63" s="117">
        <f>ROUND((I61/$E$58/8)/20,2)</f>
        <v>0.09</v>
      </c>
      <c r="J63" s="117"/>
      <c r="K63" s="118"/>
      <c r="L63" s="117">
        <f>ROUND((L61/$E$58/8)/20,2)</f>
        <v>1.3</v>
      </c>
      <c r="M63" s="118"/>
      <c r="N63" s="118"/>
      <c r="O63" s="118"/>
      <c r="P63" s="117">
        <f>ROUND((P61/$E$58/8)/20,2)</f>
        <v>2</v>
      </c>
      <c r="Q63" s="93"/>
      <c r="R63" s="93"/>
      <c r="S63" s="117">
        <f>ROUND(SUM(F63:R63),2)</f>
        <v>4.3899999999999997</v>
      </c>
      <c r="T63" s="117"/>
      <c r="U63" s="120"/>
      <c r="V63" s="93"/>
      <c r="W63" s="88"/>
    </row>
    <row r="66" spans="1:23" ht="15.6" x14ac:dyDescent="0.3">
      <c r="A66" s="23" t="s">
        <v>66</v>
      </c>
      <c r="B66" s="144"/>
      <c r="C66" s="25"/>
      <c r="D66" s="72" t="s">
        <v>37</v>
      </c>
      <c r="E66" s="73">
        <v>5.74</v>
      </c>
      <c r="T66" s="10"/>
      <c r="U66" s="10"/>
    </row>
    <row r="67" spans="1:23" ht="52.5" customHeight="1" x14ac:dyDescent="0.3">
      <c r="A67" s="10"/>
      <c r="B67" s="75" t="s">
        <v>10</v>
      </c>
      <c r="C67" s="75" t="s">
        <v>38</v>
      </c>
      <c r="D67" s="75" t="s">
        <v>39</v>
      </c>
      <c r="E67" s="75" t="s">
        <v>40</v>
      </c>
      <c r="F67" s="76" t="s">
        <v>41</v>
      </c>
      <c r="G67" s="77" t="s">
        <v>42</v>
      </c>
      <c r="H67" s="78" t="s">
        <v>43</v>
      </c>
      <c r="I67" s="79" t="s">
        <v>44</v>
      </c>
      <c r="J67" s="80" t="s">
        <v>42</v>
      </c>
      <c r="K67" s="81" t="s">
        <v>45</v>
      </c>
      <c r="L67" s="76" t="s">
        <v>46</v>
      </c>
      <c r="M67" s="77" t="s">
        <v>42</v>
      </c>
      <c r="N67" s="78" t="s">
        <v>47</v>
      </c>
      <c r="O67" s="82" t="s">
        <v>48</v>
      </c>
      <c r="P67" s="83" t="s">
        <v>49</v>
      </c>
      <c r="Q67" s="84" t="s">
        <v>42</v>
      </c>
      <c r="R67" s="85" t="s">
        <v>50</v>
      </c>
      <c r="S67" s="82" t="s">
        <v>54</v>
      </c>
      <c r="T67" s="130"/>
      <c r="U67" s="10"/>
      <c r="V67" s="10"/>
      <c r="W67" s="10"/>
    </row>
    <row r="68" spans="1:23" s="133" customFormat="1" x14ac:dyDescent="0.3">
      <c r="A68" s="88"/>
      <c r="B68" s="89" t="s">
        <v>55</v>
      </c>
      <c r="C68" s="90" t="s">
        <v>56</v>
      </c>
      <c r="D68" s="91" t="s">
        <v>57</v>
      </c>
      <c r="E68" s="90" t="s">
        <v>57</v>
      </c>
      <c r="F68" s="145">
        <f>ROUND(F43/$E$41*$E$66,5)</f>
        <v>918.39993000000004</v>
      </c>
      <c r="G68" s="93">
        <f>+Perfils!$G$20</f>
        <v>59.76</v>
      </c>
      <c r="H68" s="94">
        <f>ROUND(F68*G68,2)</f>
        <v>54883.58</v>
      </c>
      <c r="I68" s="145">
        <f>ROUND(I43/$E$41*$E$66,5)</f>
        <v>83.176410000000004</v>
      </c>
      <c r="J68" s="93">
        <f>+Perfils!$G$28</f>
        <v>60.03</v>
      </c>
      <c r="K68" s="94">
        <f>ROUND(I68*J68,2)</f>
        <v>4993.08</v>
      </c>
      <c r="L68" s="145">
        <f>ROUND(L43/$E$41*$E$66,5)</f>
        <v>1195.2357199999999</v>
      </c>
      <c r="M68" s="94">
        <f>+Perfils!$G$36</f>
        <v>60.03</v>
      </c>
      <c r="N68" s="94">
        <f>ROUND(L68*M68,2)</f>
        <v>71750</v>
      </c>
      <c r="O68" s="94">
        <f>O60/12*E66</f>
        <v>83177.285992500008</v>
      </c>
      <c r="P68" s="145">
        <f>ROUND(P43/$E$41*$E$66,5)</f>
        <v>1836.80006</v>
      </c>
      <c r="Q68" s="93">
        <f>+Perfils!$G$42</f>
        <v>66.17</v>
      </c>
      <c r="R68" s="94">
        <f>ROUND(P68*Q68,2)</f>
        <v>121541.06</v>
      </c>
      <c r="S68" s="98">
        <f>+H68+K68+R68+O68+N68</f>
        <v>336345.0059925</v>
      </c>
      <c r="T68" s="132"/>
      <c r="U68" s="88"/>
      <c r="V68" s="88"/>
      <c r="W68" s="88"/>
    </row>
    <row r="69" spans="1:23" ht="15.6" x14ac:dyDescent="0.3">
      <c r="A69" s="10"/>
      <c r="B69" s="75" t="s">
        <v>58</v>
      </c>
      <c r="C69" s="99"/>
      <c r="D69" s="100"/>
      <c r="E69" s="101"/>
      <c r="F69" s="102">
        <f>SUM(F68:F68)</f>
        <v>918.39993000000004</v>
      </c>
      <c r="G69" s="102"/>
      <c r="H69" s="52">
        <f>SUM(H68:H68)</f>
        <v>54883.58</v>
      </c>
      <c r="I69" s="102">
        <f>SUM(I68:I68)</f>
        <v>83.176410000000004</v>
      </c>
      <c r="J69" s="102"/>
      <c r="K69" s="52">
        <f>SUM(K68:K68)</f>
        <v>4993.08</v>
      </c>
      <c r="L69" s="103">
        <f>SUM(L68:L68)</f>
        <v>1195.2357199999999</v>
      </c>
      <c r="M69" s="52"/>
      <c r="N69" s="52">
        <f>SUM(N68:N68)</f>
        <v>71750</v>
      </c>
      <c r="O69" s="52">
        <f>SUM(O68:O68)</f>
        <v>83177.285992500008</v>
      </c>
      <c r="P69" s="102">
        <f>SUM(P68:P68)</f>
        <v>1836.80006</v>
      </c>
      <c r="Q69" s="102"/>
      <c r="R69" s="52">
        <f>SUM(R68:R68)</f>
        <v>121541.06</v>
      </c>
      <c r="S69" s="52">
        <f>SUM(S68:S68)</f>
        <v>336345.0059925</v>
      </c>
      <c r="T69" s="10"/>
      <c r="U69" s="10"/>
      <c r="V69" s="10"/>
      <c r="W69" s="10"/>
    </row>
    <row r="70" spans="1:23" s="146" customFormat="1" x14ac:dyDescent="0.3">
      <c r="A70" s="74"/>
      <c r="B70" s="104"/>
      <c r="C70" s="105"/>
      <c r="D70" s="106"/>
      <c r="E70" s="107"/>
      <c r="F70" s="108"/>
      <c r="G70" s="108"/>
      <c r="H70" s="109"/>
      <c r="I70" s="108"/>
      <c r="J70" s="108"/>
      <c r="K70" s="109"/>
      <c r="L70" s="109"/>
      <c r="M70" s="109"/>
      <c r="N70" s="109"/>
      <c r="O70" s="109"/>
      <c r="P70" s="108"/>
      <c r="Q70" s="108"/>
      <c r="R70" s="109"/>
      <c r="S70" s="112"/>
      <c r="T70" s="74"/>
      <c r="U70" s="74"/>
      <c r="V70" s="74"/>
      <c r="W70" s="74"/>
    </row>
    <row r="71" spans="1:23" s="133" customFormat="1" x14ac:dyDescent="0.3">
      <c r="A71" s="88"/>
      <c r="B71" s="113"/>
      <c r="C71" s="114"/>
      <c r="D71" s="115"/>
      <c r="E71" s="116" t="s">
        <v>59</v>
      </c>
      <c r="F71" s="117">
        <f>ROUND((F69/$E$66/8)/20,2)</f>
        <v>1</v>
      </c>
      <c r="G71" s="117"/>
      <c r="H71" s="117"/>
      <c r="I71" s="117">
        <f>ROUND((I69/$E$66/8)/20,2)</f>
        <v>0.09</v>
      </c>
      <c r="J71" s="117"/>
      <c r="K71" s="118"/>
      <c r="L71" s="117">
        <f>ROUND((L69/$E$66/8)/20,2)</f>
        <v>1.3</v>
      </c>
      <c r="M71" s="118"/>
      <c r="N71" s="118"/>
      <c r="O71" s="118"/>
      <c r="P71" s="117">
        <f>ROUND((P69/$E$66/8)/20,2)</f>
        <v>2</v>
      </c>
      <c r="Q71" s="93"/>
      <c r="R71" s="93"/>
      <c r="S71" s="117">
        <f>ROUND(SUM(F71:R71),2)</f>
        <v>4.3899999999999997</v>
      </c>
      <c r="T71" s="88"/>
      <c r="U71" s="88"/>
      <c r="V71" s="88"/>
      <c r="W71" s="88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2"/>
  <sheetViews>
    <sheetView showGridLines="0" zoomScale="80" zoomScaleNormal="80" workbookViewId="0">
      <selection activeCell="C5" sqref="C5"/>
    </sheetView>
  </sheetViews>
  <sheetFormatPr defaultColWidth="11.44140625" defaultRowHeight="14.4" x14ac:dyDescent="0.3"/>
  <cols>
    <col min="1" max="1" width="16.5546875" style="149" customWidth="1"/>
    <col min="2" max="2" width="28.33203125" style="149" customWidth="1"/>
    <col min="3" max="3" width="59" style="149" customWidth="1"/>
    <col min="4" max="4" width="13.88671875" style="149" customWidth="1"/>
    <col min="5" max="6" width="13.33203125" style="149" customWidth="1"/>
    <col min="7" max="7" width="17.33203125" style="149" customWidth="1"/>
    <col min="8" max="8" width="15.33203125" style="149" customWidth="1"/>
  </cols>
  <sheetData>
    <row r="2" spans="2:8" ht="28.8" x14ac:dyDescent="0.3">
      <c r="C2" s="150"/>
      <c r="D2" s="151" t="s">
        <v>67</v>
      </c>
      <c r="E2" s="151" t="s">
        <v>68</v>
      </c>
      <c r="F2" s="152"/>
      <c r="H2" s="153"/>
    </row>
    <row r="3" spans="2:8" x14ac:dyDescent="0.3">
      <c r="C3" s="154" t="s">
        <v>69</v>
      </c>
      <c r="D3" s="155">
        <f t="shared" ref="D3:D10" si="0">ROUND(E3*1.21,2)</f>
        <v>105.96</v>
      </c>
      <c r="E3" s="156">
        <v>87.57</v>
      </c>
      <c r="F3" s="157"/>
      <c r="G3" s="158"/>
      <c r="H3" s="159"/>
    </row>
    <row r="4" spans="2:8" x14ac:dyDescent="0.3">
      <c r="C4" s="154" t="s">
        <v>70</v>
      </c>
      <c r="D4" s="155">
        <f t="shared" si="0"/>
        <v>114.13</v>
      </c>
      <c r="E4" s="156">
        <v>94.32</v>
      </c>
      <c r="F4" s="157"/>
      <c r="G4" s="158"/>
      <c r="H4" s="159"/>
    </row>
    <row r="5" spans="2:8" x14ac:dyDescent="0.3">
      <c r="C5" s="154" t="s">
        <v>235</v>
      </c>
      <c r="D5" s="155">
        <f t="shared" si="0"/>
        <v>74.95</v>
      </c>
      <c r="E5" s="156">
        <v>61.94</v>
      </c>
      <c r="F5" s="157"/>
      <c r="G5" s="158"/>
      <c r="H5" s="160"/>
    </row>
    <row r="6" spans="2:8" x14ac:dyDescent="0.3">
      <c r="C6" s="154" t="s">
        <v>71</v>
      </c>
      <c r="D6" s="155">
        <f t="shared" si="0"/>
        <v>46.97</v>
      </c>
      <c r="E6" s="156">
        <v>38.82</v>
      </c>
      <c r="F6" s="157"/>
      <c r="G6" s="158"/>
      <c r="H6" s="159"/>
    </row>
    <row r="7" spans="2:8" x14ac:dyDescent="0.3">
      <c r="C7" s="154" t="s">
        <v>72</v>
      </c>
      <c r="D7" s="155">
        <f t="shared" si="0"/>
        <v>39.76</v>
      </c>
      <c r="E7" s="156">
        <v>32.86</v>
      </c>
      <c r="F7" s="157"/>
      <c r="G7" s="158"/>
      <c r="H7" s="159"/>
    </row>
    <row r="8" spans="2:8" x14ac:dyDescent="0.3">
      <c r="C8" s="154" t="s">
        <v>73</v>
      </c>
      <c r="D8" s="155">
        <f t="shared" si="0"/>
        <v>57.86</v>
      </c>
      <c r="E8" s="156">
        <v>47.82</v>
      </c>
      <c r="F8" s="157"/>
      <c r="G8" s="158"/>
      <c r="H8" s="159"/>
    </row>
    <row r="9" spans="2:8" x14ac:dyDescent="0.3">
      <c r="C9" s="154" t="s">
        <v>74</v>
      </c>
      <c r="D9" s="155">
        <f t="shared" si="0"/>
        <v>66.78</v>
      </c>
      <c r="E9" s="156">
        <v>55.19</v>
      </c>
      <c r="F9" s="157"/>
      <c r="G9" s="158"/>
      <c r="H9" s="159"/>
    </row>
    <row r="10" spans="2:8" x14ac:dyDescent="0.3">
      <c r="C10" s="161" t="s">
        <v>75</v>
      </c>
      <c r="D10" s="155">
        <f t="shared" si="0"/>
        <v>39.479999999999997</v>
      </c>
      <c r="E10" s="156">
        <v>32.630000000000003</v>
      </c>
      <c r="F10" s="157"/>
      <c r="G10" s="158"/>
      <c r="H10" s="159"/>
    </row>
    <row r="11" spans="2:8" x14ac:dyDescent="0.3">
      <c r="D11" s="149" t="s">
        <v>76</v>
      </c>
    </row>
    <row r="13" spans="2:8" ht="28.8" x14ac:dyDescent="0.3">
      <c r="B13" s="162" t="s">
        <v>77</v>
      </c>
      <c r="C13" s="162" t="s">
        <v>78</v>
      </c>
      <c r="D13" s="162" t="s">
        <v>79</v>
      </c>
      <c r="E13" s="163" t="s">
        <v>80</v>
      </c>
      <c r="F13" s="163" t="s">
        <v>81</v>
      </c>
      <c r="G13" s="163" t="s">
        <v>82</v>
      </c>
    </row>
    <row r="14" spans="2:8" ht="14.25" customHeight="1" x14ac:dyDescent="0.3">
      <c r="B14" s="372" t="s">
        <v>22</v>
      </c>
      <c r="C14" s="164" t="str">
        <f>$C$3</f>
        <v>Cap de projecte/Responsable del Servei</v>
      </c>
      <c r="D14" s="165">
        <v>0.05</v>
      </c>
      <c r="E14" s="166">
        <f>$D$3</f>
        <v>105.96</v>
      </c>
      <c r="F14" s="166">
        <f>$E$3</f>
        <v>87.57</v>
      </c>
      <c r="G14" s="166">
        <f t="shared" ref="G14:G19" si="1">E14*D14</f>
        <v>5.298</v>
      </c>
    </row>
    <row r="15" spans="2:8" x14ac:dyDescent="0.3">
      <c r="B15" s="372"/>
      <c r="C15" s="164" t="str">
        <f>+$C$4</f>
        <v>Arquitecte</v>
      </c>
      <c r="D15" s="165">
        <v>0.1</v>
      </c>
      <c r="E15" s="166">
        <f>$D$4</f>
        <v>114.13</v>
      </c>
      <c r="F15" s="166">
        <f>$E$4</f>
        <v>94.32</v>
      </c>
      <c r="G15" s="166">
        <f t="shared" si="1"/>
        <v>11.413</v>
      </c>
    </row>
    <row r="16" spans="2:8" x14ac:dyDescent="0.3">
      <c r="B16" s="372"/>
      <c r="C16" s="164" t="str">
        <f>$C$5</f>
        <v xml:space="preserve">Responsable de seguretat (tarifa de “Responsable de servei Sènior”) </v>
      </c>
      <c r="D16" s="165">
        <v>0.15</v>
      </c>
      <c r="E16" s="167">
        <f>$D$5</f>
        <v>74.95</v>
      </c>
      <c r="F16" s="167">
        <f>$E$5</f>
        <v>61.94</v>
      </c>
      <c r="G16" s="166">
        <f t="shared" si="1"/>
        <v>11.2425</v>
      </c>
    </row>
    <row r="17" spans="2:8" x14ac:dyDescent="0.3">
      <c r="B17" s="372"/>
      <c r="C17" s="164" t="str">
        <f>+$C$6</f>
        <v>Programador de sistemes</v>
      </c>
      <c r="D17" s="165">
        <v>0.3</v>
      </c>
      <c r="E17" s="167">
        <f>$D$6</f>
        <v>46.97</v>
      </c>
      <c r="F17" s="167">
        <f>$E$6</f>
        <v>38.82</v>
      </c>
      <c r="G17" s="166">
        <f t="shared" si="1"/>
        <v>14.090999999999999</v>
      </c>
    </row>
    <row r="18" spans="2:8" x14ac:dyDescent="0.3">
      <c r="B18" s="372"/>
      <c r="C18" s="164" t="str">
        <f>+$C$7</f>
        <v xml:space="preserve">Programador PHP  </v>
      </c>
      <c r="D18" s="165">
        <v>0.3</v>
      </c>
      <c r="E18" s="167">
        <f>$D$7</f>
        <v>39.76</v>
      </c>
      <c r="F18" s="167">
        <f>$E$7</f>
        <v>32.86</v>
      </c>
      <c r="G18" s="166">
        <f t="shared" si="1"/>
        <v>11.927999999999999</v>
      </c>
    </row>
    <row r="19" spans="2:8" x14ac:dyDescent="0.3">
      <c r="B19" s="372"/>
      <c r="C19" s="164" t="str">
        <f>+$C$8</f>
        <v>Full Stack Developer en PYTHON</v>
      </c>
      <c r="D19" s="165">
        <v>0.1</v>
      </c>
      <c r="E19" s="167">
        <f>$D$8</f>
        <v>57.86</v>
      </c>
      <c r="F19" s="167">
        <f>$E$8</f>
        <v>47.82</v>
      </c>
      <c r="G19" s="166">
        <f t="shared" si="1"/>
        <v>5.7860000000000005</v>
      </c>
    </row>
    <row r="20" spans="2:8" x14ac:dyDescent="0.3">
      <c r="B20" s="372"/>
      <c r="C20" s="371" t="s">
        <v>83</v>
      </c>
      <c r="D20" s="371"/>
      <c r="E20" s="371"/>
      <c r="F20" s="168"/>
      <c r="G20" s="168">
        <f>ROUND(SUM(G14:G19),2)</f>
        <v>59.76</v>
      </c>
      <c r="H20" s="169">
        <f>SUM(D14:D19)</f>
        <v>1.0000000000000002</v>
      </c>
    </row>
    <row r="21" spans="2:8" ht="14.25" customHeight="1" x14ac:dyDescent="0.3">
      <c r="B21" s="372" t="s">
        <v>24</v>
      </c>
      <c r="C21" s="164" t="str">
        <f>$C$3</f>
        <v>Cap de projecte/Responsable del Servei</v>
      </c>
      <c r="D21" s="165">
        <v>0.05</v>
      </c>
      <c r="E21" s="166">
        <f>$D$3</f>
        <v>105.96</v>
      </c>
      <c r="F21" s="166">
        <f>$E$3</f>
        <v>87.57</v>
      </c>
      <c r="G21" s="166">
        <f t="shared" ref="G21:G27" si="2">E21*D21</f>
        <v>5.298</v>
      </c>
    </row>
    <row r="22" spans="2:8" x14ac:dyDescent="0.3">
      <c r="B22" s="372"/>
      <c r="C22" s="164" t="str">
        <f>+$C$4</f>
        <v>Arquitecte</v>
      </c>
      <c r="D22" s="165">
        <v>0.1</v>
      </c>
      <c r="E22" s="166">
        <f>$D$4</f>
        <v>114.13</v>
      </c>
      <c r="F22" s="166">
        <f>$E$4</f>
        <v>94.32</v>
      </c>
      <c r="G22" s="166">
        <f t="shared" si="2"/>
        <v>11.413</v>
      </c>
    </row>
    <row r="23" spans="2:8" x14ac:dyDescent="0.3">
      <c r="B23" s="372"/>
      <c r="C23" s="164" t="str">
        <f>$C$5</f>
        <v xml:space="preserve">Responsable de seguretat (tarifa de “Responsable de servei Sènior”) </v>
      </c>
      <c r="D23" s="165">
        <v>0.05</v>
      </c>
      <c r="E23" s="167">
        <f>$D$5</f>
        <v>74.95</v>
      </c>
      <c r="F23" s="167">
        <f>$E$5</f>
        <v>61.94</v>
      </c>
      <c r="G23" s="166">
        <f t="shared" si="2"/>
        <v>3.7475000000000005</v>
      </c>
    </row>
    <row r="24" spans="2:8" x14ac:dyDescent="0.3">
      <c r="B24" s="372"/>
      <c r="C24" s="164" t="str">
        <f>+$C$6</f>
        <v>Programador de sistemes</v>
      </c>
      <c r="D24" s="165">
        <v>0.2</v>
      </c>
      <c r="E24" s="167">
        <f>$D$6</f>
        <v>46.97</v>
      </c>
      <c r="F24" s="167">
        <f>$E$6</f>
        <v>38.82</v>
      </c>
      <c r="G24" s="166">
        <f t="shared" si="2"/>
        <v>9.3940000000000001</v>
      </c>
    </row>
    <row r="25" spans="2:8" x14ac:dyDescent="0.3">
      <c r="B25" s="372"/>
      <c r="C25" s="164" t="str">
        <f>+$C$7</f>
        <v xml:space="preserve">Programador PHP  </v>
      </c>
      <c r="D25" s="165">
        <v>0.3</v>
      </c>
      <c r="E25" s="167">
        <f>$D$7</f>
        <v>39.76</v>
      </c>
      <c r="F25" s="167">
        <f>$E$7</f>
        <v>32.86</v>
      </c>
      <c r="G25" s="166">
        <f t="shared" si="2"/>
        <v>11.927999999999999</v>
      </c>
    </row>
    <row r="26" spans="2:8" x14ac:dyDescent="0.3">
      <c r="B26" s="372"/>
      <c r="C26" s="164" t="str">
        <f>+$C$8</f>
        <v>Full Stack Developer en PYTHON</v>
      </c>
      <c r="D26" s="165">
        <v>0.2</v>
      </c>
      <c r="E26" s="167">
        <f>$D$8</f>
        <v>57.86</v>
      </c>
      <c r="F26" s="167">
        <f>$E$8</f>
        <v>47.82</v>
      </c>
      <c r="G26" s="166">
        <f t="shared" si="2"/>
        <v>11.572000000000001</v>
      </c>
    </row>
    <row r="27" spans="2:8" x14ac:dyDescent="0.3">
      <c r="B27" s="372"/>
      <c r="C27" s="170" t="str">
        <f>+$C$9</f>
        <v>Arquitecte PYTHON</v>
      </c>
      <c r="D27" s="165">
        <v>0.1</v>
      </c>
      <c r="E27" s="166">
        <f>$D$9</f>
        <v>66.78</v>
      </c>
      <c r="F27" s="166">
        <f>$E$9</f>
        <v>55.19</v>
      </c>
      <c r="G27" s="166">
        <f t="shared" si="2"/>
        <v>6.6780000000000008</v>
      </c>
    </row>
    <row r="28" spans="2:8" x14ac:dyDescent="0.3">
      <c r="B28" s="372"/>
      <c r="C28" s="371" t="s">
        <v>83</v>
      </c>
      <c r="D28" s="371"/>
      <c r="E28" s="371"/>
      <c r="F28" s="168"/>
      <c r="G28" s="168">
        <f>ROUND(SUM(G21:G27),2)</f>
        <v>60.03</v>
      </c>
      <c r="H28" s="169">
        <f>SUM(D21:D27)</f>
        <v>0.99999999999999989</v>
      </c>
    </row>
    <row r="29" spans="2:8" ht="14.25" customHeight="1" x14ac:dyDescent="0.3">
      <c r="B29" s="370" t="s">
        <v>26</v>
      </c>
      <c r="C29" s="164" t="str">
        <f>$C$3</f>
        <v>Cap de projecte/Responsable del Servei</v>
      </c>
      <c r="D29" s="165">
        <v>0.05</v>
      </c>
      <c r="E29" s="166">
        <f>$D$3</f>
        <v>105.96</v>
      </c>
      <c r="F29" s="166">
        <f>$E$3</f>
        <v>87.57</v>
      </c>
      <c r="G29" s="166">
        <f t="shared" ref="G29:G35" si="3">E29*D29</f>
        <v>5.298</v>
      </c>
      <c r="H29" s="169"/>
    </row>
    <row r="30" spans="2:8" x14ac:dyDescent="0.3">
      <c r="B30" s="370"/>
      <c r="C30" s="164" t="str">
        <f>+$C$4</f>
        <v>Arquitecte</v>
      </c>
      <c r="D30" s="165">
        <v>0.1</v>
      </c>
      <c r="E30" s="166">
        <f>$D$4</f>
        <v>114.13</v>
      </c>
      <c r="F30" s="166">
        <f>$E$4</f>
        <v>94.32</v>
      </c>
      <c r="G30" s="166">
        <f t="shared" si="3"/>
        <v>11.413</v>
      </c>
      <c r="H30" s="169"/>
    </row>
    <row r="31" spans="2:8" x14ac:dyDescent="0.3">
      <c r="B31" s="370"/>
      <c r="C31" s="164" t="str">
        <f>$C$5</f>
        <v xml:space="preserve">Responsable de seguretat (tarifa de “Responsable de servei Sènior”) </v>
      </c>
      <c r="D31" s="165">
        <v>0.05</v>
      </c>
      <c r="E31" s="167">
        <f>$D$5</f>
        <v>74.95</v>
      </c>
      <c r="F31" s="167">
        <f>$E$5</f>
        <v>61.94</v>
      </c>
      <c r="G31" s="166">
        <f t="shared" si="3"/>
        <v>3.7475000000000005</v>
      </c>
      <c r="H31" s="169"/>
    </row>
    <row r="32" spans="2:8" x14ac:dyDescent="0.3">
      <c r="B32" s="370"/>
      <c r="C32" s="164" t="str">
        <f>+$C$6</f>
        <v>Programador de sistemes</v>
      </c>
      <c r="D32" s="165">
        <v>0.2</v>
      </c>
      <c r="E32" s="167">
        <f>$D$6</f>
        <v>46.97</v>
      </c>
      <c r="F32" s="167">
        <f>$E$6</f>
        <v>38.82</v>
      </c>
      <c r="G32" s="166">
        <f t="shared" si="3"/>
        <v>9.3940000000000001</v>
      </c>
      <c r="H32" s="169"/>
    </row>
    <row r="33" spans="2:8" x14ac:dyDescent="0.3">
      <c r="B33" s="370"/>
      <c r="C33" s="164" t="str">
        <f>+$C$7</f>
        <v xml:space="preserve">Programador PHP  </v>
      </c>
      <c r="D33" s="165">
        <v>0.3</v>
      </c>
      <c r="E33" s="167">
        <f>$D$7</f>
        <v>39.76</v>
      </c>
      <c r="F33" s="167">
        <f>$E$7</f>
        <v>32.86</v>
      </c>
      <c r="G33" s="166">
        <f t="shared" si="3"/>
        <v>11.927999999999999</v>
      </c>
      <c r="H33" s="169"/>
    </row>
    <row r="34" spans="2:8" x14ac:dyDescent="0.3">
      <c r="B34" s="370"/>
      <c r="C34" s="164" t="str">
        <f>+$C$8</f>
        <v>Full Stack Developer en PYTHON</v>
      </c>
      <c r="D34" s="165">
        <v>0.2</v>
      </c>
      <c r="E34" s="167">
        <f>$D$8</f>
        <v>57.86</v>
      </c>
      <c r="F34" s="167">
        <f>$E$8</f>
        <v>47.82</v>
      </c>
      <c r="G34" s="166">
        <f t="shared" si="3"/>
        <v>11.572000000000001</v>
      </c>
      <c r="H34" s="169"/>
    </row>
    <row r="35" spans="2:8" x14ac:dyDescent="0.3">
      <c r="B35" s="370"/>
      <c r="C35" s="170" t="str">
        <f>+$C$9</f>
        <v>Arquitecte PYTHON</v>
      </c>
      <c r="D35" s="165">
        <v>0.1</v>
      </c>
      <c r="E35" s="166">
        <f>$D$9</f>
        <v>66.78</v>
      </c>
      <c r="F35" s="166">
        <f>$E$9</f>
        <v>55.19</v>
      </c>
      <c r="G35" s="166">
        <f t="shared" si="3"/>
        <v>6.6780000000000008</v>
      </c>
      <c r="H35" s="169"/>
    </row>
    <row r="36" spans="2:8" x14ac:dyDescent="0.3">
      <c r="B36" s="370"/>
      <c r="C36" s="371" t="s">
        <v>83</v>
      </c>
      <c r="D36" s="371"/>
      <c r="E36" s="371"/>
      <c r="F36" s="168"/>
      <c r="G36" s="168">
        <f>ROUND(SUM(G29:G35),2)</f>
        <v>60.03</v>
      </c>
      <c r="H36" s="169">
        <f>SUM(D29:D35)</f>
        <v>0.99999999999999989</v>
      </c>
    </row>
    <row r="37" spans="2:8" ht="15" customHeight="1" x14ac:dyDescent="0.3">
      <c r="B37" s="370" t="s">
        <v>30</v>
      </c>
      <c r="C37" s="164" t="str">
        <f>$C$3</f>
        <v>Cap de projecte/Responsable del Servei</v>
      </c>
      <c r="D37" s="165">
        <v>0.15</v>
      </c>
      <c r="E37" s="166">
        <f>$D$3</f>
        <v>105.96</v>
      </c>
      <c r="F37" s="166">
        <f>$E$3</f>
        <v>87.57</v>
      </c>
      <c r="G37" s="171">
        <f>E37*D37</f>
        <v>15.893999999999998</v>
      </c>
    </row>
    <row r="38" spans="2:8" ht="15" customHeight="1" x14ac:dyDescent="0.3">
      <c r="B38" s="370"/>
      <c r="C38" s="164" t="str">
        <f>+$C$4</f>
        <v>Arquitecte</v>
      </c>
      <c r="D38" s="165">
        <v>0.15</v>
      </c>
      <c r="E38" s="166">
        <f>$D$4</f>
        <v>114.13</v>
      </c>
      <c r="F38" s="166">
        <f>$E$4</f>
        <v>94.32</v>
      </c>
      <c r="G38" s="171">
        <f>E38*D38</f>
        <v>17.119499999999999</v>
      </c>
    </row>
    <row r="39" spans="2:8" x14ac:dyDescent="0.3">
      <c r="B39" s="370"/>
      <c r="C39" s="164" t="str">
        <f>$C$5</f>
        <v xml:space="preserve">Responsable de seguretat (tarifa de “Responsable de servei Sènior”) </v>
      </c>
      <c r="D39" s="165">
        <v>0.05</v>
      </c>
      <c r="E39" s="167">
        <f>$D$5</f>
        <v>74.95</v>
      </c>
      <c r="F39" s="167">
        <f>$E$5</f>
        <v>61.94</v>
      </c>
      <c r="G39" s="171">
        <f>E39*D39</f>
        <v>3.7475000000000005</v>
      </c>
    </row>
    <row r="40" spans="2:8" x14ac:dyDescent="0.3">
      <c r="B40" s="370"/>
      <c r="C40" s="164" t="str">
        <f>+$C$6</f>
        <v>Programador de sistemes</v>
      </c>
      <c r="D40" s="165">
        <v>0.5</v>
      </c>
      <c r="E40" s="167">
        <f>$D$6</f>
        <v>46.97</v>
      </c>
      <c r="F40" s="167">
        <f>$E$6</f>
        <v>38.82</v>
      </c>
      <c r="G40" s="171">
        <f>E40*D40</f>
        <v>23.484999999999999</v>
      </c>
    </row>
    <row r="41" spans="2:8" x14ac:dyDescent="0.3">
      <c r="B41" s="370"/>
      <c r="C41" s="164" t="str">
        <f>+$C$10</f>
        <v>Atenció usuaris</v>
      </c>
      <c r="D41" s="165">
        <v>0.15</v>
      </c>
      <c r="E41" s="167">
        <f>$D$10</f>
        <v>39.479999999999997</v>
      </c>
      <c r="F41" s="167">
        <f>$E$10</f>
        <v>32.630000000000003</v>
      </c>
      <c r="G41" s="171">
        <f>E41*D41</f>
        <v>5.9219999999999997</v>
      </c>
    </row>
    <row r="42" spans="2:8" x14ac:dyDescent="0.3">
      <c r="B42" s="370"/>
      <c r="C42" s="371" t="s">
        <v>83</v>
      </c>
      <c r="D42" s="371"/>
      <c r="E42" s="371"/>
      <c r="F42" s="168"/>
      <c r="G42" s="168">
        <f>ROUND(SUM(G37:G41),2)</f>
        <v>66.17</v>
      </c>
      <c r="H42" s="169">
        <f>SUM(D37:D41)</f>
        <v>1</v>
      </c>
    </row>
  </sheetData>
  <mergeCells count="8">
    <mergeCell ref="B37:B42"/>
    <mergeCell ref="C42:E42"/>
    <mergeCell ref="B14:B20"/>
    <mergeCell ref="C20:E20"/>
    <mergeCell ref="B21:B28"/>
    <mergeCell ref="C28:E28"/>
    <mergeCell ref="B29:B36"/>
    <mergeCell ref="C36:E36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zoomScaleNormal="100" workbookViewId="0">
      <selection activeCell="G1" sqref="G1"/>
    </sheetView>
  </sheetViews>
  <sheetFormatPr defaultColWidth="14.44140625" defaultRowHeight="13.2" x14ac:dyDescent="0.25"/>
  <cols>
    <col min="1" max="1" width="2.88671875" style="172" customWidth="1"/>
    <col min="2" max="2" width="20" style="172" customWidth="1"/>
    <col min="3" max="3" width="7.44140625" style="172" customWidth="1"/>
    <col min="4" max="4" width="10.109375" style="172" customWidth="1"/>
    <col min="5" max="5" width="14.33203125" style="172" customWidth="1"/>
    <col min="6" max="6" width="20.5546875" style="172" customWidth="1"/>
    <col min="7" max="7" width="15.109375" style="172" customWidth="1"/>
    <col min="8" max="8" width="15.33203125" style="172" customWidth="1"/>
    <col min="9" max="9" width="10.44140625" style="172" customWidth="1"/>
    <col min="10" max="10" width="15.5546875" style="172" customWidth="1"/>
    <col min="11" max="11" width="17.44140625" style="172" customWidth="1"/>
    <col min="12" max="16384" width="14.44140625" style="172"/>
  </cols>
  <sheetData>
    <row r="1" spans="1:11" x14ac:dyDescent="0.25">
      <c r="A1" s="172" t="s">
        <v>84</v>
      </c>
    </row>
    <row r="2" spans="1:11" ht="15.75" customHeight="1" x14ac:dyDescent="0.3">
      <c r="B2" s="173" t="s">
        <v>85</v>
      </c>
      <c r="C2" s="174"/>
      <c r="D2" s="174"/>
      <c r="E2" s="174"/>
      <c r="F2" s="174"/>
      <c r="G2" s="175"/>
      <c r="H2" s="174"/>
      <c r="I2" s="174"/>
      <c r="J2" s="174"/>
      <c r="K2" s="174"/>
    </row>
    <row r="3" spans="1:11" ht="15.75" customHeight="1" x14ac:dyDescent="0.25"/>
    <row r="4" spans="1:11" ht="29.25" customHeight="1" x14ac:dyDescent="0.25">
      <c r="B4" s="176" t="s">
        <v>86</v>
      </c>
      <c r="C4" s="176" t="s">
        <v>87</v>
      </c>
      <c r="D4" s="176" t="s">
        <v>88</v>
      </c>
      <c r="E4" s="176" t="s">
        <v>89</v>
      </c>
      <c r="F4" s="176" t="s">
        <v>90</v>
      </c>
      <c r="G4" s="177" t="s">
        <v>91</v>
      </c>
      <c r="H4" s="178" t="s">
        <v>92</v>
      </c>
      <c r="I4" s="178" t="s">
        <v>93</v>
      </c>
      <c r="J4" s="179" t="s">
        <v>94</v>
      </c>
      <c r="K4" s="176" t="s">
        <v>95</v>
      </c>
    </row>
    <row r="5" spans="1:11" ht="14.4" x14ac:dyDescent="0.3">
      <c r="B5" s="180" t="s">
        <v>96</v>
      </c>
      <c r="C5" s="181" t="s">
        <v>97</v>
      </c>
      <c r="D5" s="181" t="s">
        <v>98</v>
      </c>
      <c r="E5" s="181" t="s">
        <v>99</v>
      </c>
      <c r="F5" s="182" t="s">
        <v>100</v>
      </c>
      <c r="G5" s="183">
        <v>5</v>
      </c>
      <c r="H5" s="184">
        <f>G5*1.21</f>
        <v>6.05</v>
      </c>
      <c r="I5" s="185">
        <v>538</v>
      </c>
      <c r="J5" s="186">
        <f>I5*H5</f>
        <v>3254.9</v>
      </c>
      <c r="K5" s="187">
        <f>J5*12</f>
        <v>39058.800000000003</v>
      </c>
    </row>
    <row r="6" spans="1:11" ht="14.4" x14ac:dyDescent="0.3">
      <c r="B6" s="180" t="s">
        <v>101</v>
      </c>
      <c r="C6" s="181" t="s">
        <v>102</v>
      </c>
      <c r="D6" s="181" t="s">
        <v>103</v>
      </c>
      <c r="E6" s="181" t="s">
        <v>104</v>
      </c>
      <c r="F6" s="182" t="s">
        <v>105</v>
      </c>
      <c r="G6" s="183">
        <v>7</v>
      </c>
      <c r="H6" s="184">
        <f>G6*1.21</f>
        <v>8.4699999999999989</v>
      </c>
      <c r="I6" s="185">
        <v>57</v>
      </c>
      <c r="J6" s="186">
        <f>I6*H6</f>
        <v>482.78999999999996</v>
      </c>
      <c r="K6" s="187">
        <f>J6*12</f>
        <v>5793.48</v>
      </c>
    </row>
    <row r="7" spans="1:11" ht="28.8" x14ac:dyDescent="0.3">
      <c r="B7" s="180" t="s">
        <v>106</v>
      </c>
      <c r="C7" s="181" t="s">
        <v>107</v>
      </c>
      <c r="D7" s="181" t="s">
        <v>108</v>
      </c>
      <c r="E7" s="181" t="s">
        <v>99</v>
      </c>
      <c r="F7" s="182" t="s">
        <v>100</v>
      </c>
      <c r="G7" s="183">
        <v>3</v>
      </c>
      <c r="H7" s="184">
        <f>G7*1.21</f>
        <v>3.63</v>
      </c>
      <c r="I7" s="185">
        <v>448</v>
      </c>
      <c r="J7" s="186">
        <f>I7*H7</f>
        <v>1626.24</v>
      </c>
      <c r="K7" s="188">
        <f>J7*12</f>
        <v>19514.88</v>
      </c>
    </row>
    <row r="8" spans="1:11" ht="15.75" customHeight="1" x14ac:dyDescent="0.3">
      <c r="B8" s="189" t="s">
        <v>109</v>
      </c>
      <c r="C8" s="190"/>
      <c r="D8" s="190"/>
      <c r="E8" s="190"/>
      <c r="F8" s="190"/>
      <c r="G8" s="191"/>
      <c r="H8" s="192"/>
      <c r="I8" s="193">
        <f>SUM(I5:I7)</f>
        <v>1043</v>
      </c>
      <c r="J8" s="194">
        <f>SUM(J5:J7)</f>
        <v>5363.93</v>
      </c>
      <c r="K8" s="194">
        <f>SUM(K5:K7)</f>
        <v>64367.16</v>
      </c>
    </row>
    <row r="9" spans="1:11" ht="15.75" customHeight="1" x14ac:dyDescent="0.3">
      <c r="G9" s="191"/>
      <c r="H9" s="192"/>
      <c r="I9" s="195"/>
      <c r="J9" s="191"/>
      <c r="K9" s="196"/>
    </row>
    <row r="10" spans="1:11" ht="16.5" customHeight="1" x14ac:dyDescent="0.25"/>
    <row r="11" spans="1:11" ht="16.5" customHeight="1" x14ac:dyDescent="0.25">
      <c r="B11" s="197" t="s">
        <v>110</v>
      </c>
      <c r="C11" s="197"/>
      <c r="D11" s="197"/>
      <c r="E11" s="197"/>
      <c r="F11" s="197"/>
      <c r="G11" s="197"/>
      <c r="H11" s="197"/>
      <c r="I11" s="198"/>
      <c r="J11" s="198"/>
      <c r="K11" s="198"/>
    </row>
    <row r="12" spans="1:11" ht="16.5" customHeight="1" x14ac:dyDescent="0.25">
      <c r="B12" s="199"/>
      <c r="C12" s="199"/>
      <c r="D12" s="199"/>
      <c r="E12" s="199"/>
      <c r="F12" s="199"/>
      <c r="G12" s="199"/>
      <c r="H12" s="199"/>
    </row>
    <row r="13" spans="1:11" ht="30" customHeight="1" x14ac:dyDescent="0.25">
      <c r="A13" s="200"/>
      <c r="B13" s="176" t="s">
        <v>86</v>
      </c>
      <c r="C13" s="176" t="s">
        <v>111</v>
      </c>
      <c r="D13" s="176" t="s">
        <v>112</v>
      </c>
      <c r="E13" s="176" t="s">
        <v>113</v>
      </c>
      <c r="F13" s="176" t="s">
        <v>114</v>
      </c>
      <c r="G13" s="176" t="s">
        <v>115</v>
      </c>
      <c r="H13" s="176" t="s">
        <v>92</v>
      </c>
      <c r="I13" s="176" t="s">
        <v>93</v>
      </c>
      <c r="J13" s="179" t="s">
        <v>94</v>
      </c>
      <c r="K13" s="176" t="s">
        <v>95</v>
      </c>
    </row>
    <row r="14" spans="1:11" ht="16.5" customHeight="1" x14ac:dyDescent="0.25">
      <c r="A14" s="201"/>
      <c r="B14" s="202" t="s">
        <v>116</v>
      </c>
      <c r="C14" s="182">
        <v>2</v>
      </c>
      <c r="D14" s="182">
        <v>1</v>
      </c>
      <c r="E14" s="182">
        <v>50</v>
      </c>
      <c r="F14" s="182" t="s">
        <v>117</v>
      </c>
      <c r="G14" s="203">
        <f>(5.31 + 4.54) / 1.21 * 1.1</f>
        <v>8.954545454545455</v>
      </c>
      <c r="H14" s="204">
        <f t="shared" ref="H14:H20" si="0">G14*1.21</f>
        <v>10.835000000000001</v>
      </c>
      <c r="I14" s="202">
        <v>7</v>
      </c>
      <c r="J14" s="186">
        <f t="shared" ref="J14:J20" si="1">I14*H14</f>
        <v>75.844999999999999</v>
      </c>
      <c r="K14" s="187">
        <f t="shared" ref="K14:K20" si="2">J14*12</f>
        <v>910.14</v>
      </c>
    </row>
    <row r="15" spans="1:11" ht="16.5" customHeight="1" x14ac:dyDescent="0.25">
      <c r="A15" s="201"/>
      <c r="B15" s="202" t="s">
        <v>118</v>
      </c>
      <c r="C15" s="182">
        <v>2</v>
      </c>
      <c r="D15" s="182">
        <v>2</v>
      </c>
      <c r="E15" s="182">
        <v>50</v>
      </c>
      <c r="F15" s="182" t="s">
        <v>117</v>
      </c>
      <c r="G15" s="203">
        <f>(10.71+ 4.54) / 1.21* 1.1</f>
        <v>13.863636363636365</v>
      </c>
      <c r="H15" s="204">
        <f t="shared" si="0"/>
        <v>16.775000000000002</v>
      </c>
      <c r="I15" s="202">
        <v>28</v>
      </c>
      <c r="J15" s="186">
        <f t="shared" si="1"/>
        <v>469.70000000000005</v>
      </c>
      <c r="K15" s="187">
        <f t="shared" si="2"/>
        <v>5636.4000000000005</v>
      </c>
    </row>
    <row r="16" spans="1:11" ht="16.5" customHeight="1" x14ac:dyDescent="0.25">
      <c r="A16" s="201"/>
      <c r="B16" s="202" t="s">
        <v>119</v>
      </c>
      <c r="C16" s="182">
        <v>2</v>
      </c>
      <c r="D16" s="182">
        <v>4</v>
      </c>
      <c r="E16" s="182">
        <v>50</v>
      </c>
      <c r="F16" s="182" t="s">
        <v>117</v>
      </c>
      <c r="G16" s="203">
        <f>(21.33+ 4.54) / 1.21* 1.1</f>
        <v>23.518181818181819</v>
      </c>
      <c r="H16" s="204">
        <f t="shared" si="0"/>
        <v>28.457000000000001</v>
      </c>
      <c r="I16" s="202">
        <v>11</v>
      </c>
      <c r="J16" s="186">
        <f t="shared" si="1"/>
        <v>313.02699999999999</v>
      </c>
      <c r="K16" s="187">
        <f t="shared" si="2"/>
        <v>3756.3239999999996</v>
      </c>
    </row>
    <row r="17" spans="1:11" ht="16.5" customHeight="1" x14ac:dyDescent="0.25">
      <c r="A17" s="201"/>
      <c r="B17" s="202" t="s">
        <v>120</v>
      </c>
      <c r="C17" s="182">
        <v>2</v>
      </c>
      <c r="D17" s="182">
        <v>8</v>
      </c>
      <c r="E17" s="182">
        <v>50</v>
      </c>
      <c r="F17" s="182" t="s">
        <v>117</v>
      </c>
      <c r="G17" s="203">
        <f>(42.67+ 4.54) / 1.21* 1.1</f>
        <v>42.918181818181822</v>
      </c>
      <c r="H17" s="204">
        <f t="shared" si="0"/>
        <v>51.931000000000004</v>
      </c>
      <c r="I17" s="202">
        <v>7</v>
      </c>
      <c r="J17" s="186">
        <f t="shared" si="1"/>
        <v>363.51700000000005</v>
      </c>
      <c r="K17" s="187">
        <f t="shared" si="2"/>
        <v>4362.2040000000006</v>
      </c>
    </row>
    <row r="18" spans="1:11" ht="16.5" customHeight="1" x14ac:dyDescent="0.25">
      <c r="A18" s="201"/>
      <c r="B18" s="202" t="s">
        <v>121</v>
      </c>
      <c r="C18" s="182">
        <v>4</v>
      </c>
      <c r="D18" s="182">
        <v>16</v>
      </c>
      <c r="E18" s="182">
        <v>50</v>
      </c>
      <c r="F18" s="182" t="s">
        <v>117</v>
      </c>
      <c r="G18" s="203">
        <f>(85.35+ 4.54) / 1.21* 1.1</f>
        <v>81.718181818181819</v>
      </c>
      <c r="H18" s="204">
        <f t="shared" si="0"/>
        <v>98.878999999999991</v>
      </c>
      <c r="I18" s="202">
        <v>0</v>
      </c>
      <c r="J18" s="186">
        <f t="shared" si="1"/>
        <v>0</v>
      </c>
      <c r="K18" s="187">
        <f t="shared" si="2"/>
        <v>0</v>
      </c>
    </row>
    <row r="19" spans="1:11" ht="16.5" customHeight="1" x14ac:dyDescent="0.25">
      <c r="A19" s="205"/>
      <c r="B19" s="202" t="s">
        <v>122</v>
      </c>
      <c r="C19" s="182">
        <v>8</v>
      </c>
      <c r="D19" s="182">
        <v>32</v>
      </c>
      <c r="E19" s="182">
        <v>50</v>
      </c>
      <c r="F19" s="182" t="s">
        <v>117</v>
      </c>
      <c r="G19" s="203">
        <f>(170.71+ 4.54) / 1.21* 1.1</f>
        <v>159.31818181818184</v>
      </c>
      <c r="H19" s="204">
        <f t="shared" si="0"/>
        <v>192.77500000000003</v>
      </c>
      <c r="I19" s="202">
        <v>0.08</v>
      </c>
      <c r="J19" s="186">
        <f t="shared" si="1"/>
        <v>15.422000000000002</v>
      </c>
      <c r="K19" s="187">
        <f t="shared" si="2"/>
        <v>185.06400000000002</v>
      </c>
    </row>
    <row r="20" spans="1:11" ht="16.5" customHeight="1" x14ac:dyDescent="0.25">
      <c r="A20" s="201"/>
      <c r="B20" s="202" t="s">
        <v>123</v>
      </c>
      <c r="C20" s="182" t="s">
        <v>124</v>
      </c>
      <c r="D20" s="182">
        <v>64</v>
      </c>
      <c r="E20" s="182" t="s">
        <v>125</v>
      </c>
      <c r="F20" s="182" t="s">
        <v>126</v>
      </c>
      <c r="G20" s="203">
        <f>98.38/1.21* 1.1</f>
        <v>89.436363636363637</v>
      </c>
      <c r="H20" s="204">
        <f t="shared" si="0"/>
        <v>108.218</v>
      </c>
      <c r="I20" s="202">
        <v>2</v>
      </c>
      <c r="J20" s="186">
        <f t="shared" si="1"/>
        <v>216.43600000000001</v>
      </c>
      <c r="K20" s="187">
        <f t="shared" si="2"/>
        <v>2597.232</v>
      </c>
    </row>
    <row r="21" spans="1:11" ht="16.5" customHeight="1" x14ac:dyDescent="0.25">
      <c r="A21" s="201"/>
      <c r="B21" s="189"/>
      <c r="C21" s="189"/>
      <c r="D21" s="189"/>
      <c r="E21" s="189"/>
      <c r="F21" s="189"/>
      <c r="I21" s="194">
        <f>SUM(I14:I20)</f>
        <v>55.08</v>
      </c>
      <c r="J21" s="194">
        <f>SUM(J14:J20)</f>
        <v>1453.9470000000001</v>
      </c>
      <c r="K21" s="194">
        <f>SUM(K14:K20)</f>
        <v>17447.364000000001</v>
      </c>
    </row>
    <row r="22" spans="1:11" ht="16.5" customHeight="1" x14ac:dyDescent="0.25">
      <c r="I22" s="206"/>
    </row>
    <row r="23" spans="1:11" ht="16.5" customHeight="1" x14ac:dyDescent="0.25">
      <c r="B23" s="207" t="s">
        <v>127</v>
      </c>
      <c r="C23" s="208"/>
      <c r="D23" s="208"/>
      <c r="E23" s="208"/>
      <c r="F23" s="209"/>
      <c r="G23" s="210" t="s">
        <v>128</v>
      </c>
      <c r="H23" s="211"/>
      <c r="I23" s="211"/>
      <c r="J23" s="211"/>
      <c r="K23" s="212"/>
    </row>
    <row r="24" spans="1:11" ht="16.5" customHeight="1" x14ac:dyDescent="0.25">
      <c r="B24" s="213" t="s">
        <v>129</v>
      </c>
      <c r="C24" s="214"/>
      <c r="D24" s="214"/>
      <c r="E24" s="214"/>
      <c r="F24" s="215"/>
      <c r="G24" s="216" t="s">
        <v>130</v>
      </c>
      <c r="H24" s="217"/>
      <c r="I24" s="217"/>
      <c r="J24" s="217"/>
      <c r="K24" s="218"/>
    </row>
    <row r="25" spans="1:11" ht="16.5" customHeight="1" x14ac:dyDescent="0.25">
      <c r="B25" s="219" t="s">
        <v>131</v>
      </c>
      <c r="C25" s="214"/>
      <c r="D25" s="214"/>
      <c r="E25" s="214"/>
      <c r="F25" s="215"/>
      <c r="G25" s="216" t="s">
        <v>132</v>
      </c>
      <c r="H25" s="217"/>
      <c r="I25" s="217"/>
      <c r="J25" s="217"/>
      <c r="K25" s="218"/>
    </row>
    <row r="26" spans="1:11" ht="16.5" customHeight="1" x14ac:dyDescent="0.25">
      <c r="B26" s="219" t="s">
        <v>133</v>
      </c>
      <c r="C26" s="214"/>
      <c r="D26" s="214"/>
      <c r="E26" s="214"/>
      <c r="F26" s="215"/>
      <c r="G26" s="216" t="s">
        <v>134</v>
      </c>
      <c r="H26" s="217"/>
      <c r="I26" s="217"/>
      <c r="J26" s="217"/>
      <c r="K26" s="218"/>
    </row>
    <row r="27" spans="1:11" ht="16.5" customHeight="1" x14ac:dyDescent="0.25">
      <c r="B27" s="219" t="s">
        <v>135</v>
      </c>
      <c r="C27" s="214"/>
      <c r="D27" s="214"/>
      <c r="E27" s="214"/>
      <c r="F27" s="215"/>
      <c r="G27" s="216" t="s">
        <v>136</v>
      </c>
      <c r="H27" s="217"/>
      <c r="I27" s="217"/>
      <c r="J27" s="217"/>
      <c r="K27" s="218"/>
    </row>
    <row r="28" spans="1:11" ht="16.5" customHeight="1" x14ac:dyDescent="0.25">
      <c r="B28" s="213"/>
      <c r="C28" s="220"/>
      <c r="D28" s="220"/>
      <c r="E28" s="220"/>
      <c r="F28" s="221"/>
      <c r="G28" s="222"/>
      <c r="H28" s="223"/>
      <c r="I28" s="223"/>
      <c r="J28" s="223"/>
      <c r="K28" s="224"/>
    </row>
    <row r="30" spans="1:11" ht="39" customHeight="1" x14ac:dyDescent="0.25">
      <c r="B30" s="225" t="s">
        <v>86</v>
      </c>
      <c r="C30" s="226"/>
      <c r="D30" s="227"/>
      <c r="E30" s="176" t="s">
        <v>137</v>
      </c>
      <c r="F30" s="176" t="s">
        <v>138</v>
      </c>
      <c r="G30" s="176" t="s">
        <v>139</v>
      </c>
      <c r="H30" s="176" t="s">
        <v>140</v>
      </c>
      <c r="I30" s="176" t="s">
        <v>93</v>
      </c>
      <c r="J30" s="179" t="s">
        <v>94</v>
      </c>
      <c r="K30" s="176" t="s">
        <v>95</v>
      </c>
    </row>
    <row r="31" spans="1:11" ht="15.75" customHeight="1" x14ac:dyDescent="0.3">
      <c r="B31" s="228" t="s">
        <v>141</v>
      </c>
      <c r="C31" s="229"/>
      <c r="D31" s="230"/>
      <c r="E31" s="182" t="s">
        <v>142</v>
      </c>
      <c r="F31" s="182" t="s">
        <v>117</v>
      </c>
      <c r="G31" s="231">
        <f>0.1/1.21* 1.1</f>
        <v>9.0909090909090925E-2</v>
      </c>
      <c r="H31" s="232">
        <f>G31*1.21</f>
        <v>0.11000000000000001</v>
      </c>
      <c r="I31" s="233">
        <v>8664</v>
      </c>
      <c r="J31" s="186">
        <f>I31*H31</f>
        <v>953.04000000000008</v>
      </c>
      <c r="K31" s="234">
        <f>J31*12</f>
        <v>11436.480000000001</v>
      </c>
    </row>
    <row r="32" spans="1:11" ht="15.75" customHeight="1" x14ac:dyDescent="0.3">
      <c r="B32" s="235" t="s">
        <v>143</v>
      </c>
      <c r="C32" s="236"/>
      <c r="D32" s="237"/>
      <c r="E32" s="182" t="s">
        <v>144</v>
      </c>
      <c r="F32" s="182" t="s">
        <v>117</v>
      </c>
      <c r="G32" s="238">
        <f>0.05687/1.21* 1.1</f>
        <v>5.1700000000000003E-2</v>
      </c>
      <c r="H32" s="232">
        <f>G32*1.21</f>
        <v>6.2557000000000001E-2</v>
      </c>
      <c r="I32" s="233">
        <v>1725</v>
      </c>
      <c r="J32" s="186">
        <f>I32*H32</f>
        <v>107.910825</v>
      </c>
      <c r="K32" s="234">
        <f>J32*12</f>
        <v>1294.9299000000001</v>
      </c>
    </row>
    <row r="33" spans="2:11" ht="15.75" customHeight="1" x14ac:dyDescent="0.25">
      <c r="B33" s="235" t="s">
        <v>145</v>
      </c>
      <c r="C33" s="236"/>
      <c r="D33" s="237"/>
      <c r="E33" s="182" t="s">
        <v>146</v>
      </c>
      <c r="F33" s="182" t="s">
        <v>117</v>
      </c>
      <c r="G33" s="238">
        <f>0.375/1.21* 1.1</f>
        <v>0.34090909090909094</v>
      </c>
      <c r="H33" s="232">
        <f>G33*1.21</f>
        <v>0.41250000000000003</v>
      </c>
      <c r="I33" s="202">
        <v>0</v>
      </c>
      <c r="J33" s="186">
        <f>I33*H33</f>
        <v>0</v>
      </c>
      <c r="K33" s="234">
        <f>J33*12</f>
        <v>0</v>
      </c>
    </row>
    <row r="34" spans="2:11" ht="15.75" customHeight="1" x14ac:dyDescent="0.25">
      <c r="B34" s="235" t="s">
        <v>147</v>
      </c>
      <c r="C34" s="236"/>
      <c r="D34" s="237"/>
      <c r="E34" s="182" t="s">
        <v>148</v>
      </c>
      <c r="F34" s="182" t="s">
        <v>149</v>
      </c>
      <c r="G34" s="238">
        <f>0.05687/1.21* 1.1</f>
        <v>5.1700000000000003E-2</v>
      </c>
      <c r="H34" s="232">
        <f>G34*1.21</f>
        <v>6.2557000000000001E-2</v>
      </c>
      <c r="I34" s="202">
        <v>304</v>
      </c>
      <c r="J34" s="186">
        <f>I34*H34</f>
        <v>19.017327999999999</v>
      </c>
      <c r="K34" s="234">
        <f>J34*12</f>
        <v>228.20793599999999</v>
      </c>
    </row>
    <row r="35" spans="2:11" x14ac:dyDescent="0.25">
      <c r="B35" s="239"/>
      <c r="C35" s="239"/>
      <c r="D35" s="239"/>
      <c r="E35" s="239"/>
      <c r="F35" s="239"/>
      <c r="J35" s="194">
        <f>SUM(J31:J34)</f>
        <v>1079.968153</v>
      </c>
      <c r="K35" s="194">
        <f>SUM(K31:K34)</f>
        <v>12959.617836000003</v>
      </c>
    </row>
    <row r="36" spans="2:11" x14ac:dyDescent="0.25">
      <c r="B36" s="239"/>
      <c r="C36" s="239"/>
      <c r="D36" s="239"/>
      <c r="E36" s="239"/>
      <c r="F36" s="239"/>
      <c r="J36" s="240"/>
      <c r="K36" s="240"/>
    </row>
    <row r="37" spans="2:11" ht="15.75" customHeight="1" x14ac:dyDescent="0.25">
      <c r="B37" s="207" t="s">
        <v>127</v>
      </c>
      <c r="C37" s="208"/>
      <c r="D37" s="208"/>
      <c r="E37" s="208"/>
      <c r="F37" s="209"/>
      <c r="G37" s="210" t="s">
        <v>128</v>
      </c>
      <c r="H37" s="241"/>
      <c r="I37" s="241"/>
      <c r="J37" s="241"/>
      <c r="K37" s="242"/>
    </row>
    <row r="38" spans="2:11" ht="15.75" customHeight="1" x14ac:dyDescent="0.25">
      <c r="B38" s="213" t="s">
        <v>129</v>
      </c>
      <c r="C38" s="219"/>
      <c r="D38" s="214"/>
      <c r="E38" s="214"/>
      <c r="F38" s="215"/>
      <c r="G38" s="216" t="s">
        <v>130</v>
      </c>
      <c r="H38" s="243"/>
      <c r="I38" s="243"/>
      <c r="J38" s="243"/>
      <c r="K38" s="244"/>
    </row>
    <row r="39" spans="2:11" ht="15.75" customHeight="1" x14ac:dyDescent="0.25">
      <c r="B39" s="219" t="s">
        <v>135</v>
      </c>
      <c r="C39" s="220"/>
      <c r="D39" s="220"/>
      <c r="E39" s="220"/>
      <c r="F39" s="221"/>
      <c r="G39" s="222" t="s">
        <v>134</v>
      </c>
      <c r="H39" s="245"/>
      <c r="I39" s="245"/>
      <c r="J39" s="245"/>
      <c r="K39" s="246"/>
    </row>
    <row r="41" spans="2:11" ht="15.75" customHeight="1" x14ac:dyDescent="0.25">
      <c r="B41" s="197" t="s">
        <v>150</v>
      </c>
      <c r="C41" s="197"/>
      <c r="D41" s="197"/>
      <c r="E41" s="197"/>
      <c r="F41" s="197"/>
      <c r="G41" s="197"/>
      <c r="H41" s="197"/>
      <c r="I41" s="198"/>
      <c r="J41" s="198"/>
      <c r="K41" s="198"/>
    </row>
    <row r="43" spans="2:11" ht="26.25" customHeight="1" x14ac:dyDescent="0.25">
      <c r="B43" s="225" t="s">
        <v>10</v>
      </c>
      <c r="C43" s="226"/>
      <c r="D43" s="227"/>
      <c r="E43" s="176" t="s">
        <v>151</v>
      </c>
      <c r="F43" s="176"/>
      <c r="G43" s="176" t="s">
        <v>152</v>
      </c>
      <c r="H43" s="176" t="s">
        <v>153</v>
      </c>
      <c r="I43" s="176" t="s">
        <v>93</v>
      </c>
      <c r="J43" s="179" t="s">
        <v>94</v>
      </c>
      <c r="K43" s="176" t="s">
        <v>95</v>
      </c>
    </row>
    <row r="44" spans="2:11" ht="15.75" customHeight="1" x14ac:dyDescent="0.3">
      <c r="B44" s="228" t="s">
        <v>154</v>
      </c>
      <c r="C44" s="229"/>
      <c r="D44" s="230"/>
      <c r="E44" s="182" t="s">
        <v>117</v>
      </c>
      <c r="F44" s="182"/>
      <c r="G44" s="184">
        <f>H44/1.21</f>
        <v>3074.3305785123966</v>
      </c>
      <c r="H44" s="247">
        <v>3719.94</v>
      </c>
      <c r="I44" s="182">
        <v>1</v>
      </c>
      <c r="J44" s="186">
        <f>I44*H44</f>
        <v>3719.94</v>
      </c>
      <c r="K44" s="248">
        <f>J44*12</f>
        <v>44639.28</v>
      </c>
    </row>
    <row r="45" spans="2:11" ht="15.75" customHeight="1" x14ac:dyDescent="0.3">
      <c r="B45" s="228" t="s">
        <v>155</v>
      </c>
      <c r="C45" s="229"/>
      <c r="D45" s="230"/>
      <c r="E45" s="182" t="s">
        <v>117</v>
      </c>
      <c r="F45" s="182"/>
      <c r="G45" s="184">
        <f>H45/1.21</f>
        <v>26.148760330578515</v>
      </c>
      <c r="H45" s="247">
        <v>31.64</v>
      </c>
      <c r="I45" s="182">
        <v>1</v>
      </c>
      <c r="J45" s="186">
        <f>I45*H45</f>
        <v>31.64</v>
      </c>
      <c r="K45" s="248">
        <f>J45*12</f>
        <v>379.68</v>
      </c>
    </row>
    <row r="46" spans="2:11" ht="15.75" customHeight="1" x14ac:dyDescent="0.3">
      <c r="B46" s="249" t="s">
        <v>156</v>
      </c>
      <c r="C46" s="250"/>
      <c r="D46" s="251"/>
      <c r="E46" s="182" t="s">
        <v>117</v>
      </c>
      <c r="F46" s="182"/>
      <c r="G46" s="184">
        <f>H46/1.21</f>
        <v>322.3305785123967</v>
      </c>
      <c r="H46" s="247">
        <v>390.02</v>
      </c>
      <c r="I46" s="182">
        <v>1</v>
      </c>
      <c r="J46" s="186">
        <f>I46*H46</f>
        <v>390.02</v>
      </c>
      <c r="K46" s="248">
        <f>J46*12</f>
        <v>4680.24</v>
      </c>
    </row>
    <row r="47" spans="2:11" ht="15.75" customHeight="1" x14ac:dyDescent="0.3">
      <c r="B47" s="228" t="s">
        <v>157</v>
      </c>
      <c r="C47" s="229"/>
      <c r="D47" s="230"/>
      <c r="E47" s="182" t="s">
        <v>158</v>
      </c>
      <c r="F47" s="182"/>
      <c r="G47" s="184">
        <f>H47/1.21</f>
        <v>15.611570247933885</v>
      </c>
      <c r="H47" s="247">
        <v>18.89</v>
      </c>
      <c r="I47" s="182">
        <v>1</v>
      </c>
      <c r="J47" s="186">
        <f>I47*H47</f>
        <v>18.89</v>
      </c>
      <c r="K47" s="248">
        <f>J47*12</f>
        <v>226.68</v>
      </c>
    </row>
    <row r="48" spans="2:11" ht="15.75" customHeight="1" x14ac:dyDescent="0.3">
      <c r="B48" s="228" t="s">
        <v>159</v>
      </c>
      <c r="C48" s="229"/>
      <c r="D48" s="230"/>
      <c r="E48" s="182" t="str">
        <f>B48</f>
        <v>Cookiebot</v>
      </c>
      <c r="F48" s="182"/>
      <c r="G48" s="184">
        <f>H48/1.21</f>
        <v>379.65013768595043</v>
      </c>
      <c r="H48" s="247">
        <f>351.38+107.9966666</f>
        <v>459.37666660000002</v>
      </c>
      <c r="I48" s="182">
        <v>1</v>
      </c>
      <c r="J48" s="186">
        <f>I48*H48</f>
        <v>459.37666660000002</v>
      </c>
      <c r="K48" s="248">
        <f>J48*12</f>
        <v>5512.5199991999998</v>
      </c>
    </row>
    <row r="49" spans="2:11" ht="15.75" customHeight="1" x14ac:dyDescent="0.25">
      <c r="J49" s="194">
        <f>SUM(J44:J48)</f>
        <v>4619.8666666000008</v>
      </c>
      <c r="K49" s="194">
        <f>SUM(K44:K48)</f>
        <v>55438.399999199995</v>
      </c>
    </row>
    <row r="50" spans="2:11" ht="15.75" customHeight="1" x14ac:dyDescent="0.25">
      <c r="J50" s="240"/>
      <c r="K50" s="240"/>
    </row>
    <row r="51" spans="2:11" ht="15.75" customHeight="1" x14ac:dyDescent="0.25">
      <c r="B51" s="197" t="s">
        <v>160</v>
      </c>
      <c r="C51" s="197"/>
      <c r="D51" s="197"/>
      <c r="E51" s="197"/>
      <c r="F51" s="197"/>
      <c r="G51" s="197"/>
      <c r="H51" s="197"/>
      <c r="I51" s="198"/>
      <c r="J51" s="198"/>
      <c r="K51" s="198"/>
    </row>
    <row r="52" spans="2:11" ht="15.75" customHeight="1" x14ac:dyDescent="0.25">
      <c r="J52" s="194">
        <f>ROUND(J8+J21+J35+J49,2)</f>
        <v>12517.71</v>
      </c>
      <c r="K52" s="252">
        <f>ROUND(K8+K21+K35+K49,2)</f>
        <v>150212.54</v>
      </c>
    </row>
    <row r="54" spans="2:11" x14ac:dyDescent="0.25">
      <c r="I54" s="172" t="s">
        <v>161</v>
      </c>
    </row>
    <row r="58" spans="2:11" x14ac:dyDescent="0.25">
      <c r="J58" s="253"/>
      <c r="K58" s="254"/>
    </row>
    <row r="59" spans="2:11" x14ac:dyDescent="0.25">
      <c r="K59" s="255"/>
    </row>
  </sheetData>
  <hyperlinks>
    <hyperlink ref="B24" r:id="rId1"/>
    <hyperlink ref="B25" r:id="rId2"/>
    <hyperlink ref="B26" r:id="rId3"/>
    <hyperlink ref="B27" r:id="rId4"/>
    <hyperlink ref="B38" r:id="rId5"/>
    <hyperlink ref="B39" r:id="rId6"/>
  </hyperlinks>
  <pageMargins left="0.25" right="0.25" top="0.75" bottom="0.75" header="0.511811023622047" footer="0.511811023622047"/>
  <pageSetup paperSize="9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1"/>
  <sheetViews>
    <sheetView showGridLines="0" zoomScale="90" zoomScaleNormal="90" workbookViewId="0"/>
  </sheetViews>
  <sheetFormatPr defaultColWidth="10.88671875" defaultRowHeight="13.8" x14ac:dyDescent="0.3"/>
  <cols>
    <col min="1" max="1" width="29.109375" style="256" customWidth="1"/>
    <col min="2" max="2" width="16.44140625" style="256" customWidth="1"/>
    <col min="3" max="3" width="14" style="256" customWidth="1"/>
    <col min="4" max="4" width="13.33203125" style="256" customWidth="1"/>
    <col min="5" max="5" width="13.88671875" style="256" customWidth="1"/>
    <col min="6" max="6" width="13.44140625" style="256" customWidth="1"/>
    <col min="7" max="7" width="14.33203125" style="256" customWidth="1"/>
    <col min="8" max="8" width="12.5546875" style="256" customWidth="1"/>
    <col min="9" max="9" width="13.6640625" style="256" customWidth="1"/>
    <col min="10" max="10" width="12.44140625" style="256" customWidth="1"/>
    <col min="11" max="11" width="14" style="256" customWidth="1"/>
    <col min="12" max="12" width="13.109375" style="256" customWidth="1"/>
    <col min="13" max="14" width="13.44140625" style="256" customWidth="1"/>
    <col min="15" max="15" width="12.44140625" style="256" customWidth="1"/>
    <col min="16" max="16" width="18.109375" style="256" customWidth="1"/>
    <col min="17" max="16384" width="10.88671875" style="256"/>
  </cols>
  <sheetData>
    <row r="2" spans="1:16" x14ac:dyDescent="0.3">
      <c r="A2" s="257" t="s">
        <v>162</v>
      </c>
    </row>
    <row r="4" spans="1:16" x14ac:dyDescent="0.3">
      <c r="A4" s="258"/>
      <c r="B4" s="373">
        <v>2024</v>
      </c>
      <c r="C4" s="373"/>
      <c r="D4" s="373"/>
      <c r="E4" s="373">
        <v>2025</v>
      </c>
      <c r="F4" s="373"/>
      <c r="G4" s="373"/>
      <c r="H4" s="373">
        <v>2026</v>
      </c>
      <c r="I4" s="373"/>
      <c r="J4" s="373"/>
      <c r="K4" s="373">
        <v>2027</v>
      </c>
      <c r="L4" s="373"/>
      <c r="M4" s="373"/>
    </row>
    <row r="5" spans="1:16" x14ac:dyDescent="0.3">
      <c r="A5" s="260" t="s">
        <v>163</v>
      </c>
      <c r="B5" s="261" t="s">
        <v>164</v>
      </c>
      <c r="C5" s="259" t="s">
        <v>165</v>
      </c>
      <c r="D5" s="259" t="s">
        <v>166</v>
      </c>
      <c r="E5" s="259" t="s">
        <v>164</v>
      </c>
      <c r="F5" s="259" t="s">
        <v>165</v>
      </c>
      <c r="G5" s="259" t="s">
        <v>166</v>
      </c>
      <c r="H5" s="259" t="s">
        <v>164</v>
      </c>
      <c r="I5" s="259" t="s">
        <v>165</v>
      </c>
      <c r="J5" s="259" t="s">
        <v>166</v>
      </c>
      <c r="K5" s="259" t="s">
        <v>164</v>
      </c>
      <c r="L5" s="259" t="s">
        <v>165</v>
      </c>
      <c r="M5" s="259" t="s">
        <v>166</v>
      </c>
      <c r="N5" s="259" t="s">
        <v>167</v>
      </c>
      <c r="O5" s="259" t="s">
        <v>168</v>
      </c>
      <c r="P5" s="259" t="s">
        <v>169</v>
      </c>
    </row>
    <row r="6" spans="1:16" x14ac:dyDescent="0.3">
      <c r="A6" s="262" t="s">
        <v>22</v>
      </c>
      <c r="B6" s="263">
        <f>ROUND('Càlcul pressupost '!F6/1.21,2)</f>
        <v>41565.31</v>
      </c>
      <c r="C6" s="263">
        <f>ROUND(B6*0.21,2)</f>
        <v>8728.7199999999993</v>
      </c>
      <c r="D6" s="263">
        <f>'Càlcul pressupost '!F6</f>
        <v>50294.02</v>
      </c>
      <c r="E6" s="263">
        <f>ROUND('Càlcul pressupost '!G6/1.21,2)</f>
        <v>94825.79</v>
      </c>
      <c r="F6" s="263">
        <f>ROUND(E6*0.21,2)</f>
        <v>19913.419999999998</v>
      </c>
      <c r="G6" s="263">
        <f>'Càlcul pressupost '!G6</f>
        <v>114739.2</v>
      </c>
      <c r="H6" s="263">
        <f>ROUND('Càlcul pressupost '!H6/1.21,2)</f>
        <v>94825.79</v>
      </c>
      <c r="I6" s="263">
        <f>ROUND(H6*0.21,2)</f>
        <v>19913.419999999998</v>
      </c>
      <c r="J6" s="263">
        <f>'Càlcul pressupost '!H6</f>
        <v>114739.2</v>
      </c>
      <c r="K6" s="263">
        <f>ROUND('Càlcul pressupost '!I6/1.21,2)</f>
        <v>45358.33</v>
      </c>
      <c r="L6" s="263">
        <f>ROUND(K6*0.21,2)</f>
        <v>9525.25</v>
      </c>
      <c r="M6" s="263">
        <f>'Càlcul pressupost '!I6</f>
        <v>54883.58</v>
      </c>
      <c r="N6" s="263">
        <f t="shared" ref="N6:P10" si="0">+B6+E6+H6+K6</f>
        <v>276575.21999999997</v>
      </c>
      <c r="O6" s="263">
        <f t="shared" si="0"/>
        <v>58080.81</v>
      </c>
      <c r="P6" s="263">
        <f t="shared" si="0"/>
        <v>334656</v>
      </c>
    </row>
    <row r="7" spans="1:16" x14ac:dyDescent="0.3">
      <c r="A7" s="262" t="s">
        <v>24</v>
      </c>
      <c r="B7" s="263">
        <f>ROUND('Càlcul pressupost '!F7/1.21,2)</f>
        <v>24847.64</v>
      </c>
      <c r="C7" s="263">
        <f t="shared" ref="C7:C10" si="1">ROUND(B7*0.21,2)</f>
        <v>5218</v>
      </c>
      <c r="D7" s="263">
        <f>'Càlcul pressupost '!F7</f>
        <v>30065.65</v>
      </c>
      <c r="E7" s="263">
        <f>ROUND('Càlcul pressupost '!G7/1.21,2)</f>
        <v>31905.07</v>
      </c>
      <c r="F7" s="263">
        <f>ROUND(E7*0.21,2)</f>
        <v>6700.06</v>
      </c>
      <c r="G7" s="263">
        <f>'Càlcul pressupost '!G7</f>
        <v>38605.14</v>
      </c>
      <c r="H7" s="263">
        <f>ROUND('Càlcul pressupost '!H7/1.21,2)</f>
        <v>15470.23</v>
      </c>
      <c r="I7" s="263">
        <f>ROUND(H7*0.21,2)</f>
        <v>3248.75</v>
      </c>
      <c r="J7" s="263">
        <f>'Càlcul pressupost '!H7</f>
        <v>18718.98</v>
      </c>
      <c r="K7" s="263">
        <f>ROUND('Càlcul pressupost '!I7/1.21,2)</f>
        <v>4126.51</v>
      </c>
      <c r="L7" s="263">
        <f>ROUND(K7*0.21,2)</f>
        <v>866.57</v>
      </c>
      <c r="M7" s="263">
        <f>'Càlcul pressupost '!I7</f>
        <v>4993.08</v>
      </c>
      <c r="N7" s="263">
        <f t="shared" si="0"/>
        <v>76349.45</v>
      </c>
      <c r="O7" s="263">
        <f t="shared" si="0"/>
        <v>16033.380000000001</v>
      </c>
      <c r="P7" s="263">
        <f t="shared" si="0"/>
        <v>92382.85</v>
      </c>
    </row>
    <row r="8" spans="1:16" x14ac:dyDescent="0.3">
      <c r="A8" s="262" t="s">
        <v>26</v>
      </c>
      <c r="B8" s="263">
        <f>ROUND('Càlcul pressupost '!F8/1.21,2)</f>
        <v>61983.47</v>
      </c>
      <c r="C8" s="263">
        <f t="shared" si="1"/>
        <v>13016.53</v>
      </c>
      <c r="D8" s="263">
        <f>'Càlcul pressupost '!F8</f>
        <v>75000</v>
      </c>
      <c r="E8" s="263">
        <f>ROUND('Càlcul pressupost '!G8/1.21,2)</f>
        <v>123966.94</v>
      </c>
      <c r="F8" s="263">
        <f>ROUND(E8*0.21,2)</f>
        <v>26033.06</v>
      </c>
      <c r="G8" s="263">
        <f>'Càlcul pressupost '!G8</f>
        <v>150000</v>
      </c>
      <c r="H8" s="263">
        <f>ROUND('Càlcul pressupost '!H8/1.21,2)</f>
        <v>123966.94</v>
      </c>
      <c r="I8" s="263">
        <f>ROUND(H8*0.21,2)</f>
        <v>26033.06</v>
      </c>
      <c r="J8" s="263">
        <f>'Càlcul pressupost '!H8</f>
        <v>150000</v>
      </c>
      <c r="K8" s="263">
        <f>ROUND('Càlcul pressupost '!I8/1.21,2)</f>
        <v>59297.52</v>
      </c>
      <c r="L8" s="263">
        <f>ROUND(K8*0.21,2)</f>
        <v>12452.48</v>
      </c>
      <c r="M8" s="263">
        <f>'Càlcul pressupost '!I8</f>
        <v>71750</v>
      </c>
      <c r="N8" s="263">
        <f t="shared" si="0"/>
        <v>369214.87</v>
      </c>
      <c r="O8" s="263">
        <f t="shared" si="0"/>
        <v>77535.13</v>
      </c>
      <c r="P8" s="263">
        <f t="shared" si="0"/>
        <v>446750</v>
      </c>
    </row>
    <row r="9" spans="1:16" x14ac:dyDescent="0.3">
      <c r="A9" s="262" t="s">
        <v>28</v>
      </c>
      <c r="B9" s="263">
        <f>ROUND('Càlcul pressupost '!F9/1.21,2)</f>
        <v>54415.83</v>
      </c>
      <c r="C9" s="263">
        <f t="shared" si="1"/>
        <v>11427.32</v>
      </c>
      <c r="D9" s="263">
        <f>'Càlcul pressupost '!F9</f>
        <v>65843.16</v>
      </c>
      <c r="E9" s="263">
        <f>ROUND('Càlcul pressupost '!G9/1.21,2)</f>
        <v>130349.73</v>
      </c>
      <c r="F9" s="263">
        <f>ROUND(E9*0.21,2)</f>
        <v>27373.439999999999</v>
      </c>
      <c r="G9" s="263">
        <f>'Càlcul pressupost '!G9</f>
        <v>157723.17000000001</v>
      </c>
      <c r="H9" s="263">
        <f>ROUND('Càlcul pressupost '!H9/1.21,2)</f>
        <v>136867.21</v>
      </c>
      <c r="I9" s="263">
        <f>ROUND(H9*0.21,2)</f>
        <v>28742.11</v>
      </c>
      <c r="J9" s="263">
        <f>'Càlcul pressupost '!H9</f>
        <v>165609.32999999999</v>
      </c>
      <c r="K9" s="263">
        <f>ROUND('Càlcul pressupost '!I9/1.21,2)</f>
        <v>68741.56</v>
      </c>
      <c r="L9" s="263">
        <f>ROUND(K9*0.21,2)</f>
        <v>14435.73</v>
      </c>
      <c r="M9" s="263">
        <f>'Càlcul pressupost '!I9</f>
        <v>83177.289999999994</v>
      </c>
      <c r="N9" s="263">
        <f t="shared" si="0"/>
        <v>390374.33</v>
      </c>
      <c r="O9" s="263">
        <f t="shared" si="0"/>
        <v>81978.599999999991</v>
      </c>
      <c r="P9" s="263">
        <f t="shared" si="0"/>
        <v>472352.95</v>
      </c>
    </row>
    <row r="10" spans="1:16" x14ac:dyDescent="0.3">
      <c r="A10" s="264" t="s">
        <v>30</v>
      </c>
      <c r="B10" s="263">
        <f>ROUND('Càlcul pressupost '!F10/1.21,2)</f>
        <v>92047.39</v>
      </c>
      <c r="C10" s="263">
        <f t="shared" si="1"/>
        <v>19329.95</v>
      </c>
      <c r="D10" s="263">
        <f>'Càlcul pressupost '!F10</f>
        <v>111377.34</v>
      </c>
      <c r="E10" s="263">
        <f>ROUND('Càlcul pressupost '!G10/1.21,2)</f>
        <v>209994.05</v>
      </c>
      <c r="F10" s="263">
        <f>ROUND(E10*0.21,2)</f>
        <v>44098.75</v>
      </c>
      <c r="G10" s="263">
        <f>'Càlcul pressupost '!G10</f>
        <v>254092.79999999999</v>
      </c>
      <c r="H10" s="263">
        <f>ROUND('Càlcul pressupost '!H10/1.21,2)</f>
        <v>209994.05</v>
      </c>
      <c r="I10" s="263">
        <f>ROUND(H10*0.21,2)</f>
        <v>44098.75</v>
      </c>
      <c r="J10" s="263">
        <f>'Càlcul pressupost '!H10</f>
        <v>254092.79999999999</v>
      </c>
      <c r="K10" s="263">
        <f>ROUND('Càlcul pressupost '!I10/1.21,2)</f>
        <v>100447.16</v>
      </c>
      <c r="L10" s="263">
        <f>ROUND(K10*0.21,2)</f>
        <v>21093.9</v>
      </c>
      <c r="M10" s="263">
        <f>'Càlcul pressupost '!I10</f>
        <v>121541.06</v>
      </c>
      <c r="N10" s="263">
        <f>+B10+E10+H10+K10</f>
        <v>612482.65</v>
      </c>
      <c r="O10" s="263">
        <f t="shared" si="0"/>
        <v>128621.35</v>
      </c>
      <c r="P10" s="263">
        <f t="shared" si="0"/>
        <v>741104</v>
      </c>
    </row>
    <row r="11" spans="1:16" x14ac:dyDescent="0.3">
      <c r="B11" s="265">
        <f>ROUND(SUM(B6:B10),2)+0.01</f>
        <v>274859.65000000002</v>
      </c>
      <c r="C11" s="265">
        <f t="shared" ref="C11:P11" si="2">ROUND(SUM(C6:C10),2)</f>
        <v>57720.52</v>
      </c>
      <c r="D11" s="265">
        <f t="shared" si="2"/>
        <v>332580.17</v>
      </c>
      <c r="E11" s="265">
        <f t="shared" si="2"/>
        <v>591041.57999999996</v>
      </c>
      <c r="F11" s="265">
        <f t="shared" si="2"/>
        <v>124118.73</v>
      </c>
      <c r="G11" s="265">
        <f t="shared" si="2"/>
        <v>715160.31</v>
      </c>
      <c r="H11" s="265">
        <f t="shared" si="2"/>
        <v>581124.22</v>
      </c>
      <c r="I11" s="265">
        <f t="shared" si="2"/>
        <v>122036.09</v>
      </c>
      <c r="J11" s="265">
        <f t="shared" si="2"/>
        <v>703160.31</v>
      </c>
      <c r="K11" s="265">
        <f t="shared" si="2"/>
        <v>277971.08</v>
      </c>
      <c r="L11" s="265">
        <f t="shared" si="2"/>
        <v>58373.93</v>
      </c>
      <c r="M11" s="265">
        <f t="shared" si="2"/>
        <v>336345.01</v>
      </c>
      <c r="N11" s="337">
        <f>ROUND(SUM(N6:N10),2)+0.01</f>
        <v>1724996.53</v>
      </c>
      <c r="O11" s="337">
        <f t="shared" si="2"/>
        <v>362249.27</v>
      </c>
      <c r="P11" s="337">
        <f t="shared" si="2"/>
        <v>2087245.8</v>
      </c>
    </row>
    <row r="12" spans="1:16" x14ac:dyDescent="0.3">
      <c r="B12" s="367" t="s">
        <v>247</v>
      </c>
      <c r="N12" s="338"/>
      <c r="P12" s="266"/>
    </row>
    <row r="13" spans="1:16" x14ac:dyDescent="0.3">
      <c r="A13" s="267" t="s">
        <v>170</v>
      </c>
    </row>
    <row r="14" spans="1:16" x14ac:dyDescent="0.3">
      <c r="A14" s="267"/>
      <c r="N14" s="256" t="s">
        <v>171</v>
      </c>
      <c r="P14" s="256" t="s">
        <v>171</v>
      </c>
    </row>
    <row r="15" spans="1:16" ht="18" customHeight="1" x14ac:dyDescent="0.3">
      <c r="A15" s="268" t="s">
        <v>54</v>
      </c>
    </row>
    <row r="16" spans="1:16" ht="21" customHeight="1" x14ac:dyDescent="0.3">
      <c r="A16" s="268" t="s">
        <v>172</v>
      </c>
      <c r="B16" s="268" t="s">
        <v>173</v>
      </c>
      <c r="C16" s="268" t="s">
        <v>174</v>
      </c>
      <c r="D16" s="268" t="s">
        <v>166</v>
      </c>
    </row>
    <row r="17" spans="1:14" ht="13.5" customHeight="1" x14ac:dyDescent="0.3">
      <c r="A17" s="269">
        <v>2024</v>
      </c>
      <c r="B17" s="270">
        <f>+B11</f>
        <v>274859.65000000002</v>
      </c>
      <c r="C17" s="270">
        <f>+C11</f>
        <v>57720.52</v>
      </c>
      <c r="D17" s="270">
        <f>D11</f>
        <v>332580.17</v>
      </c>
      <c r="E17" s="374" t="s">
        <v>175</v>
      </c>
      <c r="F17" s="374"/>
      <c r="G17" s="374"/>
      <c r="H17" s="374"/>
      <c r="I17" s="374"/>
      <c r="J17" s="374"/>
      <c r="K17" s="374"/>
      <c r="L17" s="374"/>
      <c r="M17" s="374"/>
      <c r="N17" s="374"/>
    </row>
    <row r="18" spans="1:14" x14ac:dyDescent="0.3">
      <c r="A18" s="269">
        <v>2025</v>
      </c>
      <c r="B18" s="270">
        <f>+E11</f>
        <v>591041.57999999996</v>
      </c>
      <c r="C18" s="270">
        <f>+F11</f>
        <v>124118.73</v>
      </c>
      <c r="D18" s="270">
        <f>+G11</f>
        <v>715160.31</v>
      </c>
      <c r="E18" s="374"/>
      <c r="F18" s="374"/>
      <c r="G18" s="374"/>
      <c r="H18" s="374"/>
      <c r="I18" s="374"/>
      <c r="J18" s="374"/>
      <c r="K18" s="374"/>
      <c r="L18" s="374"/>
      <c r="M18" s="374"/>
      <c r="N18" s="374"/>
    </row>
    <row r="19" spans="1:14" x14ac:dyDescent="0.3">
      <c r="A19" s="269">
        <v>2026</v>
      </c>
      <c r="B19" s="270">
        <f>+H11</f>
        <v>581124.22</v>
      </c>
      <c r="C19" s="270">
        <f>+I11</f>
        <v>122036.09</v>
      </c>
      <c r="D19" s="270">
        <f>+J11</f>
        <v>703160.31</v>
      </c>
      <c r="E19" s="374"/>
      <c r="F19" s="374"/>
      <c r="G19" s="374"/>
      <c r="H19" s="374"/>
      <c r="I19" s="374"/>
      <c r="J19" s="374"/>
      <c r="K19" s="374"/>
      <c r="L19" s="374"/>
      <c r="M19" s="374"/>
      <c r="N19" s="374"/>
    </row>
    <row r="20" spans="1:14" x14ac:dyDescent="0.3">
      <c r="A20" s="269">
        <v>2027</v>
      </c>
      <c r="B20" s="270">
        <f>+K11</f>
        <v>277971.08</v>
      </c>
      <c r="C20" s="270">
        <f>+L11</f>
        <v>58373.93</v>
      </c>
      <c r="D20" s="270">
        <f>+M11</f>
        <v>336345.01</v>
      </c>
      <c r="E20" s="374"/>
      <c r="F20" s="374"/>
      <c r="G20" s="374"/>
      <c r="H20" s="374"/>
      <c r="I20" s="374"/>
      <c r="J20" s="374"/>
      <c r="K20" s="374"/>
      <c r="L20" s="374"/>
      <c r="M20" s="374"/>
      <c r="N20" s="374"/>
    </row>
    <row r="21" spans="1:14" x14ac:dyDescent="0.3">
      <c r="A21" s="271" t="s">
        <v>58</v>
      </c>
      <c r="B21" s="272">
        <f>N11</f>
        <v>1724996.53</v>
      </c>
      <c r="C21" s="272">
        <f>O11</f>
        <v>362249.27</v>
      </c>
      <c r="D21" s="272">
        <f>P11</f>
        <v>2087245.8</v>
      </c>
      <c r="E21" s="374"/>
      <c r="F21" s="374"/>
      <c r="G21" s="374"/>
      <c r="H21" s="374"/>
      <c r="I21" s="374"/>
      <c r="J21" s="374"/>
      <c r="K21" s="374"/>
      <c r="L21" s="374"/>
      <c r="M21" s="374"/>
      <c r="N21" s="374"/>
    </row>
    <row r="22" spans="1:14" ht="21.75" customHeight="1" x14ac:dyDescent="0.3">
      <c r="C22" s="273"/>
      <c r="D22" s="274">
        <f>+B21*1.21-D21</f>
        <v>1.299999887123704E-3</v>
      </c>
      <c r="E22" s="374"/>
      <c r="F22" s="374"/>
      <c r="G22" s="374"/>
      <c r="H22" s="374"/>
      <c r="I22" s="374"/>
      <c r="J22" s="374"/>
      <c r="K22" s="374"/>
      <c r="L22" s="374"/>
      <c r="M22" s="374"/>
      <c r="N22" s="374"/>
    </row>
    <row r="23" spans="1:14" ht="21.75" customHeight="1" x14ac:dyDescent="0.3">
      <c r="D23" s="275"/>
      <c r="E23" s="276"/>
    </row>
    <row r="24" spans="1:14" ht="21.75" customHeight="1" x14ac:dyDescent="0.3">
      <c r="A24" s="267" t="s">
        <v>170</v>
      </c>
      <c r="D24" s="275"/>
      <c r="E24" s="369" t="s">
        <v>246</v>
      </c>
      <c r="H24" s="375" t="s">
        <v>176</v>
      </c>
      <c r="I24" s="375"/>
      <c r="J24" s="375"/>
    </row>
    <row r="25" spans="1:14" ht="6.75" customHeight="1" x14ac:dyDescent="0.3">
      <c r="D25" s="275"/>
      <c r="E25" s="276"/>
    </row>
    <row r="26" spans="1:14" ht="21.75" customHeight="1" x14ac:dyDescent="0.3">
      <c r="A26" s="277" t="s">
        <v>172</v>
      </c>
      <c r="B26" s="277" t="s">
        <v>177</v>
      </c>
      <c r="C26" s="277" t="s">
        <v>178</v>
      </c>
      <c r="D26" s="277" t="s">
        <v>166</v>
      </c>
      <c r="E26" s="277" t="s">
        <v>173</v>
      </c>
      <c r="F26" s="277" t="s">
        <v>174</v>
      </c>
      <c r="H26" s="277" t="s">
        <v>172</v>
      </c>
      <c r="I26" s="277" t="s">
        <v>179</v>
      </c>
      <c r="J26" s="277" t="s">
        <v>180</v>
      </c>
    </row>
    <row r="27" spans="1:14" x14ac:dyDescent="0.3">
      <c r="A27" s="278">
        <v>2024</v>
      </c>
      <c r="B27" s="279" t="s">
        <v>181</v>
      </c>
      <c r="C27" s="279" t="s">
        <v>182</v>
      </c>
      <c r="D27" s="280">
        <f>D6+D7+D10+D9</f>
        <v>257580.17</v>
      </c>
      <c r="E27" s="281">
        <f>B6+B7+B10+B9+0.01</f>
        <v>212876.18</v>
      </c>
      <c r="F27" s="282">
        <f>C6+C7+C10+C9</f>
        <v>44703.99</v>
      </c>
      <c r="H27" s="278">
        <f t="shared" ref="H27:H34" si="3">A27</f>
        <v>2024</v>
      </c>
      <c r="I27" s="281">
        <f>+D27</f>
        <v>257580.17</v>
      </c>
      <c r="J27" s="283"/>
    </row>
    <row r="28" spans="1:14" x14ac:dyDescent="0.3">
      <c r="A28" s="284">
        <v>2024</v>
      </c>
      <c r="B28" s="285" t="s">
        <v>181</v>
      </c>
      <c r="C28" s="285" t="s">
        <v>183</v>
      </c>
      <c r="D28" s="286">
        <f>D8</f>
        <v>75000</v>
      </c>
      <c r="E28" s="287">
        <f>B8</f>
        <v>61983.47</v>
      </c>
      <c r="F28" s="288">
        <f>C8</f>
        <v>13016.53</v>
      </c>
      <c r="H28" s="284">
        <f t="shared" si="3"/>
        <v>2024</v>
      </c>
      <c r="I28" s="287"/>
      <c r="J28" s="289">
        <f>+D28</f>
        <v>75000</v>
      </c>
    </row>
    <row r="29" spans="1:14" x14ac:dyDescent="0.3">
      <c r="A29" s="278">
        <v>2025</v>
      </c>
      <c r="B29" s="279" t="s">
        <v>184</v>
      </c>
      <c r="C29" s="279" t="s">
        <v>182</v>
      </c>
      <c r="D29" s="280">
        <f>G6+G7+G10+G9</f>
        <v>565160.31000000006</v>
      </c>
      <c r="E29" s="281">
        <f>E6+E7+E10+E9</f>
        <v>467074.63999999996</v>
      </c>
      <c r="F29" s="282">
        <f>F6+F7+F10+F9</f>
        <v>98085.67</v>
      </c>
      <c r="H29" s="278">
        <f t="shared" si="3"/>
        <v>2025</v>
      </c>
      <c r="I29" s="281">
        <f>+D29</f>
        <v>565160.31000000006</v>
      </c>
      <c r="J29" s="283"/>
    </row>
    <row r="30" spans="1:14" x14ac:dyDescent="0.3">
      <c r="A30" s="284">
        <v>2025</v>
      </c>
      <c r="B30" s="285" t="s">
        <v>184</v>
      </c>
      <c r="C30" s="285" t="s">
        <v>183</v>
      </c>
      <c r="D30" s="286">
        <f>G8</f>
        <v>150000</v>
      </c>
      <c r="E30" s="287">
        <f>E8</f>
        <v>123966.94</v>
      </c>
      <c r="F30" s="288">
        <f>F8</f>
        <v>26033.06</v>
      </c>
      <c r="H30" s="284">
        <f t="shared" si="3"/>
        <v>2025</v>
      </c>
      <c r="I30" s="287"/>
      <c r="J30" s="289">
        <f>+D30</f>
        <v>150000</v>
      </c>
    </row>
    <row r="31" spans="1:14" x14ac:dyDescent="0.3">
      <c r="A31" s="278">
        <v>2026</v>
      </c>
      <c r="B31" s="279" t="s">
        <v>184</v>
      </c>
      <c r="C31" s="279" t="s">
        <v>182</v>
      </c>
      <c r="D31" s="280">
        <f>J6+J7+J10+J9</f>
        <v>553160.30999999994</v>
      </c>
      <c r="E31" s="281">
        <f>H6+H7+H10+H9</f>
        <v>457157.27999999991</v>
      </c>
      <c r="F31" s="282">
        <f>I6+I7+I10+I9</f>
        <v>96003.03</v>
      </c>
      <c r="H31" s="278">
        <f t="shared" si="3"/>
        <v>2026</v>
      </c>
      <c r="I31" s="281">
        <f>+D31</f>
        <v>553160.30999999994</v>
      </c>
      <c r="J31" s="283"/>
    </row>
    <row r="32" spans="1:14" x14ac:dyDescent="0.3">
      <c r="A32" s="284">
        <v>2026</v>
      </c>
      <c r="B32" s="285" t="s">
        <v>184</v>
      </c>
      <c r="C32" s="285" t="s">
        <v>183</v>
      </c>
      <c r="D32" s="286">
        <f>J8</f>
        <v>150000</v>
      </c>
      <c r="E32" s="287">
        <f>H8</f>
        <v>123966.94</v>
      </c>
      <c r="F32" s="288">
        <f>I8</f>
        <v>26033.06</v>
      </c>
      <c r="H32" s="284">
        <f t="shared" si="3"/>
        <v>2026</v>
      </c>
      <c r="I32" s="287"/>
      <c r="J32" s="289">
        <f>+D32</f>
        <v>150000</v>
      </c>
    </row>
    <row r="33" spans="1:11" x14ac:dyDescent="0.3">
      <c r="A33" s="278">
        <v>2027</v>
      </c>
      <c r="B33" s="279" t="s">
        <v>185</v>
      </c>
      <c r="C33" s="279" t="s">
        <v>182</v>
      </c>
      <c r="D33" s="280">
        <f>M6+M7+M10+M9</f>
        <v>264595.01</v>
      </c>
      <c r="E33" s="281">
        <f>K6+K7+K10+K9</f>
        <v>218673.56</v>
      </c>
      <c r="F33" s="282">
        <f>L6+L7+L10+L9</f>
        <v>45921.45</v>
      </c>
      <c r="H33" s="278">
        <f t="shared" si="3"/>
        <v>2027</v>
      </c>
      <c r="I33" s="281">
        <f>+D33</f>
        <v>264595.01</v>
      </c>
      <c r="J33" s="283"/>
    </row>
    <row r="34" spans="1:11" x14ac:dyDescent="0.3">
      <c r="A34" s="284">
        <v>2027</v>
      </c>
      <c r="B34" s="285" t="s">
        <v>185</v>
      </c>
      <c r="C34" s="285" t="s">
        <v>183</v>
      </c>
      <c r="D34" s="286">
        <f>M8</f>
        <v>71750</v>
      </c>
      <c r="E34" s="287">
        <f>K8</f>
        <v>59297.52</v>
      </c>
      <c r="F34" s="288">
        <f>L8</f>
        <v>12452.48</v>
      </c>
      <c r="H34" s="284">
        <f t="shared" si="3"/>
        <v>2027</v>
      </c>
      <c r="I34" s="287"/>
      <c r="J34" s="289">
        <f>+D34</f>
        <v>71750</v>
      </c>
    </row>
    <row r="35" spans="1:11" x14ac:dyDescent="0.3">
      <c r="A35" s="290" t="s">
        <v>58</v>
      </c>
      <c r="B35" s="291" t="s">
        <v>186</v>
      </c>
      <c r="C35" s="291"/>
      <c r="D35" s="292">
        <f>P11</f>
        <v>2087245.8</v>
      </c>
      <c r="E35" s="292">
        <f>N11</f>
        <v>1724996.53</v>
      </c>
      <c r="F35" s="293">
        <f>O11</f>
        <v>362249.27</v>
      </c>
      <c r="H35" s="290" t="s">
        <v>58</v>
      </c>
      <c r="I35" s="292">
        <f>SUM(I27:I34)</f>
        <v>1640495.8</v>
      </c>
      <c r="J35" s="294">
        <f>SUM(J27:J34)</f>
        <v>446750</v>
      </c>
      <c r="K35" s="266">
        <f>+I35+J35</f>
        <v>2087245.8</v>
      </c>
    </row>
    <row r="36" spans="1:11" ht="21.75" customHeight="1" x14ac:dyDescent="0.3">
      <c r="D36" s="368">
        <f>SUM(D27:D34)-D35</f>
        <v>0</v>
      </c>
      <c r="E36" s="368">
        <f>SUM(E27:E34)-E35</f>
        <v>0</v>
      </c>
      <c r="F36" s="368">
        <f>SUM(F27:F34)-F35</f>
        <v>0</v>
      </c>
    </row>
    <row r="37" spans="1:11" x14ac:dyDescent="0.3">
      <c r="A37" s="267" t="s">
        <v>187</v>
      </c>
      <c r="E37" s="276"/>
    </row>
    <row r="38" spans="1:11" ht="41.4" x14ac:dyDescent="0.3">
      <c r="A38" s="268" t="s">
        <v>188</v>
      </c>
      <c r="B38" s="268" t="s">
        <v>189</v>
      </c>
      <c r="C38" s="268" t="s">
        <v>190</v>
      </c>
      <c r="D38" s="268" t="s">
        <v>191</v>
      </c>
      <c r="E38" s="268" t="s">
        <v>192</v>
      </c>
      <c r="F38" s="268" t="s">
        <v>193</v>
      </c>
    </row>
    <row r="39" spans="1:11" ht="55.2" x14ac:dyDescent="0.3">
      <c r="A39" s="295" t="s">
        <v>194</v>
      </c>
      <c r="B39" s="296">
        <f>$D$21</f>
        <v>2087245.8</v>
      </c>
      <c r="C39" s="297">
        <v>0.2</v>
      </c>
      <c r="D39" s="298">
        <f>+ROUND(B39*C39,2)</f>
        <v>417449.16</v>
      </c>
      <c r="E39" s="297">
        <v>0.2</v>
      </c>
      <c r="F39" s="298">
        <f>+ROUND(B39*E39,2)</f>
        <v>417449.16</v>
      </c>
    </row>
    <row r="40" spans="1:11" x14ac:dyDescent="0.3">
      <c r="A40" s="299" t="s">
        <v>195</v>
      </c>
      <c r="B40" s="300">
        <f>SUM(B39:B39)</f>
        <v>2087245.8</v>
      </c>
      <c r="C40" s="301">
        <f>SUM(C39:C39)</f>
        <v>0.2</v>
      </c>
      <c r="D40" s="302">
        <f>SUM(D39:D39)</f>
        <v>417449.16</v>
      </c>
      <c r="E40" s="301">
        <f>SUM(E39:E39)</f>
        <v>0.2</v>
      </c>
      <c r="F40" s="302">
        <f>SUM(F39:F39)</f>
        <v>417449.16</v>
      </c>
    </row>
    <row r="41" spans="1:11" x14ac:dyDescent="0.3">
      <c r="D41" s="303">
        <f>+ROUND(D40/1.21,2)</f>
        <v>344999.31</v>
      </c>
      <c r="F41" s="303">
        <f>+ROUND(F40/1.21,2)</f>
        <v>344999.31</v>
      </c>
    </row>
    <row r="42" spans="1:11" x14ac:dyDescent="0.3">
      <c r="D42" s="304" t="s">
        <v>196</v>
      </c>
      <c r="F42" s="304" t="s">
        <v>196</v>
      </c>
    </row>
    <row r="43" spans="1:11" x14ac:dyDescent="0.3">
      <c r="A43" s="267" t="s">
        <v>197</v>
      </c>
    </row>
    <row r="45" spans="1:11" ht="69" x14ac:dyDescent="0.3">
      <c r="A45" s="305"/>
      <c r="B45" s="306" t="s">
        <v>198</v>
      </c>
      <c r="C45" s="306" t="s">
        <v>199</v>
      </c>
      <c r="D45" s="306" t="s">
        <v>200</v>
      </c>
      <c r="E45" s="306" t="s">
        <v>201</v>
      </c>
      <c r="F45" s="306" t="s">
        <v>202</v>
      </c>
    </row>
    <row r="46" spans="1:11" x14ac:dyDescent="0.3">
      <c r="A46" s="305">
        <v>2024</v>
      </c>
      <c r="B46" s="307">
        <f>+B17</f>
        <v>274859.65000000002</v>
      </c>
      <c r="C46" s="298"/>
      <c r="D46" s="298">
        <f t="shared" ref="D46:D51" si="4">ROUND(G46/$G$52*$D$41,2)</f>
        <v>32843.21</v>
      </c>
      <c r="E46" s="298">
        <f t="shared" ref="E46:E51" si="5">ROUND(-G46/$G$52*$F$41,2)</f>
        <v>-32843.21</v>
      </c>
      <c r="F46" s="298">
        <f>ROUND(SUM(B46:D46),2)</f>
        <v>307702.86</v>
      </c>
      <c r="G46" s="308">
        <f t="shared" ref="G46:G51" si="6">+B46+C46</f>
        <v>274859.65000000002</v>
      </c>
      <c r="I46" s="309"/>
    </row>
    <row r="47" spans="1:11" x14ac:dyDescent="0.3">
      <c r="A47" s="305">
        <v>2025</v>
      </c>
      <c r="B47" s="307">
        <f>+B18</f>
        <v>591041.57999999996</v>
      </c>
      <c r="C47" s="298"/>
      <c r="D47" s="298">
        <f t="shared" si="4"/>
        <v>70624.05</v>
      </c>
      <c r="E47" s="298">
        <f t="shared" si="5"/>
        <v>-70624.05</v>
      </c>
      <c r="F47" s="298">
        <f t="shared" ref="F47:F51" si="7">ROUND(SUM(B47:D47),2)</f>
        <v>661665.63</v>
      </c>
      <c r="G47" s="308">
        <f t="shared" si="6"/>
        <v>591041.57999999996</v>
      </c>
      <c r="H47" s="309"/>
      <c r="I47" s="309"/>
    </row>
    <row r="48" spans="1:11" x14ac:dyDescent="0.3">
      <c r="A48" s="305">
        <v>2026</v>
      </c>
      <c r="B48" s="307">
        <f>+B19</f>
        <v>581124.22</v>
      </c>
      <c r="C48" s="298"/>
      <c r="D48" s="298">
        <f t="shared" si="4"/>
        <v>69439.02</v>
      </c>
      <c r="E48" s="298">
        <f t="shared" si="5"/>
        <v>-69439.02</v>
      </c>
      <c r="F48" s="298">
        <f t="shared" si="7"/>
        <v>650563.24</v>
      </c>
      <c r="G48" s="308">
        <f t="shared" si="6"/>
        <v>581124.22</v>
      </c>
      <c r="I48" s="309"/>
    </row>
    <row r="49" spans="1:10" x14ac:dyDescent="0.3">
      <c r="A49" s="305">
        <v>2027</v>
      </c>
      <c r="B49" s="307">
        <f>+B20</f>
        <v>277971.08</v>
      </c>
      <c r="C49" s="307">
        <f>+ROUND('Càlcul pressupost '!N11/1.21,2)</f>
        <v>303153.12</v>
      </c>
      <c r="D49" s="298">
        <f t="shared" si="4"/>
        <v>69439.02</v>
      </c>
      <c r="E49" s="298">
        <f t="shared" si="5"/>
        <v>-69439.02</v>
      </c>
      <c r="F49" s="298">
        <f t="shared" si="7"/>
        <v>650563.22</v>
      </c>
      <c r="G49" s="308">
        <f t="shared" si="6"/>
        <v>581124.19999999995</v>
      </c>
      <c r="I49" s="309"/>
    </row>
    <row r="50" spans="1:10" x14ac:dyDescent="0.3">
      <c r="A50" s="305">
        <v>2028</v>
      </c>
      <c r="B50" s="307"/>
      <c r="C50" s="307">
        <f>+ROUND('Càlcul pressupost '!O11/1.21,2)</f>
        <v>581124.19999999995</v>
      </c>
      <c r="D50" s="298">
        <f t="shared" si="4"/>
        <v>69439.02</v>
      </c>
      <c r="E50" s="298">
        <f t="shared" si="5"/>
        <v>-69439.02</v>
      </c>
      <c r="F50" s="298">
        <f t="shared" si="7"/>
        <v>650563.22</v>
      </c>
      <c r="G50" s="308">
        <f t="shared" si="6"/>
        <v>581124.19999999995</v>
      </c>
      <c r="I50" s="309"/>
    </row>
    <row r="51" spans="1:10" x14ac:dyDescent="0.3">
      <c r="A51" s="305">
        <v>2029</v>
      </c>
      <c r="B51" s="307"/>
      <c r="C51" s="307">
        <f>+ROUND('Càlcul pressupost '!P11/1.21,2)</f>
        <v>277971.08</v>
      </c>
      <c r="D51" s="298">
        <f t="shared" si="4"/>
        <v>33215</v>
      </c>
      <c r="E51" s="298">
        <f t="shared" si="5"/>
        <v>-33215</v>
      </c>
      <c r="F51" s="298">
        <f t="shared" si="7"/>
        <v>311186.08</v>
      </c>
      <c r="G51" s="308">
        <f t="shared" si="6"/>
        <v>277971.08</v>
      </c>
      <c r="I51" s="309"/>
    </row>
    <row r="52" spans="1:10" x14ac:dyDescent="0.3">
      <c r="A52" s="310" t="s">
        <v>58</v>
      </c>
      <c r="B52" s="311">
        <f>ROUND(SUM(B46:B51),2)</f>
        <v>1724996.53</v>
      </c>
      <c r="C52" s="311">
        <f>ROUND(SUM(C46:C51),2)</f>
        <v>1162248.3999999999</v>
      </c>
      <c r="D52" s="311">
        <f>ROUND(SUM(D46:D51),2)</f>
        <v>344999.32</v>
      </c>
      <c r="E52" s="312">
        <f>ROUND(SUM(E46:E51),2)</f>
        <v>-344999.32</v>
      </c>
      <c r="F52" s="311">
        <f>ROUND(SUM(F46:F51),2)</f>
        <v>3232244.25</v>
      </c>
      <c r="G52" s="313">
        <f t="shared" ref="G52" si="8">SUM(G46:G51)</f>
        <v>2887244.9299999997</v>
      </c>
      <c r="H52" s="314"/>
      <c r="I52" s="273"/>
      <c r="J52" s="273"/>
    </row>
    <row r="56" spans="1:10" ht="14.4" x14ac:dyDescent="0.3">
      <c r="A56" s="315"/>
      <c r="B56" s="315"/>
      <c r="C56" s="315"/>
    </row>
    <row r="57" spans="1:10" ht="15" customHeight="1" x14ac:dyDescent="0.3">
      <c r="A57" s="316" t="s">
        <v>197</v>
      </c>
      <c r="B57" s="376" t="s">
        <v>203</v>
      </c>
      <c r="C57" s="376"/>
      <c r="D57" s="376"/>
      <c r="E57" s="376"/>
    </row>
    <row r="58" spans="1:10" ht="14.25" customHeight="1" x14ac:dyDescent="0.3">
      <c r="A58" s="317">
        <f>+F52</f>
        <v>3232244.25</v>
      </c>
      <c r="B58" s="377" t="s">
        <v>204</v>
      </c>
      <c r="C58" s="377"/>
      <c r="D58" s="377" t="s">
        <v>205</v>
      </c>
      <c r="E58" s="377"/>
    </row>
    <row r="59" spans="1:10" ht="14.4" x14ac:dyDescent="0.3">
      <c r="A59" s="316" t="s">
        <v>206</v>
      </c>
      <c r="B59" s="316" t="s">
        <v>207</v>
      </c>
      <c r="C59" s="316" t="s">
        <v>208</v>
      </c>
      <c r="D59" s="316" t="s">
        <v>209</v>
      </c>
      <c r="E59" s="316" t="s">
        <v>208</v>
      </c>
    </row>
    <row r="60" spans="1:10" x14ac:dyDescent="0.3">
      <c r="A60" s="318">
        <v>5</v>
      </c>
      <c r="B60" s="298">
        <f>+C60/A60</f>
        <v>969673.27500000002</v>
      </c>
      <c r="C60" s="298">
        <f>1.5*A58</f>
        <v>4848366.375</v>
      </c>
      <c r="D60" s="298">
        <f>ROUND(A58*2/3/A60,2)</f>
        <v>430965.9</v>
      </c>
      <c r="E60" s="298">
        <f>+C60</f>
        <v>4848366.375</v>
      </c>
      <c r="F60" s="319"/>
    </row>
    <row r="61" spans="1:10" x14ac:dyDescent="0.3">
      <c r="B61" s="320" t="s">
        <v>210</v>
      </c>
      <c r="C61" s="320" t="s">
        <v>211</v>
      </c>
      <c r="D61" s="256" t="s">
        <v>212</v>
      </c>
      <c r="E61" s="320" t="s">
        <v>211</v>
      </c>
    </row>
    <row r="62" spans="1:10" ht="14.4" x14ac:dyDescent="0.3">
      <c r="D62" s="315"/>
    </row>
    <row r="63" spans="1:10" ht="14.4" x14ac:dyDescent="0.3">
      <c r="D63" s="315" t="s">
        <v>213</v>
      </c>
    </row>
    <row r="64" spans="1:10" ht="14.4" x14ac:dyDescent="0.3">
      <c r="D64" s="321"/>
    </row>
    <row r="65" spans="2:4" ht="14.4" x14ac:dyDescent="0.3">
      <c r="D65" s="321"/>
    </row>
    <row r="66" spans="2:4" ht="14.4" x14ac:dyDescent="0.3">
      <c r="D66" s="315"/>
    </row>
    <row r="67" spans="2:4" ht="14.4" x14ac:dyDescent="0.3">
      <c r="D67" s="315"/>
    </row>
    <row r="68" spans="2:4" ht="14.4" x14ac:dyDescent="0.3">
      <c r="D68" s="315"/>
    </row>
    <row r="69" spans="2:4" ht="14.4" x14ac:dyDescent="0.3">
      <c r="B69" s="266"/>
      <c r="D69" s="315"/>
    </row>
    <row r="70" spans="2:4" ht="14.4" x14ac:dyDescent="0.3">
      <c r="D70" s="315"/>
    </row>
    <row r="71" spans="2:4" ht="14.4" x14ac:dyDescent="0.3">
      <c r="D71" s="315"/>
    </row>
  </sheetData>
  <mergeCells count="9">
    <mergeCell ref="K4:M4"/>
    <mergeCell ref="E17:N22"/>
    <mergeCell ref="H24:J24"/>
    <mergeCell ref="B57:E57"/>
    <mergeCell ref="B58:C58"/>
    <mergeCell ref="D58:E58"/>
    <mergeCell ref="B4:D4"/>
    <mergeCell ref="E4:G4"/>
    <mergeCell ref="H4:J4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73"/>
  <sheetViews>
    <sheetView zoomScaleNormal="100" workbookViewId="0">
      <selection activeCell="C6" sqref="C6"/>
    </sheetView>
  </sheetViews>
  <sheetFormatPr defaultColWidth="14.44140625" defaultRowHeight="14.4" x14ac:dyDescent="0.3"/>
  <cols>
    <col min="1" max="2" width="11.44140625" style="5" customWidth="1"/>
    <col min="3" max="3" width="46.33203125" style="5" customWidth="1"/>
    <col min="4" max="4" width="28.88671875" style="5" customWidth="1"/>
    <col min="5" max="5" width="20.6640625" style="5" customWidth="1"/>
    <col min="6" max="7" width="15.88671875" style="5" customWidth="1"/>
    <col min="8" max="8" width="18" style="133" customWidth="1"/>
    <col min="9" max="9" width="14.33203125" style="5" customWidth="1"/>
    <col min="10" max="10" width="22.33203125" style="5" customWidth="1"/>
    <col min="11" max="11" width="16.109375" style="5" customWidth="1"/>
    <col min="12" max="12" width="19.6640625" style="5" customWidth="1"/>
    <col min="13" max="13" width="17.6640625" style="5" customWidth="1"/>
    <col min="14" max="27" width="11.44140625" style="5" customWidth="1"/>
    <col min="28" max="16384" width="14.44140625" style="5"/>
  </cols>
  <sheetData>
    <row r="1" spans="1:27" x14ac:dyDescent="0.3">
      <c r="G1" s="322"/>
      <c r="H1" s="322"/>
    </row>
    <row r="2" spans="1:27" x14ac:dyDescent="0.3">
      <c r="A2" s="323" t="s">
        <v>214</v>
      </c>
      <c r="B2" s="324"/>
      <c r="C2" s="324"/>
      <c r="D2" s="324"/>
      <c r="E2" s="324"/>
      <c r="F2" s="324"/>
      <c r="G2" s="325"/>
      <c r="H2" s="325"/>
      <c r="I2" s="324"/>
      <c r="J2" s="324"/>
    </row>
    <row r="3" spans="1:27" ht="15.75" customHeight="1" thickBot="1" x14ac:dyDescent="0.35">
      <c r="G3" s="322"/>
      <c r="H3" s="322"/>
    </row>
    <row r="4" spans="1:27" ht="44.25" customHeight="1" x14ac:dyDescent="0.3">
      <c r="A4" s="326"/>
      <c r="B4" s="341"/>
      <c r="C4" s="342" t="s">
        <v>215</v>
      </c>
      <c r="D4" s="343" t="s">
        <v>216</v>
      </c>
      <c r="E4" s="344" t="s">
        <v>217</v>
      </c>
      <c r="F4" s="345" t="s">
        <v>218</v>
      </c>
      <c r="G4" s="346" t="s">
        <v>219</v>
      </c>
      <c r="H4" s="347" t="s">
        <v>241</v>
      </c>
      <c r="I4" s="348" t="s">
        <v>220</v>
      </c>
      <c r="J4" s="343" t="s">
        <v>221</v>
      </c>
      <c r="K4" s="343" t="s">
        <v>222</v>
      </c>
      <c r="L4" s="346" t="s">
        <v>223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27" ht="15.75" customHeight="1" x14ac:dyDescent="0.3">
      <c r="A5" s="350"/>
      <c r="B5" s="351"/>
      <c r="C5" s="352">
        <f>'Taules IJ'!B21</f>
        <v>1724996.53</v>
      </c>
      <c r="D5" s="353">
        <f>ROUND(C5*0.2, 2)</f>
        <v>344999.31</v>
      </c>
      <c r="E5" s="354">
        <f>ROUND(C5-D5, 2)</f>
        <v>1379997.22</v>
      </c>
      <c r="F5" s="355">
        <f>ROUND(C5*0.064, 2)</f>
        <v>110399.78</v>
      </c>
      <c r="G5" s="356">
        <f>ROUND(D5+F5, 2)</f>
        <v>455399.09</v>
      </c>
      <c r="H5" s="357">
        <f>'Càlcul pressupost '!K9</f>
        <v>390374.34</v>
      </c>
      <c r="I5" s="358">
        <f>ROUND(E5-F5-H5, 2)</f>
        <v>879223.1</v>
      </c>
      <c r="J5" s="353">
        <f>ROUND(I5*(0.34/1.34), 2)</f>
        <v>223086.46</v>
      </c>
      <c r="K5" s="353">
        <f>ROUND(I5-J5, 2)</f>
        <v>656136.64</v>
      </c>
      <c r="L5" s="356">
        <f>+H5+I5</f>
        <v>1269597.44</v>
      </c>
    </row>
    <row r="6" spans="1:27" s="360" customFormat="1" ht="28.8" x14ac:dyDescent="0.3">
      <c r="D6" s="363" t="s">
        <v>240</v>
      </c>
      <c r="E6" s="360" t="s">
        <v>236</v>
      </c>
      <c r="F6" s="360" t="s">
        <v>239</v>
      </c>
      <c r="G6" s="364" t="s">
        <v>237</v>
      </c>
      <c r="H6" s="362" t="s">
        <v>238</v>
      </c>
      <c r="I6" s="360" t="s">
        <v>242</v>
      </c>
      <c r="J6" s="361" t="s">
        <v>243</v>
      </c>
      <c r="K6" s="361" t="s">
        <v>244</v>
      </c>
      <c r="L6" s="360" t="s">
        <v>245</v>
      </c>
    </row>
    <row r="7" spans="1:27" ht="15.75" customHeight="1" x14ac:dyDescent="0.3">
      <c r="C7" s="359" t="s">
        <v>224</v>
      </c>
      <c r="D7" s="359"/>
      <c r="G7" s="322"/>
      <c r="H7" s="322"/>
    </row>
    <row r="8" spans="1:27" ht="15.75" customHeight="1" x14ac:dyDescent="0.3">
      <c r="C8" s="328" t="s">
        <v>225</v>
      </c>
      <c r="D8" s="329">
        <f>K5</f>
        <v>656136.64</v>
      </c>
      <c r="G8" s="322"/>
      <c r="H8" s="322"/>
    </row>
    <row r="9" spans="1:27" ht="15.75" customHeight="1" x14ac:dyDescent="0.3">
      <c r="C9" s="328" t="s">
        <v>226</v>
      </c>
      <c r="D9" s="329">
        <f>J5</f>
        <v>223086.46</v>
      </c>
      <c r="G9" s="322"/>
      <c r="H9" s="322"/>
    </row>
    <row r="10" spans="1:27" s="133" customFormat="1" ht="15.75" customHeight="1" x14ac:dyDescent="0.3">
      <c r="C10" s="339" t="s">
        <v>238</v>
      </c>
      <c r="D10" s="340">
        <f>H5</f>
        <v>390374.34</v>
      </c>
      <c r="G10" s="322"/>
      <c r="H10" s="322"/>
    </row>
    <row r="11" spans="1:27" ht="15.75" customHeight="1" x14ac:dyDescent="0.3">
      <c r="C11" s="328" t="s">
        <v>227</v>
      </c>
      <c r="D11" s="330">
        <f>+L5</f>
        <v>1269597.44</v>
      </c>
      <c r="E11" s="365">
        <f>SUM(D8:D10)-D11</f>
        <v>0</v>
      </c>
      <c r="G11" s="322"/>
      <c r="H11" s="322"/>
    </row>
    <row r="12" spans="1:27" ht="15.75" customHeight="1" x14ac:dyDescent="0.3">
      <c r="C12" s="331"/>
      <c r="D12" s="331"/>
      <c r="E12" s="349"/>
      <c r="G12" s="322"/>
      <c r="H12" s="322"/>
    </row>
    <row r="13" spans="1:27" ht="15.75" customHeight="1" x14ac:dyDescent="0.3">
      <c r="C13" s="327" t="s">
        <v>228</v>
      </c>
      <c r="D13" s="327"/>
      <c r="E13" s="349"/>
      <c r="G13" s="322"/>
      <c r="H13" s="322"/>
    </row>
    <row r="14" spans="1:27" ht="15.75" customHeight="1" x14ac:dyDescent="0.3">
      <c r="C14" s="332" t="s">
        <v>229</v>
      </c>
      <c r="D14" s="329">
        <f>F5</f>
        <v>110399.78</v>
      </c>
      <c r="E14" s="349"/>
      <c r="G14" s="322"/>
      <c r="H14" s="322"/>
    </row>
    <row r="15" spans="1:27" ht="15.75" customHeight="1" x14ac:dyDescent="0.3">
      <c r="C15" s="332" t="s">
        <v>230</v>
      </c>
      <c r="D15" s="329">
        <f>D5</f>
        <v>344999.31</v>
      </c>
      <c r="E15" s="349"/>
      <c r="G15" s="322"/>
      <c r="H15" s="322"/>
    </row>
    <row r="16" spans="1:27" ht="15.75" customHeight="1" x14ac:dyDescent="0.3">
      <c r="C16" s="332" t="s">
        <v>231</v>
      </c>
      <c r="D16" s="333">
        <f>G5</f>
        <v>455399.09</v>
      </c>
      <c r="E16" s="365">
        <f>SUM(D13:D15)-D16</f>
        <v>0</v>
      </c>
      <c r="G16" s="322"/>
      <c r="H16" s="322"/>
    </row>
    <row r="17" spans="3:13" ht="15.75" customHeight="1" x14ac:dyDescent="0.3">
      <c r="C17" s="334"/>
      <c r="D17" s="334"/>
      <c r="E17" s="349"/>
      <c r="G17" s="322"/>
      <c r="H17" s="322"/>
    </row>
    <row r="18" spans="3:13" ht="15.75" customHeight="1" x14ac:dyDescent="0.3">
      <c r="C18" s="327" t="s">
        <v>232</v>
      </c>
      <c r="D18" s="335">
        <f>D11+D16</f>
        <v>1724996.53</v>
      </c>
      <c r="E18" s="366">
        <f>D18-'Càlcul pressupost '!K11</f>
        <v>0</v>
      </c>
      <c r="G18" s="322"/>
      <c r="H18" s="322"/>
      <c r="L18" s="66"/>
      <c r="M18" s="66"/>
    </row>
    <row r="19" spans="3:13" x14ac:dyDescent="0.3">
      <c r="C19" s="336" t="s">
        <v>233</v>
      </c>
      <c r="G19" s="322"/>
      <c r="H19" s="322"/>
    </row>
    <row r="20" spans="3:13" x14ac:dyDescent="0.3">
      <c r="C20" s="336" t="s">
        <v>234</v>
      </c>
      <c r="G20" s="322"/>
      <c r="H20" s="322"/>
    </row>
    <row r="21" spans="3:13" x14ac:dyDescent="0.3">
      <c r="G21" s="322"/>
      <c r="H21" s="322"/>
    </row>
    <row r="22" spans="3:13" x14ac:dyDescent="0.3">
      <c r="G22" s="322"/>
      <c r="H22" s="322"/>
    </row>
    <row r="23" spans="3:13" x14ac:dyDescent="0.3">
      <c r="G23" s="322"/>
      <c r="H23" s="322"/>
    </row>
    <row r="24" spans="3:13" x14ac:dyDescent="0.3">
      <c r="G24" s="322"/>
      <c r="H24" s="322"/>
    </row>
    <row r="25" spans="3:13" x14ac:dyDescent="0.3">
      <c r="G25" s="322"/>
      <c r="H25" s="322"/>
    </row>
    <row r="26" spans="3:13" x14ac:dyDescent="0.3">
      <c r="G26" s="322"/>
      <c r="H26" s="322"/>
    </row>
    <row r="27" spans="3:13" x14ac:dyDescent="0.3">
      <c r="G27" s="322"/>
      <c r="H27" s="322"/>
    </row>
    <row r="28" spans="3:13" x14ac:dyDescent="0.3">
      <c r="G28" s="322"/>
      <c r="H28" s="322"/>
    </row>
    <row r="29" spans="3:13" x14ac:dyDescent="0.3">
      <c r="G29" s="322"/>
      <c r="H29" s="322"/>
    </row>
    <row r="30" spans="3:13" x14ac:dyDescent="0.3">
      <c r="G30" s="322"/>
      <c r="H30" s="322"/>
    </row>
    <row r="31" spans="3:13" x14ac:dyDescent="0.3">
      <c r="G31" s="322"/>
      <c r="H31" s="322"/>
    </row>
    <row r="32" spans="3:13" x14ac:dyDescent="0.3">
      <c r="G32" s="322"/>
      <c r="H32" s="322"/>
    </row>
    <row r="33" spans="7:8" x14ac:dyDescent="0.3">
      <c r="G33" s="322"/>
      <c r="H33" s="322"/>
    </row>
    <row r="34" spans="7:8" x14ac:dyDescent="0.3">
      <c r="G34" s="322"/>
      <c r="H34" s="322"/>
    </row>
    <row r="35" spans="7:8" x14ac:dyDescent="0.3">
      <c r="G35" s="322"/>
      <c r="H35" s="322"/>
    </row>
    <row r="36" spans="7:8" x14ac:dyDescent="0.3">
      <c r="G36" s="322"/>
      <c r="H36" s="322"/>
    </row>
    <row r="37" spans="7:8" x14ac:dyDescent="0.3">
      <c r="G37" s="322"/>
      <c r="H37" s="322"/>
    </row>
    <row r="38" spans="7:8" x14ac:dyDescent="0.3">
      <c r="G38" s="322"/>
      <c r="H38" s="322"/>
    </row>
    <row r="39" spans="7:8" x14ac:dyDescent="0.3">
      <c r="G39" s="322"/>
      <c r="H39" s="322"/>
    </row>
    <row r="40" spans="7:8" x14ac:dyDescent="0.3">
      <c r="G40" s="322"/>
      <c r="H40" s="322"/>
    </row>
    <row r="41" spans="7:8" x14ac:dyDescent="0.3">
      <c r="G41" s="322"/>
      <c r="H41" s="322"/>
    </row>
    <row r="42" spans="7:8" x14ac:dyDescent="0.3">
      <c r="G42" s="322"/>
      <c r="H42" s="322"/>
    </row>
    <row r="43" spans="7:8" x14ac:dyDescent="0.3">
      <c r="G43" s="322"/>
      <c r="H43" s="322"/>
    </row>
    <row r="44" spans="7:8" x14ac:dyDescent="0.3">
      <c r="G44" s="322"/>
      <c r="H44" s="322"/>
    </row>
    <row r="45" spans="7:8" x14ac:dyDescent="0.3">
      <c r="G45" s="322"/>
      <c r="H45" s="322"/>
    </row>
    <row r="46" spans="7:8" x14ac:dyDescent="0.3">
      <c r="G46" s="322"/>
      <c r="H46" s="322"/>
    </row>
    <row r="47" spans="7:8" x14ac:dyDescent="0.3">
      <c r="G47" s="322"/>
      <c r="H47" s="322"/>
    </row>
    <row r="48" spans="7:8" x14ac:dyDescent="0.3">
      <c r="G48" s="322"/>
      <c r="H48" s="322"/>
    </row>
    <row r="49" spans="7:8" x14ac:dyDescent="0.3">
      <c r="G49" s="322"/>
      <c r="H49" s="322"/>
    </row>
    <row r="50" spans="7:8" x14ac:dyDescent="0.3">
      <c r="G50" s="322"/>
      <c r="H50" s="322"/>
    </row>
    <row r="51" spans="7:8" x14ac:dyDescent="0.3">
      <c r="G51" s="322"/>
      <c r="H51" s="322"/>
    </row>
    <row r="52" spans="7:8" x14ac:dyDescent="0.3">
      <c r="G52" s="322"/>
      <c r="H52" s="322"/>
    </row>
    <row r="53" spans="7:8" x14ac:dyDescent="0.3">
      <c r="G53" s="322"/>
      <c r="H53" s="322"/>
    </row>
    <row r="54" spans="7:8" x14ac:dyDescent="0.3">
      <c r="G54" s="322"/>
      <c r="H54" s="322"/>
    </row>
    <row r="55" spans="7:8" x14ac:dyDescent="0.3">
      <c r="G55" s="322"/>
      <c r="H55" s="322"/>
    </row>
    <row r="56" spans="7:8" x14ac:dyDescent="0.3">
      <c r="G56" s="322"/>
      <c r="H56" s="322"/>
    </row>
    <row r="57" spans="7:8" x14ac:dyDescent="0.3">
      <c r="G57" s="322"/>
      <c r="H57" s="322"/>
    </row>
    <row r="58" spans="7:8" x14ac:dyDescent="0.3">
      <c r="G58" s="322"/>
      <c r="H58" s="322"/>
    </row>
    <row r="59" spans="7:8" x14ac:dyDescent="0.3">
      <c r="G59" s="322"/>
      <c r="H59" s="322"/>
    </row>
    <row r="60" spans="7:8" x14ac:dyDescent="0.3">
      <c r="G60" s="322"/>
      <c r="H60" s="322"/>
    </row>
    <row r="61" spans="7:8" x14ac:dyDescent="0.3">
      <c r="G61" s="322"/>
      <c r="H61" s="322"/>
    </row>
    <row r="62" spans="7:8" x14ac:dyDescent="0.3">
      <c r="G62" s="322"/>
      <c r="H62" s="322"/>
    </row>
    <row r="63" spans="7:8" x14ac:dyDescent="0.3">
      <c r="G63" s="322"/>
      <c r="H63" s="322"/>
    </row>
    <row r="64" spans="7:8" x14ac:dyDescent="0.3">
      <c r="G64" s="322"/>
      <c r="H64" s="322"/>
    </row>
    <row r="65" spans="7:8" x14ac:dyDescent="0.3">
      <c r="G65" s="322"/>
      <c r="H65" s="322"/>
    </row>
    <row r="66" spans="7:8" x14ac:dyDescent="0.3">
      <c r="G66" s="322"/>
      <c r="H66" s="322"/>
    </row>
    <row r="67" spans="7:8" x14ac:dyDescent="0.3">
      <c r="G67" s="322"/>
      <c r="H67" s="322"/>
    </row>
    <row r="68" spans="7:8" x14ac:dyDescent="0.3">
      <c r="G68" s="322"/>
      <c r="H68" s="322"/>
    </row>
    <row r="69" spans="7:8" x14ac:dyDescent="0.3">
      <c r="G69" s="322"/>
      <c r="H69" s="322"/>
    </row>
    <row r="70" spans="7:8" x14ac:dyDescent="0.3">
      <c r="G70" s="322"/>
      <c r="H70" s="322"/>
    </row>
    <row r="71" spans="7:8" x14ac:dyDescent="0.3">
      <c r="G71" s="322"/>
      <c r="H71" s="322"/>
    </row>
    <row r="72" spans="7:8" x14ac:dyDescent="0.3">
      <c r="G72" s="322"/>
      <c r="H72" s="322"/>
    </row>
    <row r="73" spans="7:8" x14ac:dyDescent="0.3">
      <c r="G73" s="322"/>
      <c r="H73" s="322"/>
    </row>
    <row r="74" spans="7:8" x14ac:dyDescent="0.3">
      <c r="G74" s="322"/>
      <c r="H74" s="322"/>
    </row>
    <row r="75" spans="7:8" x14ac:dyDescent="0.3">
      <c r="G75" s="322"/>
      <c r="H75" s="322"/>
    </row>
    <row r="76" spans="7:8" x14ac:dyDescent="0.3">
      <c r="G76" s="322"/>
      <c r="H76" s="322"/>
    </row>
    <row r="77" spans="7:8" x14ac:dyDescent="0.3">
      <c r="G77" s="322"/>
      <c r="H77" s="322"/>
    </row>
    <row r="78" spans="7:8" x14ac:dyDescent="0.3">
      <c r="G78" s="322"/>
      <c r="H78" s="322"/>
    </row>
    <row r="79" spans="7:8" x14ac:dyDescent="0.3">
      <c r="G79" s="322"/>
      <c r="H79" s="322"/>
    </row>
    <row r="80" spans="7:8" x14ac:dyDescent="0.3">
      <c r="G80" s="322"/>
      <c r="H80" s="322"/>
    </row>
    <row r="81" spans="7:8" x14ac:dyDescent="0.3">
      <c r="G81" s="322"/>
      <c r="H81" s="322"/>
    </row>
    <row r="82" spans="7:8" x14ac:dyDescent="0.3">
      <c r="G82" s="322"/>
      <c r="H82" s="322"/>
    </row>
    <row r="83" spans="7:8" x14ac:dyDescent="0.3">
      <c r="G83" s="322"/>
      <c r="H83" s="322"/>
    </row>
    <row r="84" spans="7:8" x14ac:dyDescent="0.3">
      <c r="G84" s="322"/>
      <c r="H84" s="322"/>
    </row>
    <row r="85" spans="7:8" x14ac:dyDescent="0.3">
      <c r="G85" s="322"/>
      <c r="H85" s="322"/>
    </row>
    <row r="86" spans="7:8" x14ac:dyDescent="0.3">
      <c r="G86" s="322"/>
      <c r="H86" s="322"/>
    </row>
    <row r="87" spans="7:8" x14ac:dyDescent="0.3">
      <c r="G87" s="322"/>
      <c r="H87" s="322"/>
    </row>
    <row r="88" spans="7:8" x14ac:dyDescent="0.3">
      <c r="G88" s="322"/>
      <c r="H88" s="322"/>
    </row>
    <row r="89" spans="7:8" x14ac:dyDescent="0.3">
      <c r="G89" s="322"/>
      <c r="H89" s="322"/>
    </row>
    <row r="90" spans="7:8" x14ac:dyDescent="0.3">
      <c r="G90" s="322"/>
      <c r="H90" s="322"/>
    </row>
    <row r="91" spans="7:8" x14ac:dyDescent="0.3">
      <c r="G91" s="322"/>
      <c r="H91" s="322"/>
    </row>
    <row r="92" spans="7:8" x14ac:dyDescent="0.3">
      <c r="G92" s="322"/>
      <c r="H92" s="322"/>
    </row>
    <row r="93" spans="7:8" x14ac:dyDescent="0.3">
      <c r="G93" s="322"/>
      <c r="H93" s="322"/>
    </row>
    <row r="94" spans="7:8" x14ac:dyDescent="0.3">
      <c r="G94" s="322"/>
      <c r="H94" s="322"/>
    </row>
    <row r="95" spans="7:8" x14ac:dyDescent="0.3">
      <c r="G95" s="322"/>
      <c r="H95" s="322"/>
    </row>
    <row r="96" spans="7:8" x14ac:dyDescent="0.3">
      <c r="G96" s="322"/>
      <c r="H96" s="322"/>
    </row>
    <row r="97" spans="7:8" x14ac:dyDescent="0.3">
      <c r="G97" s="322"/>
      <c r="H97" s="322"/>
    </row>
    <row r="98" spans="7:8" x14ac:dyDescent="0.3">
      <c r="G98" s="322"/>
      <c r="H98" s="322"/>
    </row>
    <row r="99" spans="7:8" x14ac:dyDescent="0.3">
      <c r="G99" s="322"/>
      <c r="H99" s="322"/>
    </row>
    <row r="100" spans="7:8" x14ac:dyDescent="0.3">
      <c r="G100" s="322"/>
      <c r="H100" s="322"/>
    </row>
    <row r="101" spans="7:8" x14ac:dyDescent="0.3">
      <c r="G101" s="322"/>
      <c r="H101" s="322"/>
    </row>
    <row r="102" spans="7:8" x14ac:dyDescent="0.3">
      <c r="G102" s="322"/>
      <c r="H102" s="322"/>
    </row>
    <row r="103" spans="7:8" x14ac:dyDescent="0.3">
      <c r="G103" s="322"/>
      <c r="H103" s="322"/>
    </row>
    <row r="104" spans="7:8" x14ac:dyDescent="0.3">
      <c r="G104" s="322"/>
      <c r="H104" s="322"/>
    </row>
    <row r="105" spans="7:8" x14ac:dyDescent="0.3">
      <c r="G105" s="322"/>
      <c r="H105" s="322"/>
    </row>
    <row r="106" spans="7:8" x14ac:dyDescent="0.3">
      <c r="G106" s="322"/>
      <c r="H106" s="322"/>
    </row>
    <row r="107" spans="7:8" x14ac:dyDescent="0.3">
      <c r="G107" s="322"/>
      <c r="H107" s="322"/>
    </row>
    <row r="108" spans="7:8" x14ac:dyDescent="0.3">
      <c r="G108" s="322"/>
      <c r="H108" s="322"/>
    </row>
    <row r="109" spans="7:8" x14ac:dyDescent="0.3">
      <c r="G109" s="322"/>
      <c r="H109" s="322"/>
    </row>
    <row r="110" spans="7:8" x14ac:dyDescent="0.3">
      <c r="G110" s="322"/>
      <c r="H110" s="322"/>
    </row>
    <row r="111" spans="7:8" x14ac:dyDescent="0.3">
      <c r="G111" s="322"/>
      <c r="H111" s="322"/>
    </row>
    <row r="112" spans="7:8" x14ac:dyDescent="0.3">
      <c r="G112" s="322"/>
      <c r="H112" s="322"/>
    </row>
    <row r="113" spans="7:8" x14ac:dyDescent="0.3">
      <c r="G113" s="322"/>
      <c r="H113" s="322"/>
    </row>
    <row r="114" spans="7:8" x14ac:dyDescent="0.3">
      <c r="G114" s="322"/>
      <c r="H114" s="322"/>
    </row>
    <row r="115" spans="7:8" x14ac:dyDescent="0.3">
      <c r="G115" s="322"/>
      <c r="H115" s="322"/>
    </row>
    <row r="116" spans="7:8" x14ac:dyDescent="0.3">
      <c r="G116" s="322"/>
      <c r="H116" s="322"/>
    </row>
    <row r="117" spans="7:8" x14ac:dyDescent="0.3">
      <c r="G117" s="322"/>
      <c r="H117" s="322"/>
    </row>
    <row r="118" spans="7:8" x14ac:dyDescent="0.3">
      <c r="G118" s="322"/>
      <c r="H118" s="322"/>
    </row>
    <row r="119" spans="7:8" x14ac:dyDescent="0.3">
      <c r="G119" s="322"/>
      <c r="H119" s="322"/>
    </row>
    <row r="120" spans="7:8" x14ac:dyDescent="0.3">
      <c r="G120" s="322"/>
      <c r="H120" s="322"/>
    </row>
    <row r="121" spans="7:8" x14ac:dyDescent="0.3">
      <c r="G121" s="322"/>
      <c r="H121" s="322"/>
    </row>
    <row r="122" spans="7:8" x14ac:dyDescent="0.3">
      <c r="G122" s="322"/>
      <c r="H122" s="322"/>
    </row>
    <row r="123" spans="7:8" x14ac:dyDescent="0.3">
      <c r="G123" s="322"/>
      <c r="H123" s="322"/>
    </row>
    <row r="124" spans="7:8" x14ac:dyDescent="0.3">
      <c r="G124" s="322"/>
      <c r="H124" s="322"/>
    </row>
    <row r="125" spans="7:8" x14ac:dyDescent="0.3">
      <c r="G125" s="322"/>
      <c r="H125" s="322"/>
    </row>
    <row r="126" spans="7:8" x14ac:dyDescent="0.3">
      <c r="G126" s="322"/>
      <c r="H126" s="322"/>
    </row>
    <row r="127" spans="7:8" x14ac:dyDescent="0.3">
      <c r="G127" s="322"/>
      <c r="H127" s="322"/>
    </row>
    <row r="128" spans="7:8" x14ac:dyDescent="0.3">
      <c r="G128" s="322"/>
      <c r="H128" s="322"/>
    </row>
    <row r="129" spans="7:8" x14ac:dyDescent="0.3">
      <c r="G129" s="322"/>
      <c r="H129" s="322"/>
    </row>
    <row r="130" spans="7:8" x14ac:dyDescent="0.3">
      <c r="G130" s="322"/>
      <c r="H130" s="322"/>
    </row>
    <row r="131" spans="7:8" x14ac:dyDescent="0.3">
      <c r="G131" s="322"/>
      <c r="H131" s="322"/>
    </row>
    <row r="132" spans="7:8" x14ac:dyDescent="0.3">
      <c r="G132" s="322"/>
      <c r="H132" s="322"/>
    </row>
    <row r="133" spans="7:8" x14ac:dyDescent="0.3">
      <c r="G133" s="322"/>
      <c r="H133" s="322"/>
    </row>
    <row r="134" spans="7:8" x14ac:dyDescent="0.3">
      <c r="G134" s="322"/>
      <c r="H134" s="322"/>
    </row>
    <row r="135" spans="7:8" x14ac:dyDescent="0.3">
      <c r="G135" s="322"/>
      <c r="H135" s="322"/>
    </row>
    <row r="136" spans="7:8" x14ac:dyDescent="0.3">
      <c r="G136" s="322"/>
      <c r="H136" s="322"/>
    </row>
    <row r="137" spans="7:8" x14ac:dyDescent="0.3">
      <c r="G137" s="322"/>
      <c r="H137" s="322"/>
    </row>
    <row r="138" spans="7:8" x14ac:dyDescent="0.3">
      <c r="G138" s="322"/>
      <c r="H138" s="322"/>
    </row>
    <row r="139" spans="7:8" x14ac:dyDescent="0.3">
      <c r="G139" s="322"/>
      <c r="H139" s="322"/>
    </row>
    <row r="140" spans="7:8" x14ac:dyDescent="0.3">
      <c r="G140" s="322"/>
      <c r="H140" s="322"/>
    </row>
    <row r="141" spans="7:8" x14ac:dyDescent="0.3">
      <c r="G141" s="322"/>
      <c r="H141" s="322"/>
    </row>
    <row r="142" spans="7:8" x14ac:dyDescent="0.3">
      <c r="G142" s="322"/>
      <c r="H142" s="322"/>
    </row>
    <row r="143" spans="7:8" x14ac:dyDescent="0.3">
      <c r="G143" s="322"/>
      <c r="H143" s="322"/>
    </row>
    <row r="144" spans="7:8" x14ac:dyDescent="0.3">
      <c r="G144" s="322"/>
      <c r="H144" s="322"/>
    </row>
    <row r="145" spans="7:8" x14ac:dyDescent="0.3">
      <c r="G145" s="322"/>
      <c r="H145" s="322"/>
    </row>
    <row r="146" spans="7:8" x14ac:dyDescent="0.3">
      <c r="G146" s="322"/>
      <c r="H146" s="322"/>
    </row>
    <row r="147" spans="7:8" x14ac:dyDescent="0.3">
      <c r="G147" s="322"/>
      <c r="H147" s="322"/>
    </row>
    <row r="148" spans="7:8" x14ac:dyDescent="0.3">
      <c r="G148" s="322"/>
      <c r="H148" s="322"/>
    </row>
    <row r="149" spans="7:8" x14ac:dyDescent="0.3">
      <c r="G149" s="322"/>
      <c r="H149" s="322"/>
    </row>
    <row r="150" spans="7:8" x14ac:dyDescent="0.3">
      <c r="G150" s="322"/>
      <c r="H150" s="322"/>
    </row>
    <row r="151" spans="7:8" x14ac:dyDescent="0.3">
      <c r="G151" s="322"/>
      <c r="H151" s="322"/>
    </row>
    <row r="152" spans="7:8" x14ac:dyDescent="0.3">
      <c r="G152" s="322"/>
      <c r="H152" s="322"/>
    </row>
    <row r="153" spans="7:8" x14ac:dyDescent="0.3">
      <c r="G153" s="322"/>
      <c r="H153" s="322"/>
    </row>
    <row r="154" spans="7:8" x14ac:dyDescent="0.3">
      <c r="G154" s="322"/>
      <c r="H154" s="322"/>
    </row>
    <row r="155" spans="7:8" x14ac:dyDescent="0.3">
      <c r="G155" s="322"/>
      <c r="H155" s="322"/>
    </row>
    <row r="156" spans="7:8" x14ac:dyDescent="0.3">
      <c r="G156" s="322"/>
      <c r="H156" s="322"/>
    </row>
    <row r="157" spans="7:8" x14ac:dyDescent="0.3">
      <c r="G157" s="322"/>
      <c r="H157" s="322"/>
    </row>
    <row r="158" spans="7:8" x14ac:dyDescent="0.3">
      <c r="G158" s="322"/>
      <c r="H158" s="322"/>
    </row>
    <row r="159" spans="7:8" x14ac:dyDescent="0.3">
      <c r="G159" s="322"/>
      <c r="H159" s="322"/>
    </row>
    <row r="160" spans="7:8" x14ac:dyDescent="0.3">
      <c r="G160" s="322"/>
      <c r="H160" s="322"/>
    </row>
    <row r="161" spans="7:8" x14ac:dyDescent="0.3">
      <c r="G161" s="322"/>
      <c r="H161" s="322"/>
    </row>
    <row r="162" spans="7:8" x14ac:dyDescent="0.3">
      <c r="G162" s="322"/>
      <c r="H162" s="322"/>
    </row>
    <row r="163" spans="7:8" x14ac:dyDescent="0.3">
      <c r="G163" s="322"/>
      <c r="H163" s="322"/>
    </row>
    <row r="164" spans="7:8" x14ac:dyDescent="0.3">
      <c r="G164" s="322"/>
      <c r="H164" s="322"/>
    </row>
    <row r="165" spans="7:8" x14ac:dyDescent="0.3">
      <c r="G165" s="322"/>
      <c r="H165" s="322"/>
    </row>
    <row r="166" spans="7:8" x14ac:dyDescent="0.3">
      <c r="G166" s="322"/>
      <c r="H166" s="322"/>
    </row>
    <row r="167" spans="7:8" x14ac:dyDescent="0.3">
      <c r="G167" s="322"/>
      <c r="H167" s="322"/>
    </row>
    <row r="168" spans="7:8" x14ac:dyDescent="0.3">
      <c r="G168" s="322"/>
      <c r="H168" s="322"/>
    </row>
    <row r="169" spans="7:8" x14ac:dyDescent="0.3">
      <c r="G169" s="322"/>
      <c r="H169" s="322"/>
    </row>
    <row r="170" spans="7:8" x14ac:dyDescent="0.3">
      <c r="G170" s="322"/>
      <c r="H170" s="322"/>
    </row>
    <row r="171" spans="7:8" x14ac:dyDescent="0.3">
      <c r="G171" s="322"/>
      <c r="H171" s="322"/>
    </row>
    <row r="172" spans="7:8" x14ac:dyDescent="0.3">
      <c r="G172" s="322"/>
      <c r="H172" s="322"/>
    </row>
    <row r="173" spans="7:8" x14ac:dyDescent="0.3">
      <c r="G173" s="322"/>
      <c r="H173" s="322"/>
    </row>
    <row r="174" spans="7:8" x14ac:dyDescent="0.3">
      <c r="G174" s="322"/>
      <c r="H174" s="322"/>
    </row>
    <row r="175" spans="7:8" x14ac:dyDescent="0.3">
      <c r="G175" s="322"/>
      <c r="H175" s="322"/>
    </row>
    <row r="176" spans="7:8" x14ac:dyDescent="0.3">
      <c r="G176" s="322"/>
      <c r="H176" s="322"/>
    </row>
    <row r="177" spans="7:8" x14ac:dyDescent="0.3">
      <c r="G177" s="322"/>
      <c r="H177" s="322"/>
    </row>
    <row r="178" spans="7:8" x14ac:dyDescent="0.3">
      <c r="G178" s="322"/>
      <c r="H178" s="322"/>
    </row>
    <row r="179" spans="7:8" x14ac:dyDescent="0.3">
      <c r="G179" s="322"/>
      <c r="H179" s="322"/>
    </row>
    <row r="180" spans="7:8" x14ac:dyDescent="0.3">
      <c r="G180" s="322"/>
      <c r="H180" s="322"/>
    </row>
    <row r="181" spans="7:8" x14ac:dyDescent="0.3">
      <c r="G181" s="322"/>
      <c r="H181" s="322"/>
    </row>
    <row r="182" spans="7:8" x14ac:dyDescent="0.3">
      <c r="G182" s="322"/>
      <c r="H182" s="322"/>
    </row>
    <row r="183" spans="7:8" x14ac:dyDescent="0.3">
      <c r="G183" s="322"/>
      <c r="H183" s="322"/>
    </row>
    <row r="184" spans="7:8" x14ac:dyDescent="0.3">
      <c r="G184" s="322"/>
      <c r="H184" s="322"/>
    </row>
    <row r="185" spans="7:8" x14ac:dyDescent="0.3">
      <c r="G185" s="322"/>
      <c r="H185" s="322"/>
    </row>
    <row r="186" spans="7:8" x14ac:dyDescent="0.3">
      <c r="G186" s="322"/>
      <c r="H186" s="322"/>
    </row>
    <row r="187" spans="7:8" x14ac:dyDescent="0.3">
      <c r="G187" s="322"/>
      <c r="H187" s="322"/>
    </row>
    <row r="188" spans="7:8" x14ac:dyDescent="0.3">
      <c r="G188" s="322"/>
      <c r="H188" s="322"/>
    </row>
    <row r="189" spans="7:8" x14ac:dyDescent="0.3">
      <c r="G189" s="322"/>
      <c r="H189" s="322"/>
    </row>
    <row r="190" spans="7:8" x14ac:dyDescent="0.3">
      <c r="G190" s="322"/>
      <c r="H190" s="322"/>
    </row>
    <row r="191" spans="7:8" x14ac:dyDescent="0.3">
      <c r="G191" s="322"/>
      <c r="H191" s="322"/>
    </row>
    <row r="192" spans="7:8" x14ac:dyDescent="0.3">
      <c r="G192" s="322"/>
      <c r="H192" s="322"/>
    </row>
    <row r="193" spans="7:8" x14ac:dyDescent="0.3">
      <c r="G193" s="322"/>
      <c r="H193" s="322"/>
    </row>
    <row r="194" spans="7:8" x14ac:dyDescent="0.3">
      <c r="G194" s="322"/>
      <c r="H194" s="322"/>
    </row>
    <row r="195" spans="7:8" x14ac:dyDescent="0.3">
      <c r="G195" s="322"/>
      <c r="H195" s="322"/>
    </row>
    <row r="196" spans="7:8" x14ac:dyDescent="0.3">
      <c r="G196" s="322"/>
      <c r="H196" s="322"/>
    </row>
    <row r="197" spans="7:8" x14ac:dyDescent="0.3">
      <c r="G197" s="322"/>
      <c r="H197" s="322"/>
    </row>
    <row r="198" spans="7:8" x14ac:dyDescent="0.3">
      <c r="G198" s="322"/>
      <c r="H198" s="322"/>
    </row>
    <row r="199" spans="7:8" x14ac:dyDescent="0.3">
      <c r="G199" s="322"/>
      <c r="H199" s="322"/>
    </row>
    <row r="200" spans="7:8" x14ac:dyDescent="0.3">
      <c r="G200" s="322"/>
      <c r="H200" s="322"/>
    </row>
    <row r="201" spans="7:8" x14ac:dyDescent="0.3">
      <c r="G201" s="322"/>
      <c r="H201" s="322"/>
    </row>
    <row r="202" spans="7:8" x14ac:dyDescent="0.3">
      <c r="G202" s="322"/>
      <c r="H202" s="322"/>
    </row>
    <row r="203" spans="7:8" x14ac:dyDescent="0.3">
      <c r="G203" s="322"/>
      <c r="H203" s="322"/>
    </row>
    <row r="204" spans="7:8" x14ac:dyDescent="0.3">
      <c r="G204" s="322"/>
      <c r="H204" s="322"/>
    </row>
    <row r="205" spans="7:8" x14ac:dyDescent="0.3">
      <c r="G205" s="322"/>
      <c r="H205" s="322"/>
    </row>
    <row r="206" spans="7:8" x14ac:dyDescent="0.3">
      <c r="G206" s="322"/>
      <c r="H206" s="322"/>
    </row>
    <row r="207" spans="7:8" x14ac:dyDescent="0.3">
      <c r="G207" s="322"/>
      <c r="H207" s="322"/>
    </row>
    <row r="208" spans="7:8" x14ac:dyDescent="0.3">
      <c r="G208" s="322"/>
      <c r="H208" s="322"/>
    </row>
    <row r="209" spans="7:8" x14ac:dyDescent="0.3">
      <c r="G209" s="322"/>
      <c r="H209" s="322"/>
    </row>
    <row r="210" spans="7:8" x14ac:dyDescent="0.3">
      <c r="G210" s="322"/>
      <c r="H210" s="322"/>
    </row>
    <row r="211" spans="7:8" x14ac:dyDescent="0.3">
      <c r="G211" s="322"/>
      <c r="H211" s="322"/>
    </row>
    <row r="212" spans="7:8" x14ac:dyDescent="0.3">
      <c r="G212" s="322"/>
      <c r="H212" s="322"/>
    </row>
    <row r="213" spans="7:8" x14ac:dyDescent="0.3">
      <c r="G213" s="322"/>
      <c r="H213" s="322"/>
    </row>
    <row r="214" spans="7:8" x14ac:dyDescent="0.3">
      <c r="G214" s="322"/>
      <c r="H214" s="322"/>
    </row>
    <row r="215" spans="7:8" x14ac:dyDescent="0.3">
      <c r="G215" s="322"/>
      <c r="H215" s="322"/>
    </row>
    <row r="216" spans="7:8" x14ac:dyDescent="0.3">
      <c r="G216" s="322"/>
      <c r="H216" s="322"/>
    </row>
    <row r="217" spans="7:8" x14ac:dyDescent="0.3">
      <c r="G217" s="322"/>
      <c r="H217" s="322"/>
    </row>
    <row r="218" spans="7:8" x14ac:dyDescent="0.3">
      <c r="G218" s="322"/>
      <c r="H218" s="322"/>
    </row>
    <row r="219" spans="7:8" x14ac:dyDescent="0.3">
      <c r="G219" s="322"/>
      <c r="H219" s="322"/>
    </row>
    <row r="220" spans="7:8" x14ac:dyDescent="0.3">
      <c r="G220" s="322"/>
      <c r="H220" s="322"/>
    </row>
    <row r="221" spans="7:8" x14ac:dyDescent="0.3">
      <c r="G221" s="322"/>
      <c r="H221" s="322"/>
    </row>
    <row r="222" spans="7:8" x14ac:dyDescent="0.3">
      <c r="G222" s="322"/>
      <c r="H222" s="322"/>
    </row>
    <row r="223" spans="7:8" x14ac:dyDescent="0.3">
      <c r="G223" s="322"/>
      <c r="H223" s="322"/>
    </row>
    <row r="224" spans="7:8" x14ac:dyDescent="0.3">
      <c r="G224" s="322"/>
      <c r="H224" s="322"/>
    </row>
    <row r="225" spans="7:8" x14ac:dyDescent="0.3">
      <c r="G225" s="322"/>
      <c r="H225" s="322"/>
    </row>
    <row r="226" spans="7:8" x14ac:dyDescent="0.3">
      <c r="G226" s="322"/>
      <c r="H226" s="322"/>
    </row>
    <row r="227" spans="7:8" x14ac:dyDescent="0.3">
      <c r="G227" s="322"/>
      <c r="H227" s="322"/>
    </row>
    <row r="228" spans="7:8" x14ac:dyDescent="0.3">
      <c r="G228" s="322"/>
      <c r="H228" s="322"/>
    </row>
    <row r="229" spans="7:8" x14ac:dyDescent="0.3">
      <c r="G229" s="322"/>
      <c r="H229" s="322"/>
    </row>
    <row r="230" spans="7:8" x14ac:dyDescent="0.3">
      <c r="G230" s="322"/>
      <c r="H230" s="322"/>
    </row>
    <row r="231" spans="7:8" x14ac:dyDescent="0.3">
      <c r="G231" s="322"/>
      <c r="H231" s="322"/>
    </row>
    <row r="232" spans="7:8" x14ac:dyDescent="0.3">
      <c r="G232" s="322"/>
      <c r="H232" s="322"/>
    </row>
    <row r="233" spans="7:8" x14ac:dyDescent="0.3">
      <c r="G233" s="322"/>
      <c r="H233" s="322"/>
    </row>
    <row r="234" spans="7:8" x14ac:dyDescent="0.3">
      <c r="G234" s="322"/>
      <c r="H234" s="322"/>
    </row>
    <row r="235" spans="7:8" x14ac:dyDescent="0.3">
      <c r="G235" s="322"/>
      <c r="H235" s="322"/>
    </row>
    <row r="236" spans="7:8" x14ac:dyDescent="0.3">
      <c r="G236" s="322"/>
      <c r="H236" s="322"/>
    </row>
    <row r="237" spans="7:8" x14ac:dyDescent="0.3">
      <c r="G237" s="322"/>
      <c r="H237" s="322"/>
    </row>
    <row r="238" spans="7:8" x14ac:dyDescent="0.3">
      <c r="G238" s="322"/>
      <c r="H238" s="322"/>
    </row>
    <row r="239" spans="7:8" x14ac:dyDescent="0.3">
      <c r="G239" s="322"/>
      <c r="H239" s="322"/>
    </row>
    <row r="240" spans="7:8" x14ac:dyDescent="0.3">
      <c r="G240" s="322"/>
      <c r="H240" s="322"/>
    </row>
    <row r="241" spans="7:8" x14ac:dyDescent="0.3">
      <c r="G241" s="322"/>
      <c r="H241" s="322"/>
    </row>
    <row r="242" spans="7:8" x14ac:dyDescent="0.3">
      <c r="G242" s="322"/>
      <c r="H242" s="322"/>
    </row>
    <row r="243" spans="7:8" x14ac:dyDescent="0.3">
      <c r="G243" s="322"/>
      <c r="H243" s="322"/>
    </row>
    <row r="244" spans="7:8" x14ac:dyDescent="0.3">
      <c r="G244" s="322"/>
      <c r="H244" s="322"/>
    </row>
    <row r="245" spans="7:8" x14ac:dyDescent="0.3">
      <c r="G245" s="322"/>
      <c r="H245" s="322"/>
    </row>
    <row r="246" spans="7:8" x14ac:dyDescent="0.3">
      <c r="G246" s="322"/>
      <c r="H246" s="322"/>
    </row>
    <row r="247" spans="7:8" x14ac:dyDescent="0.3">
      <c r="G247" s="322"/>
      <c r="H247" s="322"/>
    </row>
    <row r="248" spans="7:8" x14ac:dyDescent="0.3">
      <c r="G248" s="322"/>
      <c r="H248" s="322"/>
    </row>
    <row r="249" spans="7:8" x14ac:dyDescent="0.3">
      <c r="G249" s="322"/>
      <c r="H249" s="322"/>
    </row>
    <row r="250" spans="7:8" x14ac:dyDescent="0.3">
      <c r="G250" s="322"/>
      <c r="H250" s="322"/>
    </row>
    <row r="251" spans="7:8" x14ac:dyDescent="0.3">
      <c r="G251" s="322"/>
      <c r="H251" s="322"/>
    </row>
    <row r="252" spans="7:8" x14ac:dyDescent="0.3">
      <c r="G252" s="322"/>
      <c r="H252" s="322"/>
    </row>
    <row r="253" spans="7:8" x14ac:dyDescent="0.3">
      <c r="G253" s="322"/>
      <c r="H253" s="322"/>
    </row>
    <row r="254" spans="7:8" x14ac:dyDescent="0.3">
      <c r="G254" s="322"/>
      <c r="H254" s="322"/>
    </row>
    <row r="255" spans="7:8" x14ac:dyDescent="0.3">
      <c r="G255" s="322"/>
      <c r="H255" s="322"/>
    </row>
    <row r="256" spans="7:8" x14ac:dyDescent="0.3">
      <c r="G256" s="322"/>
      <c r="H256" s="322"/>
    </row>
    <row r="257" spans="7:8" x14ac:dyDescent="0.3">
      <c r="G257" s="322"/>
      <c r="H257" s="322"/>
    </row>
    <row r="258" spans="7:8" x14ac:dyDescent="0.3">
      <c r="G258" s="322"/>
      <c r="H258" s="322"/>
    </row>
    <row r="259" spans="7:8" x14ac:dyDescent="0.3">
      <c r="G259" s="322"/>
      <c r="H259" s="322"/>
    </row>
    <row r="260" spans="7:8" x14ac:dyDescent="0.3">
      <c r="G260" s="322"/>
      <c r="H260" s="322"/>
    </row>
    <row r="261" spans="7:8" x14ac:dyDescent="0.3">
      <c r="G261" s="322"/>
      <c r="H261" s="322"/>
    </row>
    <row r="262" spans="7:8" x14ac:dyDescent="0.3">
      <c r="G262" s="322"/>
      <c r="H262" s="322"/>
    </row>
    <row r="263" spans="7:8" x14ac:dyDescent="0.3">
      <c r="G263" s="322"/>
      <c r="H263" s="322"/>
    </row>
    <row r="264" spans="7:8" x14ac:dyDescent="0.3">
      <c r="G264" s="322"/>
      <c r="H264" s="322"/>
    </row>
    <row r="265" spans="7:8" x14ac:dyDescent="0.3">
      <c r="G265" s="322"/>
      <c r="H265" s="322"/>
    </row>
    <row r="266" spans="7:8" x14ac:dyDescent="0.3">
      <c r="G266" s="322"/>
      <c r="H266" s="322"/>
    </row>
    <row r="267" spans="7:8" x14ac:dyDescent="0.3">
      <c r="G267" s="322"/>
      <c r="H267" s="322"/>
    </row>
    <row r="268" spans="7:8" x14ac:dyDescent="0.3">
      <c r="G268" s="322"/>
      <c r="H268" s="322"/>
    </row>
    <row r="269" spans="7:8" x14ac:dyDescent="0.3">
      <c r="G269" s="322"/>
      <c r="H269" s="322"/>
    </row>
    <row r="270" spans="7:8" x14ac:dyDescent="0.3">
      <c r="G270" s="322"/>
      <c r="H270" s="322"/>
    </row>
    <row r="271" spans="7:8" x14ac:dyDescent="0.3">
      <c r="G271" s="322"/>
      <c r="H271" s="322"/>
    </row>
    <row r="272" spans="7:8" x14ac:dyDescent="0.3">
      <c r="G272" s="322"/>
      <c r="H272" s="322"/>
    </row>
    <row r="273" spans="7:8" x14ac:dyDescent="0.3">
      <c r="G273" s="322"/>
      <c r="H273" s="322"/>
    </row>
    <row r="274" spans="7:8" x14ac:dyDescent="0.3">
      <c r="G274" s="322"/>
      <c r="H274" s="322"/>
    </row>
    <row r="275" spans="7:8" x14ac:dyDescent="0.3">
      <c r="G275" s="322"/>
      <c r="H275" s="322"/>
    </row>
    <row r="276" spans="7:8" x14ac:dyDescent="0.3">
      <c r="G276" s="322"/>
      <c r="H276" s="322"/>
    </row>
    <row r="277" spans="7:8" x14ac:dyDescent="0.3">
      <c r="G277" s="322"/>
      <c r="H277" s="322"/>
    </row>
    <row r="278" spans="7:8" x14ac:dyDescent="0.3">
      <c r="G278" s="322"/>
      <c r="H278" s="322"/>
    </row>
    <row r="279" spans="7:8" x14ac:dyDescent="0.3">
      <c r="G279" s="322"/>
      <c r="H279" s="322"/>
    </row>
    <row r="280" spans="7:8" x14ac:dyDescent="0.3">
      <c r="G280" s="322"/>
      <c r="H280" s="322"/>
    </row>
    <row r="281" spans="7:8" x14ac:dyDescent="0.3">
      <c r="G281" s="322"/>
      <c r="H281" s="322"/>
    </row>
    <row r="282" spans="7:8" x14ac:dyDescent="0.3">
      <c r="G282" s="322"/>
      <c r="H282" s="322"/>
    </row>
    <row r="283" spans="7:8" x14ac:dyDescent="0.3">
      <c r="G283" s="322"/>
      <c r="H283" s="322"/>
    </row>
    <row r="284" spans="7:8" x14ac:dyDescent="0.3">
      <c r="G284" s="322"/>
      <c r="H284" s="322"/>
    </row>
    <row r="285" spans="7:8" x14ac:dyDescent="0.3">
      <c r="G285" s="322"/>
      <c r="H285" s="322"/>
    </row>
    <row r="286" spans="7:8" x14ac:dyDescent="0.3">
      <c r="G286" s="322"/>
      <c r="H286" s="322"/>
    </row>
    <row r="287" spans="7:8" x14ac:dyDescent="0.3">
      <c r="G287" s="322"/>
      <c r="H287" s="322"/>
    </row>
    <row r="288" spans="7:8" x14ac:dyDescent="0.3">
      <c r="G288" s="322"/>
      <c r="H288" s="322"/>
    </row>
    <row r="289" spans="7:8" x14ac:dyDescent="0.3">
      <c r="G289" s="322"/>
      <c r="H289" s="322"/>
    </row>
    <row r="290" spans="7:8" x14ac:dyDescent="0.3">
      <c r="G290" s="322"/>
      <c r="H290" s="322"/>
    </row>
    <row r="291" spans="7:8" x14ac:dyDescent="0.3">
      <c r="G291" s="322"/>
      <c r="H291" s="322"/>
    </row>
    <row r="292" spans="7:8" x14ac:dyDescent="0.3">
      <c r="G292" s="322"/>
      <c r="H292" s="322"/>
    </row>
    <row r="293" spans="7:8" x14ac:dyDescent="0.3">
      <c r="G293" s="322"/>
      <c r="H293" s="322"/>
    </row>
    <row r="294" spans="7:8" x14ac:dyDescent="0.3">
      <c r="G294" s="322"/>
      <c r="H294" s="322"/>
    </row>
    <row r="295" spans="7:8" x14ac:dyDescent="0.3">
      <c r="G295" s="322"/>
      <c r="H295" s="322"/>
    </row>
    <row r="296" spans="7:8" x14ac:dyDescent="0.3">
      <c r="G296" s="322"/>
      <c r="H296" s="322"/>
    </row>
    <row r="297" spans="7:8" x14ac:dyDescent="0.3">
      <c r="G297" s="322"/>
      <c r="H297" s="322"/>
    </row>
    <row r="298" spans="7:8" x14ac:dyDescent="0.3">
      <c r="G298" s="322"/>
      <c r="H298" s="322"/>
    </row>
    <row r="299" spans="7:8" x14ac:dyDescent="0.3">
      <c r="G299" s="322"/>
      <c r="H299" s="322"/>
    </row>
    <row r="300" spans="7:8" x14ac:dyDescent="0.3">
      <c r="G300" s="322"/>
      <c r="H300" s="322"/>
    </row>
    <row r="301" spans="7:8" x14ac:dyDescent="0.3">
      <c r="G301" s="322"/>
      <c r="H301" s="322"/>
    </row>
    <row r="302" spans="7:8" x14ac:dyDescent="0.3">
      <c r="G302" s="322"/>
      <c r="H302" s="322"/>
    </row>
    <row r="303" spans="7:8" x14ac:dyDescent="0.3">
      <c r="G303" s="322"/>
      <c r="H303" s="322"/>
    </row>
    <row r="304" spans="7:8" x14ac:dyDescent="0.3">
      <c r="G304" s="322"/>
      <c r="H304" s="322"/>
    </row>
    <row r="305" spans="7:8" x14ac:dyDescent="0.3">
      <c r="G305" s="322"/>
      <c r="H305" s="322"/>
    </row>
    <row r="306" spans="7:8" x14ac:dyDescent="0.3">
      <c r="G306" s="322"/>
      <c r="H306" s="322"/>
    </row>
    <row r="307" spans="7:8" x14ac:dyDescent="0.3">
      <c r="G307" s="322"/>
      <c r="H307" s="322"/>
    </row>
    <row r="308" spans="7:8" x14ac:dyDescent="0.3">
      <c r="G308" s="322"/>
      <c r="H308" s="322"/>
    </row>
    <row r="309" spans="7:8" x14ac:dyDescent="0.3">
      <c r="G309" s="322"/>
      <c r="H309" s="322"/>
    </row>
    <row r="310" spans="7:8" x14ac:dyDescent="0.3">
      <c r="G310" s="322"/>
      <c r="H310" s="322"/>
    </row>
    <row r="311" spans="7:8" x14ac:dyDescent="0.3">
      <c r="G311" s="322"/>
      <c r="H311" s="322"/>
    </row>
    <row r="312" spans="7:8" x14ac:dyDescent="0.3">
      <c r="G312" s="322"/>
      <c r="H312" s="322"/>
    </row>
    <row r="313" spans="7:8" x14ac:dyDescent="0.3">
      <c r="G313" s="322"/>
      <c r="H313" s="322"/>
    </row>
    <row r="314" spans="7:8" x14ac:dyDescent="0.3">
      <c r="G314" s="322"/>
      <c r="H314" s="322"/>
    </row>
    <row r="315" spans="7:8" x14ac:dyDescent="0.3">
      <c r="G315" s="322"/>
      <c r="H315" s="322"/>
    </row>
    <row r="316" spans="7:8" x14ac:dyDescent="0.3">
      <c r="G316" s="322"/>
      <c r="H316" s="322"/>
    </row>
    <row r="317" spans="7:8" x14ac:dyDescent="0.3">
      <c r="G317" s="322"/>
      <c r="H317" s="322"/>
    </row>
    <row r="318" spans="7:8" x14ac:dyDescent="0.3">
      <c r="G318" s="322"/>
      <c r="H318" s="322"/>
    </row>
    <row r="319" spans="7:8" x14ac:dyDescent="0.3">
      <c r="G319" s="322"/>
      <c r="H319" s="322"/>
    </row>
    <row r="320" spans="7:8" x14ac:dyDescent="0.3">
      <c r="G320" s="322"/>
      <c r="H320" s="322"/>
    </row>
    <row r="321" spans="7:8" x14ac:dyDescent="0.3">
      <c r="G321" s="322"/>
      <c r="H321" s="322"/>
    </row>
    <row r="322" spans="7:8" x14ac:dyDescent="0.3">
      <c r="G322" s="322"/>
      <c r="H322" s="322"/>
    </row>
    <row r="323" spans="7:8" x14ac:dyDescent="0.3">
      <c r="G323" s="322"/>
      <c r="H323" s="322"/>
    </row>
    <row r="324" spans="7:8" x14ac:dyDescent="0.3">
      <c r="G324" s="322"/>
      <c r="H324" s="322"/>
    </row>
    <row r="325" spans="7:8" x14ac:dyDescent="0.3">
      <c r="G325" s="322"/>
      <c r="H325" s="322"/>
    </row>
    <row r="326" spans="7:8" x14ac:dyDescent="0.3">
      <c r="G326" s="322"/>
      <c r="H326" s="322"/>
    </row>
    <row r="327" spans="7:8" x14ac:dyDescent="0.3">
      <c r="G327" s="322"/>
      <c r="H327" s="322"/>
    </row>
    <row r="328" spans="7:8" x14ac:dyDescent="0.3">
      <c r="G328" s="322"/>
      <c r="H328" s="322"/>
    </row>
    <row r="329" spans="7:8" x14ac:dyDescent="0.3">
      <c r="G329" s="322"/>
      <c r="H329" s="322"/>
    </row>
    <row r="330" spans="7:8" x14ac:dyDescent="0.3">
      <c r="G330" s="322"/>
      <c r="H330" s="322"/>
    </row>
    <row r="331" spans="7:8" x14ac:dyDescent="0.3">
      <c r="G331" s="322"/>
      <c r="H331" s="322"/>
    </row>
    <row r="332" spans="7:8" x14ac:dyDescent="0.3">
      <c r="G332" s="322"/>
      <c r="H332" s="322"/>
    </row>
    <row r="333" spans="7:8" x14ac:dyDescent="0.3">
      <c r="G333" s="322"/>
      <c r="H333" s="322"/>
    </row>
    <row r="334" spans="7:8" x14ac:dyDescent="0.3">
      <c r="G334" s="322"/>
      <c r="H334" s="322"/>
    </row>
    <row r="335" spans="7:8" x14ac:dyDescent="0.3">
      <c r="G335" s="322"/>
      <c r="H335" s="322"/>
    </row>
    <row r="336" spans="7:8" x14ac:dyDescent="0.3">
      <c r="G336" s="322"/>
      <c r="H336" s="322"/>
    </row>
    <row r="337" spans="7:8" x14ac:dyDescent="0.3">
      <c r="G337" s="322"/>
      <c r="H337" s="322"/>
    </row>
    <row r="338" spans="7:8" x14ac:dyDescent="0.3">
      <c r="G338" s="322"/>
      <c r="H338" s="322"/>
    </row>
    <row r="339" spans="7:8" x14ac:dyDescent="0.3">
      <c r="G339" s="322"/>
      <c r="H339" s="322"/>
    </row>
    <row r="340" spans="7:8" x14ac:dyDescent="0.3">
      <c r="G340" s="322"/>
      <c r="H340" s="322"/>
    </row>
    <row r="341" spans="7:8" x14ac:dyDescent="0.3">
      <c r="G341" s="322"/>
      <c r="H341" s="322"/>
    </row>
    <row r="342" spans="7:8" x14ac:dyDescent="0.3">
      <c r="G342" s="322"/>
      <c r="H342" s="322"/>
    </row>
    <row r="343" spans="7:8" x14ac:dyDescent="0.3">
      <c r="G343" s="322"/>
      <c r="H343" s="322"/>
    </row>
    <row r="344" spans="7:8" x14ac:dyDescent="0.3">
      <c r="G344" s="322"/>
      <c r="H344" s="322"/>
    </row>
    <row r="345" spans="7:8" x14ac:dyDescent="0.3">
      <c r="G345" s="322"/>
      <c r="H345" s="322"/>
    </row>
    <row r="346" spans="7:8" x14ac:dyDescent="0.3">
      <c r="G346" s="322"/>
      <c r="H346" s="322"/>
    </row>
    <row r="347" spans="7:8" x14ac:dyDescent="0.3">
      <c r="G347" s="322"/>
      <c r="H347" s="322"/>
    </row>
    <row r="348" spans="7:8" x14ac:dyDescent="0.3">
      <c r="G348" s="322"/>
      <c r="H348" s="322"/>
    </row>
    <row r="349" spans="7:8" x14ac:dyDescent="0.3">
      <c r="G349" s="322"/>
      <c r="H349" s="322"/>
    </row>
    <row r="350" spans="7:8" x14ac:dyDescent="0.3">
      <c r="G350" s="322"/>
      <c r="H350" s="322"/>
    </row>
    <row r="351" spans="7:8" x14ac:dyDescent="0.3">
      <c r="G351" s="322"/>
      <c r="H351" s="322"/>
    </row>
    <row r="352" spans="7:8" x14ac:dyDescent="0.3">
      <c r="G352" s="322"/>
      <c r="H352" s="322"/>
    </row>
    <row r="353" spans="7:8" x14ac:dyDescent="0.3">
      <c r="G353" s="322"/>
      <c r="H353" s="322"/>
    </row>
    <row r="354" spans="7:8" x14ac:dyDescent="0.3">
      <c r="G354" s="322"/>
      <c r="H354" s="322"/>
    </row>
    <row r="355" spans="7:8" x14ac:dyDescent="0.3">
      <c r="G355" s="322"/>
      <c r="H355" s="322"/>
    </row>
    <row r="356" spans="7:8" x14ac:dyDescent="0.3">
      <c r="G356" s="322"/>
      <c r="H356" s="322"/>
    </row>
    <row r="357" spans="7:8" x14ac:dyDescent="0.3">
      <c r="G357" s="322"/>
      <c r="H357" s="322"/>
    </row>
    <row r="358" spans="7:8" x14ac:dyDescent="0.3">
      <c r="G358" s="322"/>
      <c r="H358" s="322"/>
    </row>
    <row r="359" spans="7:8" x14ac:dyDescent="0.3">
      <c r="G359" s="322"/>
      <c r="H359" s="322"/>
    </row>
    <row r="360" spans="7:8" x14ac:dyDescent="0.3">
      <c r="G360" s="322"/>
      <c r="H360" s="322"/>
    </row>
    <row r="361" spans="7:8" x14ac:dyDescent="0.3">
      <c r="G361" s="322"/>
      <c r="H361" s="322"/>
    </row>
    <row r="362" spans="7:8" x14ac:dyDescent="0.3">
      <c r="G362" s="322"/>
      <c r="H362" s="322"/>
    </row>
    <row r="363" spans="7:8" x14ac:dyDescent="0.3">
      <c r="G363" s="322"/>
      <c r="H363" s="322"/>
    </row>
    <row r="364" spans="7:8" x14ac:dyDescent="0.3">
      <c r="G364" s="322"/>
      <c r="H364" s="322"/>
    </row>
    <row r="365" spans="7:8" x14ac:dyDescent="0.3">
      <c r="G365" s="322"/>
      <c r="H365" s="322"/>
    </row>
    <row r="366" spans="7:8" x14ac:dyDescent="0.3">
      <c r="G366" s="322"/>
      <c r="H366" s="322"/>
    </row>
    <row r="367" spans="7:8" x14ac:dyDescent="0.3">
      <c r="G367" s="322"/>
      <c r="H367" s="322"/>
    </row>
    <row r="368" spans="7:8" x14ac:dyDescent="0.3">
      <c r="G368" s="322"/>
      <c r="H368" s="322"/>
    </row>
    <row r="369" spans="7:8" x14ac:dyDescent="0.3">
      <c r="G369" s="322"/>
      <c r="H369" s="322"/>
    </row>
    <row r="370" spans="7:8" x14ac:dyDescent="0.3">
      <c r="G370" s="322"/>
      <c r="H370" s="322"/>
    </row>
    <row r="371" spans="7:8" x14ac:dyDescent="0.3">
      <c r="G371" s="322"/>
      <c r="H371" s="322"/>
    </row>
    <row r="372" spans="7:8" x14ac:dyDescent="0.3">
      <c r="G372" s="322"/>
      <c r="H372" s="322"/>
    </row>
    <row r="373" spans="7:8" x14ac:dyDescent="0.3">
      <c r="G373" s="322"/>
      <c r="H373" s="322"/>
    </row>
    <row r="374" spans="7:8" x14ac:dyDescent="0.3">
      <c r="G374" s="322"/>
      <c r="H374" s="322"/>
    </row>
    <row r="375" spans="7:8" x14ac:dyDescent="0.3">
      <c r="G375" s="322"/>
      <c r="H375" s="322"/>
    </row>
    <row r="376" spans="7:8" x14ac:dyDescent="0.3">
      <c r="G376" s="322"/>
      <c r="H376" s="322"/>
    </row>
    <row r="377" spans="7:8" x14ac:dyDescent="0.3">
      <c r="G377" s="322"/>
      <c r="H377" s="322"/>
    </row>
    <row r="378" spans="7:8" x14ac:dyDescent="0.3">
      <c r="G378" s="322"/>
      <c r="H378" s="322"/>
    </row>
    <row r="379" spans="7:8" x14ac:dyDescent="0.3">
      <c r="G379" s="322"/>
      <c r="H379" s="322"/>
    </row>
    <row r="380" spans="7:8" x14ac:dyDescent="0.3">
      <c r="G380" s="322"/>
      <c r="H380" s="322"/>
    </row>
    <row r="381" spans="7:8" x14ac:dyDescent="0.3">
      <c r="G381" s="322"/>
      <c r="H381" s="322"/>
    </row>
    <row r="382" spans="7:8" x14ac:dyDescent="0.3">
      <c r="G382" s="322"/>
      <c r="H382" s="322"/>
    </row>
    <row r="383" spans="7:8" x14ac:dyDescent="0.3">
      <c r="G383" s="322"/>
      <c r="H383" s="322"/>
    </row>
    <row r="384" spans="7:8" x14ac:dyDescent="0.3">
      <c r="G384" s="322"/>
      <c r="H384" s="322"/>
    </row>
    <row r="385" spans="7:8" x14ac:dyDescent="0.3">
      <c r="G385" s="322"/>
      <c r="H385" s="322"/>
    </row>
    <row r="386" spans="7:8" x14ac:dyDescent="0.3">
      <c r="G386" s="322"/>
      <c r="H386" s="322"/>
    </row>
    <row r="387" spans="7:8" x14ac:dyDescent="0.3">
      <c r="G387" s="322"/>
      <c r="H387" s="322"/>
    </row>
    <row r="388" spans="7:8" x14ac:dyDescent="0.3">
      <c r="G388" s="322"/>
      <c r="H388" s="322"/>
    </row>
    <row r="389" spans="7:8" x14ac:dyDescent="0.3">
      <c r="G389" s="322"/>
      <c r="H389" s="322"/>
    </row>
    <row r="390" spans="7:8" x14ac:dyDescent="0.3">
      <c r="G390" s="322"/>
      <c r="H390" s="322"/>
    </row>
    <row r="391" spans="7:8" x14ac:dyDescent="0.3">
      <c r="G391" s="322"/>
      <c r="H391" s="322"/>
    </row>
    <row r="392" spans="7:8" x14ac:dyDescent="0.3">
      <c r="G392" s="322"/>
      <c r="H392" s="322"/>
    </row>
    <row r="393" spans="7:8" x14ac:dyDescent="0.3">
      <c r="G393" s="322"/>
      <c r="H393" s="322"/>
    </row>
    <row r="394" spans="7:8" x14ac:dyDescent="0.3">
      <c r="G394" s="322"/>
      <c r="H394" s="322"/>
    </row>
    <row r="395" spans="7:8" x14ac:dyDescent="0.3">
      <c r="G395" s="322"/>
      <c r="H395" s="322"/>
    </row>
    <row r="396" spans="7:8" x14ac:dyDescent="0.3">
      <c r="G396" s="322"/>
      <c r="H396" s="322"/>
    </row>
    <row r="397" spans="7:8" x14ac:dyDescent="0.3">
      <c r="G397" s="322"/>
      <c r="H397" s="322"/>
    </row>
    <row r="398" spans="7:8" x14ac:dyDescent="0.3">
      <c r="G398" s="322"/>
      <c r="H398" s="322"/>
    </row>
    <row r="399" spans="7:8" x14ac:dyDescent="0.3">
      <c r="G399" s="322"/>
      <c r="H399" s="322"/>
    </row>
    <row r="400" spans="7:8" x14ac:dyDescent="0.3">
      <c r="G400" s="322"/>
      <c r="H400" s="322"/>
    </row>
    <row r="401" spans="7:8" x14ac:dyDescent="0.3">
      <c r="G401" s="322"/>
      <c r="H401" s="322"/>
    </row>
    <row r="402" spans="7:8" x14ac:dyDescent="0.3">
      <c r="G402" s="322"/>
      <c r="H402" s="322"/>
    </row>
    <row r="403" spans="7:8" x14ac:dyDescent="0.3">
      <c r="G403" s="322"/>
      <c r="H403" s="322"/>
    </row>
    <row r="404" spans="7:8" x14ac:dyDescent="0.3">
      <c r="G404" s="322"/>
      <c r="H404" s="322"/>
    </row>
    <row r="405" spans="7:8" x14ac:dyDescent="0.3">
      <c r="G405" s="322"/>
      <c r="H405" s="322"/>
    </row>
    <row r="406" spans="7:8" x14ac:dyDescent="0.3">
      <c r="G406" s="322"/>
      <c r="H406" s="322"/>
    </row>
    <row r="407" spans="7:8" x14ac:dyDescent="0.3">
      <c r="G407" s="322"/>
      <c r="H407" s="322"/>
    </row>
    <row r="408" spans="7:8" x14ac:dyDescent="0.3">
      <c r="G408" s="322"/>
      <c r="H408" s="322"/>
    </row>
    <row r="409" spans="7:8" x14ac:dyDescent="0.3">
      <c r="G409" s="322"/>
      <c r="H409" s="322"/>
    </row>
    <row r="410" spans="7:8" x14ac:dyDescent="0.3">
      <c r="G410" s="322"/>
      <c r="H410" s="322"/>
    </row>
    <row r="411" spans="7:8" x14ac:dyDescent="0.3">
      <c r="G411" s="322"/>
      <c r="H411" s="322"/>
    </row>
    <row r="412" spans="7:8" x14ac:dyDescent="0.3">
      <c r="G412" s="322"/>
      <c r="H412" s="322"/>
    </row>
    <row r="413" spans="7:8" x14ac:dyDescent="0.3">
      <c r="G413" s="322"/>
      <c r="H413" s="322"/>
    </row>
    <row r="414" spans="7:8" x14ac:dyDescent="0.3">
      <c r="G414" s="322"/>
      <c r="H414" s="322"/>
    </row>
    <row r="415" spans="7:8" x14ac:dyDescent="0.3">
      <c r="G415" s="322"/>
      <c r="H415" s="322"/>
    </row>
    <row r="416" spans="7:8" x14ac:dyDescent="0.3">
      <c r="G416" s="322"/>
      <c r="H416" s="322"/>
    </row>
    <row r="417" spans="7:8" x14ac:dyDescent="0.3">
      <c r="G417" s="322"/>
      <c r="H417" s="322"/>
    </row>
    <row r="418" spans="7:8" x14ac:dyDescent="0.3">
      <c r="G418" s="322"/>
      <c r="H418" s="322"/>
    </row>
    <row r="419" spans="7:8" x14ac:dyDescent="0.3">
      <c r="G419" s="322"/>
      <c r="H419" s="322"/>
    </row>
    <row r="420" spans="7:8" x14ac:dyDescent="0.3">
      <c r="G420" s="322"/>
      <c r="H420" s="322"/>
    </row>
    <row r="421" spans="7:8" x14ac:dyDescent="0.3">
      <c r="G421" s="322"/>
      <c r="H421" s="322"/>
    </row>
    <row r="422" spans="7:8" x14ac:dyDescent="0.3">
      <c r="G422" s="322"/>
      <c r="H422" s="322"/>
    </row>
    <row r="423" spans="7:8" x14ac:dyDescent="0.3">
      <c r="G423" s="322"/>
      <c r="H423" s="322"/>
    </row>
    <row r="424" spans="7:8" x14ac:dyDescent="0.3">
      <c r="G424" s="322"/>
      <c r="H424" s="322"/>
    </row>
    <row r="425" spans="7:8" x14ac:dyDescent="0.3">
      <c r="G425" s="322"/>
      <c r="H425" s="322"/>
    </row>
    <row r="426" spans="7:8" x14ac:dyDescent="0.3">
      <c r="G426" s="322"/>
      <c r="H426" s="322"/>
    </row>
    <row r="427" spans="7:8" x14ac:dyDescent="0.3">
      <c r="G427" s="322"/>
      <c r="H427" s="322"/>
    </row>
    <row r="428" spans="7:8" x14ac:dyDescent="0.3">
      <c r="G428" s="322"/>
      <c r="H428" s="322"/>
    </row>
    <row r="429" spans="7:8" x14ac:dyDescent="0.3">
      <c r="G429" s="322"/>
      <c r="H429" s="322"/>
    </row>
    <row r="430" spans="7:8" x14ac:dyDescent="0.3">
      <c r="G430" s="322"/>
      <c r="H430" s="322"/>
    </row>
    <row r="431" spans="7:8" x14ac:dyDescent="0.3">
      <c r="G431" s="322"/>
      <c r="H431" s="322"/>
    </row>
    <row r="432" spans="7:8" x14ac:dyDescent="0.3">
      <c r="G432" s="322"/>
      <c r="H432" s="322"/>
    </row>
    <row r="433" spans="7:8" x14ac:dyDescent="0.3">
      <c r="G433" s="322"/>
      <c r="H433" s="322"/>
    </row>
    <row r="434" spans="7:8" x14ac:dyDescent="0.3">
      <c r="G434" s="322"/>
      <c r="H434" s="322"/>
    </row>
    <row r="435" spans="7:8" x14ac:dyDescent="0.3">
      <c r="G435" s="322"/>
      <c r="H435" s="322"/>
    </row>
    <row r="436" spans="7:8" x14ac:dyDescent="0.3">
      <c r="G436" s="322"/>
      <c r="H436" s="322"/>
    </row>
    <row r="437" spans="7:8" x14ac:dyDescent="0.3">
      <c r="G437" s="322"/>
      <c r="H437" s="322"/>
    </row>
    <row r="438" spans="7:8" x14ac:dyDescent="0.3">
      <c r="G438" s="322"/>
      <c r="H438" s="322"/>
    </row>
    <row r="439" spans="7:8" x14ac:dyDescent="0.3">
      <c r="G439" s="322"/>
      <c r="H439" s="322"/>
    </row>
    <row r="440" spans="7:8" x14ac:dyDescent="0.3">
      <c r="G440" s="322"/>
      <c r="H440" s="322"/>
    </row>
    <row r="441" spans="7:8" x14ac:dyDescent="0.3">
      <c r="G441" s="322"/>
      <c r="H441" s="322"/>
    </row>
    <row r="442" spans="7:8" x14ac:dyDescent="0.3">
      <c r="G442" s="322"/>
      <c r="H442" s="322"/>
    </row>
    <row r="443" spans="7:8" x14ac:dyDescent="0.3">
      <c r="G443" s="322"/>
      <c r="H443" s="322"/>
    </row>
    <row r="444" spans="7:8" x14ac:dyDescent="0.3">
      <c r="G444" s="322"/>
      <c r="H444" s="322"/>
    </row>
    <row r="445" spans="7:8" x14ac:dyDescent="0.3">
      <c r="G445" s="322"/>
      <c r="H445" s="322"/>
    </row>
    <row r="446" spans="7:8" x14ac:dyDescent="0.3">
      <c r="G446" s="322"/>
      <c r="H446" s="322"/>
    </row>
    <row r="447" spans="7:8" x14ac:dyDescent="0.3">
      <c r="G447" s="322"/>
      <c r="H447" s="322"/>
    </row>
    <row r="448" spans="7:8" x14ac:dyDescent="0.3">
      <c r="G448" s="322"/>
      <c r="H448" s="322"/>
    </row>
    <row r="449" spans="7:8" x14ac:dyDescent="0.3">
      <c r="G449" s="322"/>
      <c r="H449" s="322"/>
    </row>
    <row r="450" spans="7:8" x14ac:dyDescent="0.3">
      <c r="G450" s="322"/>
      <c r="H450" s="322"/>
    </row>
    <row r="451" spans="7:8" x14ac:dyDescent="0.3">
      <c r="G451" s="322"/>
      <c r="H451" s="322"/>
    </row>
    <row r="452" spans="7:8" x14ac:dyDescent="0.3">
      <c r="G452" s="322"/>
      <c r="H452" s="322"/>
    </row>
    <row r="453" spans="7:8" x14ac:dyDescent="0.3">
      <c r="G453" s="322"/>
      <c r="H453" s="322"/>
    </row>
    <row r="454" spans="7:8" x14ac:dyDescent="0.3">
      <c r="G454" s="322"/>
      <c r="H454" s="322"/>
    </row>
    <row r="455" spans="7:8" x14ac:dyDescent="0.3">
      <c r="G455" s="322"/>
      <c r="H455" s="322"/>
    </row>
    <row r="456" spans="7:8" x14ac:dyDescent="0.3">
      <c r="G456" s="322"/>
      <c r="H456" s="322"/>
    </row>
    <row r="457" spans="7:8" x14ac:dyDescent="0.3">
      <c r="G457" s="322"/>
      <c r="H457" s="322"/>
    </row>
    <row r="458" spans="7:8" x14ac:dyDescent="0.3">
      <c r="G458" s="322"/>
      <c r="H458" s="322"/>
    </row>
    <row r="459" spans="7:8" x14ac:dyDescent="0.3">
      <c r="G459" s="322"/>
      <c r="H459" s="322"/>
    </row>
    <row r="460" spans="7:8" x14ac:dyDescent="0.3">
      <c r="G460" s="322"/>
      <c r="H460" s="322"/>
    </row>
    <row r="461" spans="7:8" x14ac:dyDescent="0.3">
      <c r="G461" s="322"/>
      <c r="H461" s="322"/>
    </row>
    <row r="462" spans="7:8" x14ac:dyDescent="0.3">
      <c r="G462" s="322"/>
      <c r="H462" s="322"/>
    </row>
    <row r="463" spans="7:8" x14ac:dyDescent="0.3">
      <c r="G463" s="322"/>
      <c r="H463" s="322"/>
    </row>
    <row r="464" spans="7:8" x14ac:dyDescent="0.3">
      <c r="G464" s="322"/>
      <c r="H464" s="322"/>
    </row>
    <row r="465" spans="7:8" x14ac:dyDescent="0.3">
      <c r="G465" s="322"/>
      <c r="H465" s="322"/>
    </row>
    <row r="466" spans="7:8" x14ac:dyDescent="0.3">
      <c r="G466" s="322"/>
      <c r="H466" s="322"/>
    </row>
    <row r="467" spans="7:8" x14ac:dyDescent="0.3">
      <c r="G467" s="322"/>
      <c r="H467" s="322"/>
    </row>
    <row r="468" spans="7:8" x14ac:dyDescent="0.3">
      <c r="G468" s="322"/>
      <c r="H468" s="322"/>
    </row>
    <row r="469" spans="7:8" x14ac:dyDescent="0.3">
      <c r="G469" s="322"/>
      <c r="H469" s="322"/>
    </row>
    <row r="470" spans="7:8" x14ac:dyDescent="0.3">
      <c r="G470" s="322"/>
      <c r="H470" s="322"/>
    </row>
    <row r="471" spans="7:8" x14ac:dyDescent="0.3">
      <c r="G471" s="322"/>
      <c r="H471" s="322"/>
    </row>
    <row r="472" spans="7:8" x14ac:dyDescent="0.3">
      <c r="G472" s="322"/>
      <c r="H472" s="322"/>
    </row>
    <row r="473" spans="7:8" x14ac:dyDescent="0.3">
      <c r="G473" s="322"/>
      <c r="H473" s="322"/>
    </row>
    <row r="474" spans="7:8" x14ac:dyDescent="0.3">
      <c r="G474" s="322"/>
      <c r="H474" s="322"/>
    </row>
    <row r="475" spans="7:8" x14ac:dyDescent="0.3">
      <c r="G475" s="322"/>
      <c r="H475" s="322"/>
    </row>
    <row r="476" spans="7:8" x14ac:dyDescent="0.3">
      <c r="G476" s="322"/>
      <c r="H476" s="322"/>
    </row>
    <row r="477" spans="7:8" x14ac:dyDescent="0.3">
      <c r="G477" s="322"/>
      <c r="H477" s="322"/>
    </row>
    <row r="478" spans="7:8" x14ac:dyDescent="0.3">
      <c r="G478" s="322"/>
      <c r="H478" s="322"/>
    </row>
    <row r="479" spans="7:8" x14ac:dyDescent="0.3">
      <c r="G479" s="322"/>
      <c r="H479" s="322"/>
    </row>
    <row r="480" spans="7:8" x14ac:dyDescent="0.3">
      <c r="G480" s="322"/>
      <c r="H480" s="322"/>
    </row>
    <row r="481" spans="7:8" x14ac:dyDescent="0.3">
      <c r="G481" s="322"/>
      <c r="H481" s="322"/>
    </row>
    <row r="482" spans="7:8" x14ac:dyDescent="0.3">
      <c r="G482" s="322"/>
      <c r="H482" s="322"/>
    </row>
    <row r="483" spans="7:8" x14ac:dyDescent="0.3">
      <c r="G483" s="322"/>
      <c r="H483" s="322"/>
    </row>
    <row r="484" spans="7:8" x14ac:dyDescent="0.3">
      <c r="G484" s="322"/>
      <c r="H484" s="322"/>
    </row>
    <row r="485" spans="7:8" x14ac:dyDescent="0.3">
      <c r="G485" s="322"/>
      <c r="H485" s="322"/>
    </row>
    <row r="486" spans="7:8" x14ac:dyDescent="0.3">
      <c r="G486" s="322"/>
      <c r="H486" s="322"/>
    </row>
    <row r="487" spans="7:8" x14ac:dyDescent="0.3">
      <c r="G487" s="322"/>
      <c r="H487" s="322"/>
    </row>
    <row r="488" spans="7:8" x14ac:dyDescent="0.3">
      <c r="G488" s="322"/>
      <c r="H488" s="322"/>
    </row>
    <row r="489" spans="7:8" x14ac:dyDescent="0.3">
      <c r="G489" s="322"/>
      <c r="H489" s="322"/>
    </row>
    <row r="490" spans="7:8" x14ac:dyDescent="0.3">
      <c r="G490" s="322"/>
      <c r="H490" s="322"/>
    </row>
    <row r="491" spans="7:8" x14ac:dyDescent="0.3">
      <c r="G491" s="322"/>
      <c r="H491" s="322"/>
    </row>
    <row r="492" spans="7:8" x14ac:dyDescent="0.3">
      <c r="G492" s="322"/>
      <c r="H492" s="322"/>
    </row>
    <row r="493" spans="7:8" x14ac:dyDescent="0.3">
      <c r="G493" s="322"/>
      <c r="H493" s="322"/>
    </row>
    <row r="494" spans="7:8" x14ac:dyDescent="0.3">
      <c r="G494" s="322"/>
      <c r="H494" s="322"/>
    </row>
    <row r="495" spans="7:8" x14ac:dyDescent="0.3">
      <c r="G495" s="322"/>
      <c r="H495" s="322"/>
    </row>
    <row r="496" spans="7:8" x14ac:dyDescent="0.3">
      <c r="G496" s="322"/>
      <c r="H496" s="322"/>
    </row>
    <row r="497" spans="7:8" x14ac:dyDescent="0.3">
      <c r="G497" s="322"/>
      <c r="H497" s="322"/>
    </row>
    <row r="498" spans="7:8" x14ac:dyDescent="0.3">
      <c r="G498" s="322"/>
      <c r="H498" s="322"/>
    </row>
    <row r="499" spans="7:8" x14ac:dyDescent="0.3">
      <c r="G499" s="322"/>
      <c r="H499" s="322"/>
    </row>
    <row r="500" spans="7:8" x14ac:dyDescent="0.3">
      <c r="G500" s="322"/>
      <c r="H500" s="322"/>
    </row>
    <row r="501" spans="7:8" x14ac:dyDescent="0.3">
      <c r="G501" s="322"/>
      <c r="H501" s="322"/>
    </row>
    <row r="502" spans="7:8" x14ac:dyDescent="0.3">
      <c r="G502" s="322"/>
      <c r="H502" s="322"/>
    </row>
    <row r="503" spans="7:8" x14ac:dyDescent="0.3">
      <c r="G503" s="322"/>
      <c r="H503" s="322"/>
    </row>
    <row r="504" spans="7:8" x14ac:dyDescent="0.3">
      <c r="G504" s="322"/>
      <c r="H504" s="322"/>
    </row>
    <row r="505" spans="7:8" x14ac:dyDescent="0.3">
      <c r="G505" s="322"/>
      <c r="H505" s="322"/>
    </row>
    <row r="506" spans="7:8" x14ac:dyDescent="0.3">
      <c r="G506" s="322"/>
      <c r="H506" s="322"/>
    </row>
    <row r="507" spans="7:8" x14ac:dyDescent="0.3">
      <c r="G507" s="322"/>
      <c r="H507" s="322"/>
    </row>
    <row r="508" spans="7:8" x14ac:dyDescent="0.3">
      <c r="G508" s="322"/>
      <c r="H508" s="322"/>
    </row>
    <row r="509" spans="7:8" x14ac:dyDescent="0.3">
      <c r="G509" s="322"/>
      <c r="H509" s="322"/>
    </row>
    <row r="510" spans="7:8" x14ac:dyDescent="0.3">
      <c r="G510" s="322"/>
      <c r="H510" s="322"/>
    </row>
    <row r="511" spans="7:8" x14ac:dyDescent="0.3">
      <c r="G511" s="322"/>
      <c r="H511" s="322"/>
    </row>
    <row r="512" spans="7:8" x14ac:dyDescent="0.3">
      <c r="G512" s="322"/>
      <c r="H512" s="322"/>
    </row>
    <row r="513" spans="7:8" x14ac:dyDescent="0.3">
      <c r="G513" s="322"/>
      <c r="H513" s="322"/>
    </row>
    <row r="514" spans="7:8" x14ac:dyDescent="0.3">
      <c r="G514" s="322"/>
      <c r="H514" s="322"/>
    </row>
    <row r="515" spans="7:8" x14ac:dyDescent="0.3">
      <c r="G515" s="322"/>
      <c r="H515" s="322"/>
    </row>
    <row r="516" spans="7:8" x14ac:dyDescent="0.3">
      <c r="G516" s="322"/>
      <c r="H516" s="322"/>
    </row>
    <row r="517" spans="7:8" x14ac:dyDescent="0.3">
      <c r="G517" s="322"/>
      <c r="H517" s="322"/>
    </row>
    <row r="518" spans="7:8" x14ac:dyDescent="0.3">
      <c r="G518" s="322"/>
      <c r="H518" s="322"/>
    </row>
    <row r="519" spans="7:8" x14ac:dyDescent="0.3">
      <c r="G519" s="322"/>
      <c r="H519" s="322"/>
    </row>
    <row r="520" spans="7:8" x14ac:dyDescent="0.3">
      <c r="G520" s="322"/>
      <c r="H520" s="322"/>
    </row>
    <row r="521" spans="7:8" x14ac:dyDescent="0.3">
      <c r="G521" s="322"/>
      <c r="H521" s="322"/>
    </row>
    <row r="522" spans="7:8" x14ac:dyDescent="0.3">
      <c r="G522" s="322"/>
      <c r="H522" s="322"/>
    </row>
    <row r="523" spans="7:8" x14ac:dyDescent="0.3">
      <c r="G523" s="322"/>
      <c r="H523" s="322"/>
    </row>
    <row r="524" spans="7:8" x14ac:dyDescent="0.3">
      <c r="G524" s="322"/>
      <c r="H524" s="322"/>
    </row>
    <row r="525" spans="7:8" x14ac:dyDescent="0.3">
      <c r="G525" s="322"/>
      <c r="H525" s="322"/>
    </row>
    <row r="526" spans="7:8" x14ac:dyDescent="0.3">
      <c r="G526" s="322"/>
      <c r="H526" s="322"/>
    </row>
    <row r="527" spans="7:8" x14ac:dyDescent="0.3">
      <c r="G527" s="322"/>
      <c r="H527" s="322"/>
    </row>
    <row r="528" spans="7:8" x14ac:dyDescent="0.3">
      <c r="G528" s="322"/>
      <c r="H528" s="322"/>
    </row>
    <row r="529" spans="7:8" x14ac:dyDescent="0.3">
      <c r="G529" s="322"/>
      <c r="H529" s="322"/>
    </row>
    <row r="530" spans="7:8" x14ac:dyDescent="0.3">
      <c r="G530" s="322"/>
      <c r="H530" s="322"/>
    </row>
    <row r="531" spans="7:8" x14ac:dyDescent="0.3">
      <c r="G531" s="322"/>
      <c r="H531" s="322"/>
    </row>
    <row r="532" spans="7:8" x14ac:dyDescent="0.3">
      <c r="G532" s="322"/>
      <c r="H532" s="322"/>
    </row>
    <row r="533" spans="7:8" x14ac:dyDescent="0.3">
      <c r="G533" s="322"/>
      <c r="H533" s="322"/>
    </row>
    <row r="534" spans="7:8" x14ac:dyDescent="0.3">
      <c r="G534" s="322"/>
      <c r="H534" s="322"/>
    </row>
    <row r="535" spans="7:8" x14ac:dyDescent="0.3">
      <c r="G535" s="322"/>
      <c r="H535" s="322"/>
    </row>
    <row r="536" spans="7:8" x14ac:dyDescent="0.3">
      <c r="G536" s="322"/>
      <c r="H536" s="322"/>
    </row>
    <row r="537" spans="7:8" x14ac:dyDescent="0.3">
      <c r="G537" s="322"/>
      <c r="H537" s="322"/>
    </row>
    <row r="538" spans="7:8" x14ac:dyDescent="0.3">
      <c r="G538" s="322"/>
      <c r="H538" s="322"/>
    </row>
    <row r="539" spans="7:8" x14ac:dyDescent="0.3">
      <c r="G539" s="322"/>
      <c r="H539" s="322"/>
    </row>
    <row r="540" spans="7:8" x14ac:dyDescent="0.3">
      <c r="G540" s="322"/>
      <c r="H540" s="322"/>
    </row>
    <row r="541" spans="7:8" x14ac:dyDescent="0.3">
      <c r="G541" s="322"/>
      <c r="H541" s="322"/>
    </row>
    <row r="542" spans="7:8" x14ac:dyDescent="0.3">
      <c r="G542" s="322"/>
      <c r="H542" s="322"/>
    </row>
    <row r="543" spans="7:8" x14ac:dyDescent="0.3">
      <c r="G543" s="322"/>
      <c r="H543" s="322"/>
    </row>
    <row r="544" spans="7:8" x14ac:dyDescent="0.3">
      <c r="G544" s="322"/>
      <c r="H544" s="322"/>
    </row>
    <row r="545" spans="7:8" x14ac:dyDescent="0.3">
      <c r="G545" s="322"/>
      <c r="H545" s="322"/>
    </row>
    <row r="546" spans="7:8" x14ac:dyDescent="0.3">
      <c r="G546" s="322"/>
      <c r="H546" s="322"/>
    </row>
    <row r="547" spans="7:8" x14ac:dyDescent="0.3">
      <c r="G547" s="322"/>
      <c r="H547" s="322"/>
    </row>
    <row r="548" spans="7:8" x14ac:dyDescent="0.3">
      <c r="G548" s="322"/>
      <c r="H548" s="322"/>
    </row>
    <row r="549" spans="7:8" x14ac:dyDescent="0.3">
      <c r="G549" s="322"/>
      <c r="H549" s="322"/>
    </row>
    <row r="550" spans="7:8" x14ac:dyDescent="0.3">
      <c r="G550" s="322"/>
      <c r="H550" s="322"/>
    </row>
    <row r="551" spans="7:8" x14ac:dyDescent="0.3">
      <c r="G551" s="322"/>
      <c r="H551" s="322"/>
    </row>
    <row r="552" spans="7:8" x14ac:dyDescent="0.3">
      <c r="G552" s="322"/>
      <c r="H552" s="322"/>
    </row>
    <row r="553" spans="7:8" x14ac:dyDescent="0.3">
      <c r="G553" s="322"/>
      <c r="H553" s="322"/>
    </row>
    <row r="554" spans="7:8" x14ac:dyDescent="0.3">
      <c r="G554" s="322"/>
      <c r="H554" s="322"/>
    </row>
    <row r="555" spans="7:8" x14ac:dyDescent="0.3">
      <c r="G555" s="322"/>
      <c r="H555" s="322"/>
    </row>
    <row r="556" spans="7:8" x14ac:dyDescent="0.3">
      <c r="G556" s="322"/>
      <c r="H556" s="322"/>
    </row>
    <row r="557" spans="7:8" x14ac:dyDescent="0.3">
      <c r="G557" s="322"/>
      <c r="H557" s="322"/>
    </row>
    <row r="558" spans="7:8" x14ac:dyDescent="0.3">
      <c r="G558" s="322"/>
      <c r="H558" s="322"/>
    </row>
    <row r="559" spans="7:8" x14ac:dyDescent="0.3">
      <c r="G559" s="322"/>
      <c r="H559" s="322"/>
    </row>
    <row r="560" spans="7:8" x14ac:dyDescent="0.3">
      <c r="G560" s="322"/>
      <c r="H560" s="322"/>
    </row>
    <row r="561" spans="7:8" x14ac:dyDescent="0.3">
      <c r="G561" s="322"/>
      <c r="H561" s="322"/>
    </row>
    <row r="562" spans="7:8" x14ac:dyDescent="0.3">
      <c r="G562" s="322"/>
      <c r="H562" s="322"/>
    </row>
    <row r="563" spans="7:8" x14ac:dyDescent="0.3">
      <c r="G563" s="322"/>
      <c r="H563" s="322"/>
    </row>
    <row r="564" spans="7:8" x14ac:dyDescent="0.3">
      <c r="G564" s="322"/>
      <c r="H564" s="322"/>
    </row>
    <row r="565" spans="7:8" x14ac:dyDescent="0.3">
      <c r="G565" s="322"/>
      <c r="H565" s="322"/>
    </row>
    <row r="566" spans="7:8" x14ac:dyDescent="0.3">
      <c r="G566" s="322"/>
      <c r="H566" s="322"/>
    </row>
    <row r="567" spans="7:8" x14ac:dyDescent="0.3">
      <c r="G567" s="322"/>
      <c r="H567" s="322"/>
    </row>
    <row r="568" spans="7:8" x14ac:dyDescent="0.3">
      <c r="G568" s="322"/>
      <c r="H568" s="322"/>
    </row>
    <row r="569" spans="7:8" x14ac:dyDescent="0.3">
      <c r="G569" s="322"/>
      <c r="H569" s="322"/>
    </row>
    <row r="570" spans="7:8" x14ac:dyDescent="0.3">
      <c r="G570" s="322"/>
      <c r="H570" s="322"/>
    </row>
    <row r="571" spans="7:8" x14ac:dyDescent="0.3">
      <c r="G571" s="322"/>
      <c r="H571" s="322"/>
    </row>
    <row r="572" spans="7:8" x14ac:dyDescent="0.3">
      <c r="G572" s="322"/>
      <c r="H572" s="322"/>
    </row>
    <row r="573" spans="7:8" x14ac:dyDescent="0.3">
      <c r="G573" s="322"/>
      <c r="H573" s="322"/>
    </row>
    <row r="574" spans="7:8" x14ac:dyDescent="0.3">
      <c r="G574" s="322"/>
      <c r="H574" s="322"/>
    </row>
    <row r="575" spans="7:8" x14ac:dyDescent="0.3">
      <c r="G575" s="322"/>
      <c r="H575" s="322"/>
    </row>
    <row r="576" spans="7:8" x14ac:dyDescent="0.3">
      <c r="G576" s="322"/>
      <c r="H576" s="322"/>
    </row>
    <row r="577" spans="7:8" x14ac:dyDescent="0.3">
      <c r="G577" s="322"/>
      <c r="H577" s="322"/>
    </row>
    <row r="578" spans="7:8" x14ac:dyDescent="0.3">
      <c r="G578" s="322"/>
      <c r="H578" s="322"/>
    </row>
    <row r="579" spans="7:8" x14ac:dyDescent="0.3">
      <c r="G579" s="322"/>
      <c r="H579" s="322"/>
    </row>
    <row r="580" spans="7:8" x14ac:dyDescent="0.3">
      <c r="G580" s="322"/>
      <c r="H580" s="322"/>
    </row>
    <row r="581" spans="7:8" x14ac:dyDescent="0.3">
      <c r="G581" s="322"/>
      <c r="H581" s="322"/>
    </row>
    <row r="582" spans="7:8" x14ac:dyDescent="0.3">
      <c r="G582" s="322"/>
      <c r="H582" s="322"/>
    </row>
    <row r="583" spans="7:8" x14ac:dyDescent="0.3">
      <c r="G583" s="322"/>
      <c r="H583" s="322"/>
    </row>
    <row r="584" spans="7:8" x14ac:dyDescent="0.3">
      <c r="G584" s="322"/>
      <c r="H584" s="322"/>
    </row>
    <row r="585" spans="7:8" x14ac:dyDescent="0.3">
      <c r="G585" s="322"/>
      <c r="H585" s="322"/>
    </row>
    <row r="586" spans="7:8" x14ac:dyDescent="0.3">
      <c r="G586" s="322"/>
      <c r="H586" s="322"/>
    </row>
    <row r="587" spans="7:8" x14ac:dyDescent="0.3">
      <c r="G587" s="322"/>
      <c r="H587" s="322"/>
    </row>
    <row r="588" spans="7:8" x14ac:dyDescent="0.3">
      <c r="G588" s="322"/>
      <c r="H588" s="322"/>
    </row>
    <row r="589" spans="7:8" x14ac:dyDescent="0.3">
      <c r="G589" s="322"/>
      <c r="H589" s="322"/>
    </row>
    <row r="590" spans="7:8" x14ac:dyDescent="0.3">
      <c r="G590" s="322"/>
      <c r="H590" s="322"/>
    </row>
    <row r="591" spans="7:8" x14ac:dyDescent="0.3">
      <c r="G591" s="322"/>
      <c r="H591" s="322"/>
    </row>
    <row r="592" spans="7:8" x14ac:dyDescent="0.3">
      <c r="G592" s="322"/>
      <c r="H592" s="322"/>
    </row>
    <row r="593" spans="7:8" x14ac:dyDescent="0.3">
      <c r="G593" s="322"/>
      <c r="H593" s="322"/>
    </row>
    <row r="594" spans="7:8" x14ac:dyDescent="0.3">
      <c r="G594" s="322"/>
      <c r="H594" s="322"/>
    </row>
    <row r="595" spans="7:8" x14ac:dyDescent="0.3">
      <c r="G595" s="322"/>
      <c r="H595" s="322"/>
    </row>
    <row r="596" spans="7:8" x14ac:dyDescent="0.3">
      <c r="G596" s="322"/>
      <c r="H596" s="322"/>
    </row>
    <row r="597" spans="7:8" x14ac:dyDescent="0.3">
      <c r="G597" s="322"/>
      <c r="H597" s="322"/>
    </row>
    <row r="598" spans="7:8" x14ac:dyDescent="0.3">
      <c r="G598" s="322"/>
      <c r="H598" s="322"/>
    </row>
    <row r="599" spans="7:8" x14ac:dyDescent="0.3">
      <c r="G599" s="322"/>
      <c r="H599" s="322"/>
    </row>
    <row r="600" spans="7:8" x14ac:dyDescent="0.3">
      <c r="G600" s="322"/>
      <c r="H600" s="322"/>
    </row>
    <row r="601" spans="7:8" x14ac:dyDescent="0.3">
      <c r="G601" s="322"/>
      <c r="H601" s="322"/>
    </row>
    <row r="602" spans="7:8" x14ac:dyDescent="0.3">
      <c r="G602" s="322"/>
      <c r="H602" s="322"/>
    </row>
    <row r="603" spans="7:8" x14ac:dyDescent="0.3">
      <c r="G603" s="322"/>
      <c r="H603" s="322"/>
    </row>
    <row r="604" spans="7:8" x14ac:dyDescent="0.3">
      <c r="G604" s="322"/>
      <c r="H604" s="322"/>
    </row>
    <row r="605" spans="7:8" x14ac:dyDescent="0.3">
      <c r="G605" s="322"/>
      <c r="H605" s="322"/>
    </row>
    <row r="606" spans="7:8" x14ac:dyDescent="0.3">
      <c r="G606" s="322"/>
      <c r="H606" s="322"/>
    </row>
    <row r="607" spans="7:8" x14ac:dyDescent="0.3">
      <c r="G607" s="322"/>
      <c r="H607" s="322"/>
    </row>
    <row r="608" spans="7:8" x14ac:dyDescent="0.3">
      <c r="G608" s="322"/>
      <c r="H608" s="322"/>
    </row>
    <row r="609" spans="7:8" x14ac:dyDescent="0.3">
      <c r="G609" s="322"/>
      <c r="H609" s="322"/>
    </row>
    <row r="610" spans="7:8" x14ac:dyDescent="0.3">
      <c r="G610" s="322"/>
      <c r="H610" s="322"/>
    </row>
    <row r="611" spans="7:8" x14ac:dyDescent="0.3">
      <c r="G611" s="322"/>
      <c r="H611" s="322"/>
    </row>
    <row r="612" spans="7:8" x14ac:dyDescent="0.3">
      <c r="G612" s="322"/>
      <c r="H612" s="322"/>
    </row>
    <row r="613" spans="7:8" x14ac:dyDescent="0.3">
      <c r="G613" s="322"/>
      <c r="H613" s="322"/>
    </row>
    <row r="614" spans="7:8" x14ac:dyDescent="0.3">
      <c r="G614" s="322"/>
      <c r="H614" s="322"/>
    </row>
    <row r="615" spans="7:8" x14ac:dyDescent="0.3">
      <c r="G615" s="322"/>
      <c r="H615" s="322"/>
    </row>
    <row r="616" spans="7:8" x14ac:dyDescent="0.3">
      <c r="G616" s="322"/>
      <c r="H616" s="322"/>
    </row>
    <row r="617" spans="7:8" x14ac:dyDescent="0.3">
      <c r="G617" s="322"/>
      <c r="H617" s="322"/>
    </row>
    <row r="618" spans="7:8" x14ac:dyDescent="0.3">
      <c r="G618" s="322"/>
      <c r="H618" s="322"/>
    </row>
    <row r="619" spans="7:8" x14ac:dyDescent="0.3">
      <c r="G619" s="322"/>
      <c r="H619" s="322"/>
    </row>
    <row r="620" spans="7:8" x14ac:dyDescent="0.3">
      <c r="G620" s="322"/>
      <c r="H620" s="322"/>
    </row>
    <row r="621" spans="7:8" x14ac:dyDescent="0.3">
      <c r="G621" s="322"/>
      <c r="H621" s="322"/>
    </row>
    <row r="622" spans="7:8" x14ac:dyDescent="0.3">
      <c r="G622" s="322"/>
      <c r="H622" s="322"/>
    </row>
    <row r="623" spans="7:8" x14ac:dyDescent="0.3">
      <c r="G623" s="322"/>
      <c r="H623" s="322"/>
    </row>
    <row r="624" spans="7:8" x14ac:dyDescent="0.3">
      <c r="G624" s="322"/>
      <c r="H624" s="322"/>
    </row>
    <row r="625" spans="7:8" x14ac:dyDescent="0.3">
      <c r="G625" s="322"/>
      <c r="H625" s="322"/>
    </row>
    <row r="626" spans="7:8" x14ac:dyDescent="0.3">
      <c r="G626" s="322"/>
      <c r="H626" s="322"/>
    </row>
    <row r="627" spans="7:8" x14ac:dyDescent="0.3">
      <c r="G627" s="322"/>
      <c r="H627" s="322"/>
    </row>
    <row r="628" spans="7:8" x14ac:dyDescent="0.3">
      <c r="G628" s="322"/>
      <c r="H628" s="322"/>
    </row>
    <row r="629" spans="7:8" x14ac:dyDescent="0.3">
      <c r="G629" s="322"/>
      <c r="H629" s="322"/>
    </row>
    <row r="630" spans="7:8" x14ac:dyDescent="0.3">
      <c r="G630" s="322"/>
      <c r="H630" s="322"/>
    </row>
    <row r="631" spans="7:8" x14ac:dyDescent="0.3">
      <c r="G631" s="322"/>
      <c r="H631" s="322"/>
    </row>
    <row r="632" spans="7:8" x14ac:dyDescent="0.3">
      <c r="G632" s="322"/>
      <c r="H632" s="322"/>
    </row>
    <row r="633" spans="7:8" x14ac:dyDescent="0.3">
      <c r="G633" s="322"/>
      <c r="H633" s="322"/>
    </row>
    <row r="634" spans="7:8" x14ac:dyDescent="0.3">
      <c r="G634" s="322"/>
      <c r="H634" s="322"/>
    </row>
    <row r="635" spans="7:8" x14ac:dyDescent="0.3">
      <c r="G635" s="322"/>
      <c r="H635" s="322"/>
    </row>
    <row r="636" spans="7:8" x14ac:dyDescent="0.3">
      <c r="G636" s="322"/>
      <c r="H636" s="322"/>
    </row>
    <row r="637" spans="7:8" x14ac:dyDescent="0.3">
      <c r="G637" s="322"/>
      <c r="H637" s="322"/>
    </row>
    <row r="638" spans="7:8" x14ac:dyDescent="0.3">
      <c r="G638" s="322"/>
      <c r="H638" s="322"/>
    </row>
    <row r="639" spans="7:8" x14ac:dyDescent="0.3">
      <c r="G639" s="322"/>
      <c r="H639" s="322"/>
    </row>
    <row r="640" spans="7:8" x14ac:dyDescent="0.3">
      <c r="G640" s="322"/>
      <c r="H640" s="322"/>
    </row>
    <row r="641" spans="7:8" x14ac:dyDescent="0.3">
      <c r="G641" s="322"/>
      <c r="H641" s="322"/>
    </row>
    <row r="642" spans="7:8" x14ac:dyDescent="0.3">
      <c r="G642" s="322"/>
      <c r="H642" s="322"/>
    </row>
    <row r="643" spans="7:8" x14ac:dyDescent="0.3">
      <c r="G643" s="322"/>
      <c r="H643" s="322"/>
    </row>
    <row r="644" spans="7:8" x14ac:dyDescent="0.3">
      <c r="G644" s="322"/>
      <c r="H644" s="322"/>
    </row>
    <row r="645" spans="7:8" x14ac:dyDescent="0.3">
      <c r="G645" s="322"/>
      <c r="H645" s="322"/>
    </row>
    <row r="646" spans="7:8" x14ac:dyDescent="0.3">
      <c r="G646" s="322"/>
      <c r="H646" s="322"/>
    </row>
    <row r="647" spans="7:8" x14ac:dyDescent="0.3">
      <c r="G647" s="322"/>
      <c r="H647" s="322"/>
    </row>
    <row r="648" spans="7:8" x14ac:dyDescent="0.3">
      <c r="G648" s="322"/>
      <c r="H648" s="322"/>
    </row>
    <row r="649" spans="7:8" x14ac:dyDescent="0.3">
      <c r="G649" s="322"/>
      <c r="H649" s="322"/>
    </row>
    <row r="650" spans="7:8" x14ac:dyDescent="0.3">
      <c r="G650" s="322"/>
      <c r="H650" s="322"/>
    </row>
    <row r="651" spans="7:8" x14ac:dyDescent="0.3">
      <c r="G651" s="322"/>
      <c r="H651" s="322"/>
    </row>
    <row r="652" spans="7:8" x14ac:dyDescent="0.3">
      <c r="G652" s="322"/>
      <c r="H652" s="322"/>
    </row>
    <row r="653" spans="7:8" x14ac:dyDescent="0.3">
      <c r="G653" s="322"/>
      <c r="H653" s="322"/>
    </row>
    <row r="654" spans="7:8" x14ac:dyDescent="0.3">
      <c r="G654" s="322"/>
      <c r="H654" s="322"/>
    </row>
    <row r="655" spans="7:8" x14ac:dyDescent="0.3">
      <c r="G655" s="322"/>
      <c r="H655" s="322"/>
    </row>
    <row r="656" spans="7:8" x14ac:dyDescent="0.3">
      <c r="G656" s="322"/>
      <c r="H656" s="322"/>
    </row>
    <row r="657" spans="7:8" x14ac:dyDescent="0.3">
      <c r="G657" s="322"/>
      <c r="H657" s="322"/>
    </row>
    <row r="658" spans="7:8" x14ac:dyDescent="0.3">
      <c r="G658" s="322"/>
      <c r="H658" s="322"/>
    </row>
    <row r="659" spans="7:8" x14ac:dyDescent="0.3">
      <c r="G659" s="322"/>
      <c r="H659" s="322"/>
    </row>
    <row r="660" spans="7:8" x14ac:dyDescent="0.3">
      <c r="G660" s="322"/>
      <c r="H660" s="322"/>
    </row>
    <row r="661" spans="7:8" x14ac:dyDescent="0.3">
      <c r="G661" s="322"/>
      <c r="H661" s="322"/>
    </row>
    <row r="662" spans="7:8" x14ac:dyDescent="0.3">
      <c r="G662" s="322"/>
      <c r="H662" s="322"/>
    </row>
    <row r="663" spans="7:8" x14ac:dyDescent="0.3">
      <c r="G663" s="322"/>
      <c r="H663" s="322"/>
    </row>
    <row r="664" spans="7:8" x14ac:dyDescent="0.3">
      <c r="G664" s="322"/>
      <c r="H664" s="322"/>
    </row>
    <row r="665" spans="7:8" x14ac:dyDescent="0.3">
      <c r="G665" s="322"/>
      <c r="H665" s="322"/>
    </row>
    <row r="666" spans="7:8" x14ac:dyDescent="0.3">
      <c r="G666" s="322"/>
      <c r="H666" s="322"/>
    </row>
    <row r="667" spans="7:8" x14ac:dyDescent="0.3">
      <c r="G667" s="322"/>
      <c r="H667" s="322"/>
    </row>
    <row r="668" spans="7:8" x14ac:dyDescent="0.3">
      <c r="G668" s="322"/>
      <c r="H668" s="322"/>
    </row>
    <row r="669" spans="7:8" x14ac:dyDescent="0.3">
      <c r="G669" s="322"/>
      <c r="H669" s="322"/>
    </row>
    <row r="670" spans="7:8" x14ac:dyDescent="0.3">
      <c r="G670" s="322"/>
      <c r="H670" s="322"/>
    </row>
    <row r="671" spans="7:8" x14ac:dyDescent="0.3">
      <c r="G671" s="322"/>
      <c r="H671" s="322"/>
    </row>
    <row r="672" spans="7:8" x14ac:dyDescent="0.3">
      <c r="G672" s="322"/>
      <c r="H672" s="322"/>
    </row>
    <row r="673" spans="7:8" x14ac:dyDescent="0.3">
      <c r="G673" s="322"/>
      <c r="H673" s="322"/>
    </row>
    <row r="674" spans="7:8" x14ac:dyDescent="0.3">
      <c r="G674" s="322"/>
      <c r="H674" s="322"/>
    </row>
    <row r="675" spans="7:8" x14ac:dyDescent="0.3">
      <c r="G675" s="322"/>
      <c r="H675" s="322"/>
    </row>
    <row r="676" spans="7:8" x14ac:dyDescent="0.3">
      <c r="G676" s="322"/>
      <c r="H676" s="322"/>
    </row>
    <row r="677" spans="7:8" x14ac:dyDescent="0.3">
      <c r="G677" s="322"/>
      <c r="H677" s="322"/>
    </row>
    <row r="678" spans="7:8" x14ac:dyDescent="0.3">
      <c r="G678" s="322"/>
      <c r="H678" s="322"/>
    </row>
    <row r="679" spans="7:8" x14ac:dyDescent="0.3">
      <c r="G679" s="322"/>
      <c r="H679" s="322"/>
    </row>
    <row r="680" spans="7:8" x14ac:dyDescent="0.3">
      <c r="G680" s="322"/>
      <c r="H680" s="322"/>
    </row>
    <row r="681" spans="7:8" x14ac:dyDescent="0.3">
      <c r="G681" s="322"/>
      <c r="H681" s="322"/>
    </row>
    <row r="682" spans="7:8" x14ac:dyDescent="0.3">
      <c r="G682" s="322"/>
      <c r="H682" s="322"/>
    </row>
    <row r="683" spans="7:8" x14ac:dyDescent="0.3">
      <c r="G683" s="322"/>
      <c r="H683" s="322"/>
    </row>
    <row r="684" spans="7:8" x14ac:dyDescent="0.3">
      <c r="G684" s="322"/>
      <c r="H684" s="322"/>
    </row>
    <row r="685" spans="7:8" x14ac:dyDescent="0.3">
      <c r="G685" s="322"/>
      <c r="H685" s="322"/>
    </row>
    <row r="686" spans="7:8" x14ac:dyDescent="0.3">
      <c r="G686" s="322"/>
      <c r="H686" s="322"/>
    </row>
    <row r="687" spans="7:8" x14ac:dyDescent="0.3">
      <c r="G687" s="322"/>
      <c r="H687" s="322"/>
    </row>
    <row r="688" spans="7:8" x14ac:dyDescent="0.3">
      <c r="G688" s="322"/>
      <c r="H688" s="322"/>
    </row>
    <row r="689" spans="7:8" x14ac:dyDescent="0.3">
      <c r="G689" s="322"/>
      <c r="H689" s="322"/>
    </row>
    <row r="690" spans="7:8" x14ac:dyDescent="0.3">
      <c r="G690" s="322"/>
      <c r="H690" s="322"/>
    </row>
    <row r="691" spans="7:8" x14ac:dyDescent="0.3">
      <c r="G691" s="322"/>
      <c r="H691" s="322"/>
    </row>
    <row r="692" spans="7:8" x14ac:dyDescent="0.3">
      <c r="G692" s="322"/>
      <c r="H692" s="322"/>
    </row>
    <row r="693" spans="7:8" x14ac:dyDescent="0.3">
      <c r="G693" s="322"/>
      <c r="H693" s="322"/>
    </row>
    <row r="694" spans="7:8" x14ac:dyDescent="0.3">
      <c r="G694" s="322"/>
      <c r="H694" s="322"/>
    </row>
    <row r="695" spans="7:8" x14ac:dyDescent="0.3">
      <c r="G695" s="322"/>
      <c r="H695" s="322"/>
    </row>
    <row r="696" spans="7:8" x14ac:dyDescent="0.3">
      <c r="G696" s="322"/>
      <c r="H696" s="322"/>
    </row>
    <row r="697" spans="7:8" x14ac:dyDescent="0.3">
      <c r="G697" s="322"/>
      <c r="H697" s="322"/>
    </row>
    <row r="698" spans="7:8" x14ac:dyDescent="0.3">
      <c r="G698" s="322"/>
      <c r="H698" s="322"/>
    </row>
    <row r="699" spans="7:8" x14ac:dyDescent="0.3">
      <c r="G699" s="322"/>
      <c r="H699" s="322"/>
    </row>
    <row r="700" spans="7:8" x14ac:dyDescent="0.3">
      <c r="G700" s="322"/>
      <c r="H700" s="322"/>
    </row>
    <row r="701" spans="7:8" x14ac:dyDescent="0.3">
      <c r="G701" s="322"/>
      <c r="H701" s="322"/>
    </row>
    <row r="702" spans="7:8" x14ac:dyDescent="0.3">
      <c r="G702" s="322"/>
      <c r="H702" s="322"/>
    </row>
    <row r="703" spans="7:8" x14ac:dyDescent="0.3">
      <c r="G703" s="322"/>
      <c r="H703" s="322"/>
    </row>
    <row r="704" spans="7:8" x14ac:dyDescent="0.3">
      <c r="G704" s="322"/>
      <c r="H704" s="322"/>
    </row>
    <row r="705" spans="7:8" x14ac:dyDescent="0.3">
      <c r="G705" s="322"/>
      <c r="H705" s="322"/>
    </row>
    <row r="706" spans="7:8" x14ac:dyDescent="0.3">
      <c r="G706" s="322"/>
      <c r="H706" s="322"/>
    </row>
    <row r="707" spans="7:8" x14ac:dyDescent="0.3">
      <c r="G707" s="322"/>
      <c r="H707" s="322"/>
    </row>
    <row r="708" spans="7:8" x14ac:dyDescent="0.3">
      <c r="G708" s="322"/>
      <c r="H708" s="322"/>
    </row>
    <row r="709" spans="7:8" x14ac:dyDescent="0.3">
      <c r="G709" s="322"/>
      <c r="H709" s="322"/>
    </row>
    <row r="710" spans="7:8" x14ac:dyDescent="0.3">
      <c r="G710" s="322"/>
      <c r="H710" s="322"/>
    </row>
    <row r="711" spans="7:8" x14ac:dyDescent="0.3">
      <c r="G711" s="322"/>
      <c r="H711" s="322"/>
    </row>
    <row r="712" spans="7:8" x14ac:dyDescent="0.3">
      <c r="G712" s="322"/>
      <c r="H712" s="322"/>
    </row>
    <row r="713" spans="7:8" x14ac:dyDescent="0.3">
      <c r="G713" s="322"/>
      <c r="H713" s="322"/>
    </row>
    <row r="714" spans="7:8" x14ac:dyDescent="0.3">
      <c r="G714" s="322"/>
      <c r="H714" s="322"/>
    </row>
    <row r="715" spans="7:8" x14ac:dyDescent="0.3">
      <c r="G715" s="322"/>
      <c r="H715" s="322"/>
    </row>
    <row r="716" spans="7:8" x14ac:dyDescent="0.3">
      <c r="G716" s="322"/>
      <c r="H716" s="322"/>
    </row>
    <row r="717" spans="7:8" x14ac:dyDescent="0.3">
      <c r="G717" s="322"/>
      <c r="H717" s="322"/>
    </row>
    <row r="718" spans="7:8" x14ac:dyDescent="0.3">
      <c r="G718" s="322"/>
      <c r="H718" s="322"/>
    </row>
    <row r="719" spans="7:8" x14ac:dyDescent="0.3">
      <c r="G719" s="322"/>
      <c r="H719" s="322"/>
    </row>
    <row r="720" spans="7:8" x14ac:dyDescent="0.3">
      <c r="G720" s="322"/>
      <c r="H720" s="322"/>
    </row>
    <row r="721" spans="7:8" x14ac:dyDescent="0.3">
      <c r="G721" s="322"/>
      <c r="H721" s="322"/>
    </row>
    <row r="722" spans="7:8" x14ac:dyDescent="0.3">
      <c r="G722" s="322"/>
      <c r="H722" s="322"/>
    </row>
    <row r="723" spans="7:8" x14ac:dyDescent="0.3">
      <c r="G723" s="322"/>
      <c r="H723" s="322"/>
    </row>
    <row r="724" spans="7:8" x14ac:dyDescent="0.3">
      <c r="G724" s="322"/>
      <c r="H724" s="322"/>
    </row>
    <row r="725" spans="7:8" x14ac:dyDescent="0.3">
      <c r="G725" s="322"/>
      <c r="H725" s="322"/>
    </row>
    <row r="726" spans="7:8" x14ac:dyDescent="0.3">
      <c r="G726" s="322"/>
      <c r="H726" s="322"/>
    </row>
    <row r="727" spans="7:8" x14ac:dyDescent="0.3">
      <c r="G727" s="322"/>
      <c r="H727" s="322"/>
    </row>
    <row r="728" spans="7:8" x14ac:dyDescent="0.3">
      <c r="G728" s="322"/>
      <c r="H728" s="322"/>
    </row>
    <row r="729" spans="7:8" x14ac:dyDescent="0.3">
      <c r="G729" s="322"/>
      <c r="H729" s="322"/>
    </row>
    <row r="730" spans="7:8" x14ac:dyDescent="0.3">
      <c r="G730" s="322"/>
      <c r="H730" s="322"/>
    </row>
    <row r="731" spans="7:8" x14ac:dyDescent="0.3">
      <c r="G731" s="322"/>
      <c r="H731" s="322"/>
    </row>
    <row r="732" spans="7:8" x14ac:dyDescent="0.3">
      <c r="G732" s="322"/>
      <c r="H732" s="322"/>
    </row>
    <row r="733" spans="7:8" x14ac:dyDescent="0.3">
      <c r="G733" s="322"/>
      <c r="H733" s="322"/>
    </row>
    <row r="734" spans="7:8" x14ac:dyDescent="0.3">
      <c r="G734" s="322"/>
      <c r="H734" s="322"/>
    </row>
    <row r="735" spans="7:8" x14ac:dyDescent="0.3">
      <c r="G735" s="322"/>
      <c r="H735" s="322"/>
    </row>
    <row r="736" spans="7:8" x14ac:dyDescent="0.3">
      <c r="G736" s="322"/>
      <c r="H736" s="322"/>
    </row>
    <row r="737" spans="7:8" x14ac:dyDescent="0.3">
      <c r="G737" s="322"/>
      <c r="H737" s="322"/>
    </row>
    <row r="738" spans="7:8" x14ac:dyDescent="0.3">
      <c r="G738" s="322"/>
      <c r="H738" s="322"/>
    </row>
    <row r="739" spans="7:8" x14ac:dyDescent="0.3">
      <c r="G739" s="322"/>
      <c r="H739" s="322"/>
    </row>
    <row r="740" spans="7:8" x14ac:dyDescent="0.3">
      <c r="G740" s="322"/>
      <c r="H740" s="322"/>
    </row>
    <row r="741" spans="7:8" x14ac:dyDescent="0.3">
      <c r="G741" s="322"/>
      <c r="H741" s="322"/>
    </row>
    <row r="742" spans="7:8" x14ac:dyDescent="0.3">
      <c r="G742" s="322"/>
      <c r="H742" s="322"/>
    </row>
    <row r="743" spans="7:8" x14ac:dyDescent="0.3">
      <c r="G743" s="322"/>
      <c r="H743" s="322"/>
    </row>
    <row r="744" spans="7:8" x14ac:dyDescent="0.3">
      <c r="G744" s="322"/>
      <c r="H744" s="322"/>
    </row>
    <row r="745" spans="7:8" x14ac:dyDescent="0.3">
      <c r="G745" s="322"/>
      <c r="H745" s="322"/>
    </row>
    <row r="746" spans="7:8" x14ac:dyDescent="0.3">
      <c r="G746" s="322"/>
      <c r="H746" s="322"/>
    </row>
    <row r="747" spans="7:8" x14ac:dyDescent="0.3">
      <c r="G747" s="322"/>
      <c r="H747" s="322"/>
    </row>
    <row r="748" spans="7:8" x14ac:dyDescent="0.3">
      <c r="G748" s="322"/>
      <c r="H748" s="322"/>
    </row>
    <row r="749" spans="7:8" x14ac:dyDescent="0.3">
      <c r="G749" s="322"/>
      <c r="H749" s="322"/>
    </row>
    <row r="750" spans="7:8" x14ac:dyDescent="0.3">
      <c r="G750" s="322"/>
      <c r="H750" s="322"/>
    </row>
    <row r="751" spans="7:8" x14ac:dyDescent="0.3">
      <c r="G751" s="322"/>
      <c r="H751" s="322"/>
    </row>
    <row r="752" spans="7:8" x14ac:dyDescent="0.3">
      <c r="G752" s="322"/>
      <c r="H752" s="322"/>
    </row>
    <row r="753" spans="7:8" x14ac:dyDescent="0.3">
      <c r="G753" s="322"/>
      <c r="H753" s="322"/>
    </row>
    <row r="754" spans="7:8" x14ac:dyDescent="0.3">
      <c r="G754" s="322"/>
      <c r="H754" s="322"/>
    </row>
    <row r="755" spans="7:8" x14ac:dyDescent="0.3">
      <c r="G755" s="322"/>
      <c r="H755" s="322"/>
    </row>
    <row r="756" spans="7:8" x14ac:dyDescent="0.3">
      <c r="G756" s="322"/>
      <c r="H756" s="322"/>
    </row>
    <row r="757" spans="7:8" x14ac:dyDescent="0.3">
      <c r="G757" s="322"/>
      <c r="H757" s="322"/>
    </row>
    <row r="758" spans="7:8" x14ac:dyDescent="0.3">
      <c r="G758" s="322"/>
      <c r="H758" s="322"/>
    </row>
    <row r="759" spans="7:8" x14ac:dyDescent="0.3">
      <c r="G759" s="322"/>
      <c r="H759" s="322"/>
    </row>
    <row r="760" spans="7:8" x14ac:dyDescent="0.3">
      <c r="G760" s="322"/>
      <c r="H760" s="322"/>
    </row>
    <row r="761" spans="7:8" x14ac:dyDescent="0.3">
      <c r="G761" s="322"/>
      <c r="H761" s="322"/>
    </row>
    <row r="762" spans="7:8" x14ac:dyDescent="0.3">
      <c r="G762" s="322"/>
      <c r="H762" s="322"/>
    </row>
    <row r="763" spans="7:8" x14ac:dyDescent="0.3">
      <c r="G763" s="322"/>
      <c r="H763" s="322"/>
    </row>
    <row r="764" spans="7:8" x14ac:dyDescent="0.3">
      <c r="G764" s="322"/>
      <c r="H764" s="322"/>
    </row>
    <row r="765" spans="7:8" x14ac:dyDescent="0.3">
      <c r="G765" s="322"/>
      <c r="H765" s="322"/>
    </row>
    <row r="766" spans="7:8" x14ac:dyDescent="0.3">
      <c r="G766" s="322"/>
      <c r="H766" s="322"/>
    </row>
    <row r="767" spans="7:8" x14ac:dyDescent="0.3">
      <c r="G767" s="322"/>
      <c r="H767" s="322"/>
    </row>
    <row r="768" spans="7:8" x14ac:dyDescent="0.3">
      <c r="G768" s="322"/>
      <c r="H768" s="322"/>
    </row>
    <row r="769" spans="7:8" x14ac:dyDescent="0.3">
      <c r="G769" s="322"/>
      <c r="H769" s="322"/>
    </row>
    <row r="770" spans="7:8" x14ac:dyDescent="0.3">
      <c r="G770" s="322"/>
      <c r="H770" s="322"/>
    </row>
    <row r="771" spans="7:8" x14ac:dyDescent="0.3">
      <c r="G771" s="322"/>
      <c r="H771" s="322"/>
    </row>
    <row r="772" spans="7:8" x14ac:dyDescent="0.3">
      <c r="G772" s="322"/>
      <c r="H772" s="322"/>
    </row>
    <row r="773" spans="7:8" x14ac:dyDescent="0.3">
      <c r="G773" s="322"/>
      <c r="H773" s="322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65</TotalTime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Càlcul pressupost </vt:lpstr>
      <vt:lpstr>Perfils</vt:lpstr>
      <vt:lpstr>Infraestructura-Talles</vt:lpstr>
      <vt:lpstr>Taules IJ</vt:lpstr>
      <vt:lpstr>Costos Indirectes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IBAÑEZ, FRANCISCO</dc:creator>
  <cp:lastModifiedBy>Ajuntament de Barcelona</cp:lastModifiedBy>
  <cp:revision>12</cp:revision>
  <dcterms:created xsi:type="dcterms:W3CDTF">2024-03-08T16:23:59Z</dcterms:created>
  <dcterms:modified xsi:type="dcterms:W3CDTF">2024-03-25T13:02:07Z</dcterms:modified>
  <dc:language>ca-ES</dc:language>
</cp:coreProperties>
</file>