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bookViews>
    <workbookView xWindow="0" yWindow="0" windowWidth="4790" windowHeight="7230" tabRatio="733"/>
  </bookViews>
  <sheets>
    <sheet name="Càlcul pressupost " sheetId="14" r:id="rId1"/>
    <sheet name="Perfils" sheetId="35" r:id="rId2"/>
    <sheet name="Taules IJ" sheetId="31" r:id="rId3"/>
    <sheet name="Quadre desglossament" sheetId="43" r:id="rId4"/>
    <sheet name="Relació de Tractaments" sheetId="33" r:id="rId5"/>
    <sheet name="Transició" sheetId="24" r:id="rId6"/>
    <sheet name="Taula LOT-SERV-APP" sheetId="1" state="hidden" r:id="rId7"/>
    <sheet name="Taula Estimació de dades" sheetId="2" state="hidden" r:id="rId8"/>
    <sheet name="Hoja2" sheetId="18" state="hidden" r:id="rId9"/>
  </sheets>
  <externalReferences>
    <externalReference r:id="rId10"/>
    <externalReference r:id="rId11"/>
  </externalReferences>
  <definedNames>
    <definedName name="_xlnm._FilterDatabase" localSheetId="0" hidden="1">'Càlcul pressupost '!$15:$50</definedName>
    <definedName name="_xlnm._FilterDatabase" localSheetId="5" hidden="1">Transició!$B$2:$M$32</definedName>
    <definedName name="C_Despesa">'[1]Dades auxiliars'!$N$1:$N$9</definedName>
    <definedName name="Dades_Servei">'[2]Dades auxiliars'!$A$1:$J$262</definedName>
    <definedName name="T_Despesa">'[1]Dades auxiliars'!$M$1:$M$5</definedName>
  </definedNames>
  <calcPr calcId="145621"/>
  <fileRecoveryPr autoRecover="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O165" i="14" l="1"/>
  <c r="H165" i="14"/>
  <c r="E165" i="14"/>
  <c r="O128" i="14"/>
  <c r="K165" i="14"/>
  <c r="K128" i="14"/>
  <c r="H128" i="14"/>
  <c r="E128" i="14"/>
  <c r="O91" i="14"/>
  <c r="K91" i="14"/>
  <c r="H91" i="14"/>
  <c r="E91" i="14"/>
  <c r="O54" i="14"/>
  <c r="H54" i="14"/>
  <c r="K54" i="14"/>
  <c r="E54" i="14"/>
  <c r="O17" i="14"/>
  <c r="K17" i="14"/>
  <c r="E17" i="14"/>
  <c r="H17" i="14"/>
  <c r="B14" i="43" l="1"/>
  <c r="Z37" i="14" l="1"/>
  <c r="Z38" i="14"/>
  <c r="Z30" i="14"/>
  <c r="T16" i="14" l="1"/>
  <c r="B10" i="43" l="1"/>
  <c r="B7" i="43"/>
  <c r="B8" i="43" s="1"/>
  <c r="B9" i="43" l="1"/>
  <c r="B11" i="43" s="1"/>
  <c r="B15" i="43" s="1"/>
  <c r="B16" i="43" l="1"/>
  <c r="B17" i="43" l="1"/>
  <c r="T17" i="14" l="1"/>
  <c r="T18" i="14"/>
  <c r="T19" i="14"/>
  <c r="T20" i="14"/>
  <c r="T21" i="14"/>
  <c r="T22" i="14"/>
  <c r="T23" i="14"/>
  <c r="T24" i="14"/>
  <c r="T25" i="14"/>
  <c r="T26" i="14"/>
  <c r="T27" i="14"/>
  <c r="T28" i="14"/>
  <c r="T29" i="14"/>
  <c r="T30" i="14"/>
  <c r="T31" i="14"/>
  <c r="T32" i="14"/>
  <c r="T33" i="14"/>
  <c r="T34" i="14"/>
  <c r="T35" i="14"/>
  <c r="T36" i="14"/>
  <c r="T37" i="14"/>
  <c r="T38" i="14"/>
  <c r="T39" i="14"/>
  <c r="T40" i="14"/>
  <c r="T41" i="14"/>
  <c r="T42" i="14"/>
  <c r="T43" i="14"/>
  <c r="T44" i="14"/>
  <c r="T45" i="14"/>
  <c r="S41" i="14" l="1"/>
  <c r="S40" i="14"/>
  <c r="S39" i="14"/>
  <c r="S35" i="14"/>
  <c r="S32" i="14"/>
  <c r="S31" i="14"/>
  <c r="S26" i="14"/>
  <c r="S24" i="14"/>
  <c r="S23" i="14"/>
  <c r="S21" i="14"/>
  <c r="S19" i="14"/>
  <c r="Z194" i="14" l="1"/>
  <c r="Z193" i="14"/>
  <c r="Z192" i="14"/>
  <c r="Z191" i="14"/>
  <c r="Z190" i="14"/>
  <c r="Z189" i="14"/>
  <c r="Z188" i="14"/>
  <c r="Z187" i="14"/>
  <c r="Z184" i="14"/>
  <c r="Z183" i="14"/>
  <c r="Z182" i="14"/>
  <c r="Z181" i="14"/>
  <c r="Z180" i="14"/>
  <c r="Z179" i="14"/>
  <c r="Z177" i="14"/>
  <c r="Z176" i="14"/>
  <c r="Z175" i="14"/>
  <c r="Z174" i="14"/>
  <c r="Z173" i="14"/>
  <c r="Z172" i="14"/>
  <c r="Z171" i="14"/>
  <c r="Z170" i="14"/>
  <c r="Z169" i="14"/>
  <c r="Z168" i="14"/>
  <c r="Z167" i="14"/>
  <c r="Z166" i="14"/>
  <c r="Z165" i="14"/>
  <c r="W161" i="14"/>
  <c r="Z157" i="14"/>
  <c r="Z156" i="14"/>
  <c r="Z155" i="14"/>
  <c r="Z154" i="14"/>
  <c r="Z153" i="14"/>
  <c r="Z152" i="14"/>
  <c r="Z151" i="14"/>
  <c r="Z150" i="14"/>
  <c r="Z147" i="14"/>
  <c r="Z146" i="14"/>
  <c r="Z145" i="14"/>
  <c r="Z144" i="14"/>
  <c r="Z143" i="14"/>
  <c r="Z142" i="14"/>
  <c r="Z140" i="14"/>
  <c r="Z139" i="14"/>
  <c r="Z138" i="14"/>
  <c r="Z137" i="14"/>
  <c r="Z136" i="14"/>
  <c r="Z135" i="14"/>
  <c r="Z134" i="14"/>
  <c r="Z133" i="14"/>
  <c r="Z132" i="14"/>
  <c r="Z131" i="14"/>
  <c r="Z130" i="14"/>
  <c r="Z129" i="14"/>
  <c r="Z128" i="14"/>
  <c r="Z127" i="14"/>
  <c r="Z120" i="14"/>
  <c r="Z119" i="14"/>
  <c r="Z118" i="14"/>
  <c r="Z117" i="14"/>
  <c r="Z116" i="14"/>
  <c r="Z115" i="14"/>
  <c r="Z114" i="14"/>
  <c r="Z113" i="14"/>
  <c r="Z110" i="14"/>
  <c r="Z109" i="14"/>
  <c r="Z108" i="14"/>
  <c r="Z107" i="14"/>
  <c r="Z106" i="14"/>
  <c r="Z105" i="14"/>
  <c r="Z103" i="14"/>
  <c r="Z102" i="14"/>
  <c r="Z101" i="14"/>
  <c r="Z100" i="14"/>
  <c r="Z99" i="14"/>
  <c r="Z98" i="14"/>
  <c r="Z97" i="14"/>
  <c r="Z96" i="14"/>
  <c r="Z95" i="14"/>
  <c r="Z94" i="14"/>
  <c r="Z93" i="14"/>
  <c r="Z92" i="14"/>
  <c r="Z91" i="14"/>
  <c r="Z164" i="14" l="1"/>
  <c r="Z82" i="14" l="1"/>
  <c r="Z45" i="14"/>
  <c r="Z81" i="14" l="1"/>
  <c r="Z46" i="14"/>
  <c r="Z44" i="14"/>
  <c r="Z43" i="14"/>
  <c r="Z42" i="14"/>
  <c r="Z41" i="14"/>
  <c r="Z40" i="14"/>
  <c r="Z39" i="14"/>
  <c r="Z36" i="14"/>
  <c r="Z35" i="14"/>
  <c r="Z34" i="14"/>
  <c r="Z33" i="14"/>
  <c r="Z32" i="14"/>
  <c r="Z31" i="14"/>
  <c r="Z29" i="14"/>
  <c r="Z28" i="14"/>
  <c r="Z27" i="14"/>
  <c r="Z26" i="14"/>
  <c r="Z25" i="14"/>
  <c r="Z24" i="14"/>
  <c r="Z23" i="14"/>
  <c r="Z22" i="14"/>
  <c r="Z21" i="14"/>
  <c r="Z20" i="14"/>
  <c r="Z19" i="14"/>
  <c r="Z18" i="14"/>
  <c r="Z17" i="14"/>
  <c r="Z178" i="14" l="1"/>
  <c r="Z141" i="14"/>
  <c r="Z148" i="14" l="1"/>
  <c r="Z185" i="14" l="1"/>
  <c r="Z149" i="14" l="1"/>
  <c r="Z158" i="14" s="1"/>
  <c r="Z186" i="14" l="1"/>
  <c r="Z195" i="14" s="1"/>
  <c r="I9" i="14" l="1"/>
  <c r="N195" i="14"/>
  <c r="N10" i="31" l="1"/>
  <c r="O10" i="31" s="1"/>
  <c r="D22" i="35"/>
  <c r="D21" i="35"/>
  <c r="D20" i="35"/>
  <c r="D19" i="35"/>
  <c r="D18" i="35"/>
  <c r="D17" i="35"/>
  <c r="D15" i="35"/>
  <c r="D14" i="35"/>
  <c r="D13" i="35"/>
  <c r="D12" i="35"/>
  <c r="D11" i="35"/>
  <c r="D10" i="35"/>
  <c r="P10" i="31" l="1"/>
  <c r="H30" i="35"/>
  <c r="C27" i="35"/>
  <c r="H23" i="35"/>
  <c r="C22" i="35"/>
  <c r="C20" i="35"/>
  <c r="C19" i="35"/>
  <c r="H16" i="35"/>
  <c r="C15" i="35"/>
  <c r="C14" i="35"/>
  <c r="C13" i="35"/>
  <c r="C11" i="35"/>
  <c r="H9" i="35"/>
  <c r="C29" i="35"/>
  <c r="C28" i="35"/>
  <c r="C18" i="35"/>
  <c r="C10" i="35"/>
  <c r="C17" i="35" l="1"/>
  <c r="C21" i="35"/>
  <c r="C25" i="35"/>
  <c r="C12" i="35"/>
  <c r="C24" i="35"/>
  <c r="E54" i="31" l="1"/>
  <c r="C54" i="31"/>
  <c r="U47" i="14" l="1"/>
  <c r="Z104" i="14" l="1"/>
  <c r="Z16" i="14" l="1"/>
  <c r="Z47" i="14" s="1"/>
  <c r="Z66" i="14"/>
  <c r="Z71" i="14"/>
  <c r="Z65" i="14"/>
  <c r="Z79" i="14"/>
  <c r="Z69" i="14"/>
  <c r="Z68" i="14"/>
  <c r="Z72" i="14"/>
  <c r="Z54" i="14"/>
  <c r="Z78" i="14"/>
  <c r="Z70" i="14"/>
  <c r="Z73" i="14"/>
  <c r="Z61" i="14"/>
  <c r="Z64" i="14"/>
  <c r="Z55" i="14"/>
  <c r="Z77" i="14"/>
  <c r="Z56" i="14"/>
  <c r="Z80" i="14"/>
  <c r="Z63" i="14"/>
  <c r="Z58" i="14"/>
  <c r="Z67" i="14"/>
  <c r="Z57" i="14"/>
  <c r="Z62" i="14"/>
  <c r="Z60" i="14"/>
  <c r="Z59" i="14" l="1"/>
  <c r="Z83" i="14" l="1"/>
  <c r="Z53" i="14" l="1"/>
  <c r="Z76" i="14"/>
  <c r="C1" i="24"/>
  <c r="C30" i="24" s="1"/>
  <c r="S43" i="14" s="1"/>
  <c r="C25" i="24" l="1"/>
  <c r="S38" i="14" s="1"/>
  <c r="C24" i="24"/>
  <c r="S37" i="14" s="1"/>
  <c r="C31" i="24"/>
  <c r="S44" i="14" s="1"/>
  <c r="C29" i="24"/>
  <c r="S42" i="14" s="1"/>
  <c r="C17" i="24"/>
  <c r="S30" i="14" s="1"/>
  <c r="C23" i="24"/>
  <c r="S36" i="14" s="1"/>
  <c r="C15" i="24"/>
  <c r="S28" i="14" s="1"/>
  <c r="C7" i="24"/>
  <c r="S20" i="14" s="1"/>
  <c r="C4" i="24"/>
  <c r="S17" i="14" s="1"/>
  <c r="C32" i="24"/>
  <c r="S45" i="14" s="1"/>
  <c r="C3" i="24"/>
  <c r="S16" i="14" s="1"/>
  <c r="C14" i="24"/>
  <c r="S27" i="14" s="1"/>
  <c r="C5" i="24"/>
  <c r="S18" i="14" s="1"/>
  <c r="C16" i="24"/>
  <c r="S29" i="14" s="1"/>
  <c r="C12" i="24"/>
  <c r="S25" i="14" s="1"/>
  <c r="C21" i="24"/>
  <c r="S34" i="14" s="1"/>
  <c r="C20" i="24"/>
  <c r="S33" i="14" s="1"/>
  <c r="C9" i="24"/>
  <c r="S22" i="14" s="1"/>
  <c r="O195" i="14" l="1"/>
  <c r="Z90" i="14" l="1"/>
  <c r="Z75" i="14" l="1"/>
  <c r="H195" i="14" l="1"/>
  <c r="K195" i="14"/>
  <c r="E195" i="14" l="1"/>
  <c r="Z112" i="14"/>
  <c r="N47" i="14"/>
  <c r="Z111" i="14" l="1"/>
  <c r="Z121" i="14" s="1"/>
  <c r="Z74" i="14" l="1"/>
  <c r="Z84" i="14" s="1"/>
  <c r="N121" i="14"/>
  <c r="N84" i="14"/>
  <c r="N158" i="14" l="1"/>
  <c r="H9" i="14" l="1"/>
  <c r="G9" i="14"/>
  <c r="K10" i="31" l="1"/>
  <c r="H10" i="31"/>
  <c r="I10" i="31" s="1"/>
  <c r="J10" i="31" s="1"/>
  <c r="L10" i="31"/>
  <c r="O47" i="14"/>
  <c r="M10" i="31" l="1"/>
  <c r="O158" i="14"/>
  <c r="F9" i="14"/>
  <c r="E10" i="31" s="1"/>
  <c r="F10" i="31" s="1"/>
  <c r="G10" i="31" s="1"/>
  <c r="O84" i="14" l="1"/>
  <c r="O121" i="14"/>
  <c r="E9" i="14" l="1"/>
  <c r="B10" i="31" l="1"/>
  <c r="Q10" i="31" s="1"/>
  <c r="J9" i="14"/>
  <c r="C10" i="31" l="1"/>
  <c r="R10" i="31" s="1"/>
  <c r="D10" i="31" l="1"/>
  <c r="S10" i="31" s="1"/>
  <c r="I18" i="2"/>
  <c r="M18" i="2"/>
  <c r="E18" i="2"/>
  <c r="G18" i="2" s="1"/>
  <c r="K9" i="14" l="1"/>
  <c r="F6" i="2"/>
  <c r="D92" i="2" l="1"/>
  <c r="M69" i="2"/>
  <c r="O69" i="2" s="1"/>
  <c r="M70" i="2"/>
  <c r="O70" i="2" s="1"/>
  <c r="M71" i="2"/>
  <c r="O71" i="2" s="1"/>
  <c r="M72" i="2"/>
  <c r="O72" i="2" s="1"/>
  <c r="M73" i="2"/>
  <c r="O73" i="2" s="1"/>
  <c r="M74" i="2"/>
  <c r="O74" i="2" s="1"/>
  <c r="M75" i="2"/>
  <c r="O75" i="2" s="1"/>
  <c r="M76" i="2"/>
  <c r="O76" i="2" s="1"/>
  <c r="M77" i="2"/>
  <c r="O77" i="2" s="1"/>
  <c r="M78" i="2"/>
  <c r="O78" i="2" s="1"/>
  <c r="M79" i="2"/>
  <c r="O79" i="2" s="1"/>
  <c r="M81" i="2"/>
  <c r="O81" i="2" s="1"/>
  <c r="M82" i="2"/>
  <c r="O82" i="2" s="1"/>
  <c r="M83" i="2"/>
  <c r="O83" i="2" s="1"/>
  <c r="M84" i="2"/>
  <c r="O84" i="2" s="1"/>
  <c r="M85" i="2"/>
  <c r="O85" i="2" s="1"/>
  <c r="M86" i="2"/>
  <c r="O86" i="2" s="1"/>
  <c r="M87" i="2"/>
  <c r="O87" i="2" s="1"/>
  <c r="M88" i="2"/>
  <c r="O88" i="2" s="1"/>
  <c r="M89" i="2"/>
  <c r="O89" i="2" s="1"/>
  <c r="M90" i="2"/>
  <c r="O90" i="2" s="1"/>
  <c r="M68" i="2"/>
  <c r="O68" i="2" s="1"/>
  <c r="O91" i="2" l="1"/>
  <c r="M91" i="2"/>
  <c r="G92" i="2"/>
  <c r="J92" i="2" l="1"/>
  <c r="G95" i="2"/>
  <c r="G99" i="2" s="1"/>
  <c r="I69" i="2"/>
  <c r="K69" i="2" s="1"/>
  <c r="I70" i="2"/>
  <c r="K70" i="2" s="1"/>
  <c r="I71" i="2"/>
  <c r="K71" i="2" s="1"/>
  <c r="I72" i="2"/>
  <c r="K72" i="2" s="1"/>
  <c r="I73" i="2"/>
  <c r="K73" i="2" s="1"/>
  <c r="I74" i="2"/>
  <c r="K74" i="2" s="1"/>
  <c r="I75" i="2"/>
  <c r="K75" i="2" s="1"/>
  <c r="I76" i="2"/>
  <c r="K76" i="2" s="1"/>
  <c r="I77" i="2"/>
  <c r="K77" i="2" s="1"/>
  <c r="I78" i="2"/>
  <c r="K78" i="2" s="1"/>
  <c r="I79" i="2"/>
  <c r="K79" i="2" s="1"/>
  <c r="I81" i="2"/>
  <c r="K81" i="2" s="1"/>
  <c r="I82" i="2"/>
  <c r="K82" i="2" s="1"/>
  <c r="I83" i="2"/>
  <c r="K83" i="2" s="1"/>
  <c r="I84" i="2"/>
  <c r="K84" i="2" s="1"/>
  <c r="I85" i="2"/>
  <c r="K85" i="2" s="1"/>
  <c r="I86" i="2"/>
  <c r="K86" i="2" s="1"/>
  <c r="I87" i="2"/>
  <c r="K87" i="2" s="1"/>
  <c r="I88" i="2"/>
  <c r="K88" i="2" s="1"/>
  <c r="I89" i="2"/>
  <c r="K89" i="2" s="1"/>
  <c r="I90" i="2"/>
  <c r="K90" i="2" s="1"/>
  <c r="I68" i="2"/>
  <c r="E69" i="2"/>
  <c r="G69" i="2" s="1"/>
  <c r="E70" i="2"/>
  <c r="G70" i="2" s="1"/>
  <c r="E71" i="2"/>
  <c r="G71" i="2" s="1"/>
  <c r="E72" i="2"/>
  <c r="G72" i="2" s="1"/>
  <c r="E73" i="2"/>
  <c r="G73" i="2" s="1"/>
  <c r="E74" i="2"/>
  <c r="G74" i="2" s="1"/>
  <c r="E75" i="2"/>
  <c r="G75" i="2" s="1"/>
  <c r="E76" i="2"/>
  <c r="G76" i="2" s="1"/>
  <c r="E77" i="2"/>
  <c r="G77" i="2" s="1"/>
  <c r="E78" i="2"/>
  <c r="G78" i="2" s="1"/>
  <c r="E79" i="2"/>
  <c r="G79" i="2" s="1"/>
  <c r="E81" i="2"/>
  <c r="G81" i="2" s="1"/>
  <c r="E82" i="2"/>
  <c r="G82" i="2" s="1"/>
  <c r="E83" i="2"/>
  <c r="G83" i="2" s="1"/>
  <c r="E84" i="2"/>
  <c r="G84" i="2" s="1"/>
  <c r="E85" i="2"/>
  <c r="G85" i="2" s="1"/>
  <c r="E86" i="2"/>
  <c r="G86" i="2" s="1"/>
  <c r="E87" i="2"/>
  <c r="G87" i="2" s="1"/>
  <c r="E88" i="2"/>
  <c r="G88" i="2" s="1"/>
  <c r="E89" i="2"/>
  <c r="G89" i="2" s="1"/>
  <c r="E90" i="2"/>
  <c r="G90" i="2" s="1"/>
  <c r="G64" i="2"/>
  <c r="J64" i="2"/>
  <c r="D64" i="2"/>
  <c r="L42" i="2"/>
  <c r="L43" i="2"/>
  <c r="L44" i="2"/>
  <c r="L45" i="2"/>
  <c r="L46" i="2"/>
  <c r="L47" i="2"/>
  <c r="L48" i="2"/>
  <c r="L49" i="2"/>
  <c r="L50" i="2"/>
  <c r="L51" i="2"/>
  <c r="L52" i="2"/>
  <c r="L54" i="2"/>
  <c r="L55" i="2"/>
  <c r="L56" i="2"/>
  <c r="L57" i="2"/>
  <c r="L58" i="2"/>
  <c r="L59" i="2"/>
  <c r="L60" i="2"/>
  <c r="L61" i="2"/>
  <c r="L62" i="2"/>
  <c r="L63" i="2"/>
  <c r="L41" i="2"/>
  <c r="I42" i="2"/>
  <c r="I43" i="2"/>
  <c r="I44" i="2"/>
  <c r="I45" i="2"/>
  <c r="I46" i="2"/>
  <c r="I47" i="2"/>
  <c r="I48" i="2"/>
  <c r="I49" i="2"/>
  <c r="I50" i="2"/>
  <c r="I51" i="2"/>
  <c r="I52" i="2"/>
  <c r="I54" i="2"/>
  <c r="I55" i="2"/>
  <c r="I56" i="2"/>
  <c r="I57" i="2"/>
  <c r="I58" i="2"/>
  <c r="I59" i="2"/>
  <c r="I60" i="2"/>
  <c r="I61" i="2"/>
  <c r="I62" i="2"/>
  <c r="I63" i="2"/>
  <c r="I41" i="2"/>
  <c r="F42" i="2"/>
  <c r="F43" i="2"/>
  <c r="F44" i="2"/>
  <c r="F45" i="2"/>
  <c r="F46" i="2"/>
  <c r="F47" i="2"/>
  <c r="F48" i="2"/>
  <c r="F49" i="2"/>
  <c r="F50" i="2"/>
  <c r="F51" i="2"/>
  <c r="F52" i="2"/>
  <c r="F54" i="2"/>
  <c r="F55" i="2"/>
  <c r="F56" i="2"/>
  <c r="F57" i="2"/>
  <c r="F58" i="2"/>
  <c r="F59" i="2"/>
  <c r="F60" i="2"/>
  <c r="F61" i="2"/>
  <c r="F62" i="2"/>
  <c r="F63" i="2"/>
  <c r="F41" i="2"/>
  <c r="M19" i="2"/>
  <c r="M20" i="2"/>
  <c r="O20" i="2" s="1"/>
  <c r="M21" i="2"/>
  <c r="O21" i="2" s="1"/>
  <c r="M22" i="2"/>
  <c r="O22" i="2" s="1"/>
  <c r="M23" i="2"/>
  <c r="O23" i="2" s="1"/>
  <c r="M24" i="2"/>
  <c r="O24" i="2" s="1"/>
  <c r="M25" i="2"/>
  <c r="O25" i="2" s="1"/>
  <c r="M26" i="2"/>
  <c r="O26" i="2" s="1"/>
  <c r="M27" i="2"/>
  <c r="O27" i="2" s="1"/>
  <c r="M28" i="2"/>
  <c r="O28" i="2" s="1"/>
  <c r="O18" i="2"/>
  <c r="I19" i="2"/>
  <c r="K19" i="2" s="1"/>
  <c r="I20" i="2"/>
  <c r="K20" i="2" s="1"/>
  <c r="I21" i="2"/>
  <c r="K21" i="2" s="1"/>
  <c r="I22" i="2"/>
  <c r="K22" i="2" s="1"/>
  <c r="I23" i="2"/>
  <c r="K23" i="2" s="1"/>
  <c r="I24" i="2"/>
  <c r="K24" i="2" s="1"/>
  <c r="I25" i="2"/>
  <c r="K25" i="2" s="1"/>
  <c r="I26" i="2"/>
  <c r="K26" i="2" s="1"/>
  <c r="I27" i="2"/>
  <c r="K27" i="2" s="1"/>
  <c r="I28" i="2"/>
  <c r="K28" i="2" s="1"/>
  <c r="K18" i="2"/>
  <c r="E22" i="2"/>
  <c r="G22" i="2" s="1"/>
  <c r="E23" i="2"/>
  <c r="G23" i="2" s="1"/>
  <c r="E24" i="2"/>
  <c r="G24" i="2" s="1"/>
  <c r="E25" i="2"/>
  <c r="G25" i="2" s="1"/>
  <c r="E26" i="2"/>
  <c r="G26" i="2" s="1"/>
  <c r="E27" i="2"/>
  <c r="G27" i="2" s="1"/>
  <c r="E28" i="2"/>
  <c r="G28" i="2" s="1"/>
  <c r="E20" i="2"/>
  <c r="G20" i="2" s="1"/>
  <c r="E21" i="2"/>
  <c r="G21" i="2" s="1"/>
  <c r="E19" i="2"/>
  <c r="G19" i="2" s="1"/>
  <c r="J14" i="2"/>
  <c r="G14" i="2"/>
  <c r="D14" i="2"/>
  <c r="L4" i="2"/>
  <c r="L5" i="2"/>
  <c r="L6" i="2"/>
  <c r="L7" i="2"/>
  <c r="L8" i="2"/>
  <c r="L9" i="2"/>
  <c r="L10" i="2"/>
  <c r="L11" i="2"/>
  <c r="L12" i="2"/>
  <c r="L13" i="2"/>
  <c r="L3" i="2"/>
  <c r="I4" i="2"/>
  <c r="I5" i="2"/>
  <c r="I6" i="2"/>
  <c r="I7" i="2"/>
  <c r="I8" i="2"/>
  <c r="I9" i="2"/>
  <c r="I10" i="2"/>
  <c r="I11" i="2"/>
  <c r="I12" i="2"/>
  <c r="I13" i="2"/>
  <c r="I3" i="2"/>
  <c r="F4" i="2"/>
  <c r="F5" i="2"/>
  <c r="F7" i="2"/>
  <c r="F8" i="2"/>
  <c r="F9" i="2"/>
  <c r="F10" i="2"/>
  <c r="F11" i="2"/>
  <c r="F12" i="2"/>
  <c r="F13" i="2"/>
  <c r="F3" i="2"/>
  <c r="D30" i="2"/>
  <c r="I91" i="2" l="1"/>
  <c r="F64" i="2"/>
  <c r="I64" i="2"/>
  <c r="K68" i="2"/>
  <c r="K91" i="2" s="1"/>
  <c r="L64" i="2"/>
  <c r="M29" i="2"/>
  <c r="I29" i="2"/>
  <c r="O19" i="2"/>
  <c r="O29" i="2" s="1"/>
  <c r="F14" i="2"/>
  <c r="E29" i="2"/>
  <c r="L14" i="2"/>
  <c r="I14" i="2"/>
  <c r="K29" i="2"/>
  <c r="G29" i="2"/>
  <c r="G30" i="2"/>
  <c r="F97" i="2" l="1"/>
  <c r="F96" i="2"/>
  <c r="F98" i="2"/>
  <c r="J30" i="2"/>
  <c r="G33" i="2"/>
  <c r="G37" i="2" s="1"/>
  <c r="F36" i="2"/>
  <c r="F34" i="2"/>
  <c r="F35" i="2"/>
  <c r="F33" i="2"/>
  <c r="G116" i="2"/>
  <c r="G115" i="2"/>
  <c r="F37" i="2" l="1"/>
  <c r="H37" i="2" s="1"/>
  <c r="E68" i="2" l="1"/>
  <c r="E91" i="2" l="1"/>
  <c r="G68" i="2"/>
  <c r="G91" i="2" s="1"/>
  <c r="F95" i="2" s="1"/>
  <c r="F99" i="2" s="1"/>
  <c r="H99" i="2" s="1"/>
  <c r="K47" i="14" l="1"/>
  <c r="H47" i="14"/>
  <c r="E47" i="14"/>
  <c r="K84" i="14" l="1"/>
  <c r="H84" i="14"/>
  <c r="E84" i="14" l="1"/>
  <c r="E121" i="14"/>
  <c r="H121" i="14" l="1"/>
  <c r="K121" i="14"/>
  <c r="H158" i="14" l="1"/>
  <c r="K158" i="14"/>
  <c r="E158" i="14"/>
  <c r="E38" i="35"/>
  <c r="E6" i="35" s="1"/>
  <c r="E36" i="35"/>
  <c r="E4" i="35" s="1"/>
  <c r="E40" i="35"/>
  <c r="E8" i="35" s="1"/>
  <c r="E37" i="35"/>
  <c r="E5" i="35" s="1"/>
  <c r="E26" i="35" s="1"/>
  <c r="E39" i="35"/>
  <c r="E7" i="35" s="1"/>
  <c r="E35" i="35"/>
  <c r="E3" i="35" s="1"/>
  <c r="E17" i="35" s="1"/>
  <c r="F17" i="35" l="1"/>
  <c r="G17" i="35"/>
  <c r="F5" i="35"/>
  <c r="F3" i="35"/>
  <c r="E24" i="35"/>
  <c r="E10" i="35"/>
  <c r="G3" i="35"/>
  <c r="G26" i="35"/>
  <c r="F26" i="35"/>
  <c r="E20" i="35"/>
  <c r="E27" i="35"/>
  <c r="E13" i="35"/>
  <c r="G6" i="35"/>
  <c r="F4" i="35"/>
  <c r="E25" i="35"/>
  <c r="E18" i="35"/>
  <c r="E11" i="35"/>
  <c r="E21" i="35"/>
  <c r="G7" i="35"/>
  <c r="F7" i="35"/>
  <c r="E28" i="35"/>
  <c r="F6" i="35"/>
  <c r="E19" i="35"/>
  <c r="E12" i="35"/>
  <c r="G5" i="35"/>
  <c r="E14" i="35"/>
  <c r="G4" i="35"/>
  <c r="E22" i="35"/>
  <c r="G8" i="35"/>
  <c r="E29" i="35"/>
  <c r="F8" i="35"/>
  <c r="E15" i="35"/>
  <c r="F20" i="35" l="1"/>
  <c r="G20" i="35"/>
  <c r="G14" i="35"/>
  <c r="F14" i="35"/>
  <c r="G9" i="35"/>
  <c r="F29" i="35"/>
  <c r="G29" i="35"/>
  <c r="F10" i="35"/>
  <c r="G10" i="35"/>
  <c r="F15" i="35"/>
  <c r="G15" i="35"/>
  <c r="F18" i="35"/>
  <c r="G18" i="35"/>
  <c r="F19" i="35"/>
  <c r="G19" i="35"/>
  <c r="F28" i="35"/>
  <c r="G28" i="35"/>
  <c r="F24" i="35"/>
  <c r="G24" i="35"/>
  <c r="F27" i="35"/>
  <c r="G27" i="35"/>
  <c r="G21" i="35"/>
  <c r="F21" i="35"/>
  <c r="F11" i="35"/>
  <c r="G11" i="35"/>
  <c r="G12" i="35"/>
  <c r="F12" i="35"/>
  <c r="G25" i="35"/>
  <c r="F25" i="35"/>
  <c r="G22" i="35"/>
  <c r="F22" i="35"/>
  <c r="F13" i="35"/>
  <c r="G13" i="35"/>
  <c r="F39" i="14" l="1"/>
  <c r="G39" i="14" s="1"/>
  <c r="F42" i="14"/>
  <c r="G42" i="14" s="1"/>
  <c r="F18" i="14"/>
  <c r="G18" i="14" s="1"/>
  <c r="F155" i="14"/>
  <c r="G155" i="14" s="1"/>
  <c r="F118" i="14"/>
  <c r="G118" i="14" s="1"/>
  <c r="F144" i="14"/>
  <c r="G144" i="14" s="1"/>
  <c r="F153" i="14"/>
  <c r="G153" i="14" s="1"/>
  <c r="F25" i="14"/>
  <c r="G25" i="14" s="1"/>
  <c r="F149" i="14"/>
  <c r="G149" i="14" s="1"/>
  <c r="F40" i="14"/>
  <c r="G40" i="14" s="1"/>
  <c r="F142" i="14"/>
  <c r="G142" i="14" s="1"/>
  <c r="F139" i="14"/>
  <c r="G139" i="14" s="1"/>
  <c r="F37" i="14"/>
  <c r="G37" i="14" s="1"/>
  <c r="F28" i="14"/>
  <c r="G28" i="14" s="1"/>
  <c r="F130" i="14"/>
  <c r="G130" i="14" s="1"/>
  <c r="F17" i="14"/>
  <c r="G17" i="14" s="1"/>
  <c r="F22" i="14"/>
  <c r="G22" i="14" s="1"/>
  <c r="F26" i="14"/>
  <c r="G26" i="14" s="1"/>
  <c r="F156" i="14"/>
  <c r="G156" i="14" s="1"/>
  <c r="F152" i="14"/>
  <c r="G152" i="14" s="1"/>
  <c r="F132" i="14"/>
  <c r="G132" i="14" s="1"/>
  <c r="F45" i="14"/>
  <c r="G45" i="14" s="1"/>
  <c r="F29" i="14"/>
  <c r="G29" i="14" s="1"/>
  <c r="F119" i="14"/>
  <c r="G119" i="14" s="1"/>
  <c r="F171" i="14"/>
  <c r="G171" i="14" s="1"/>
  <c r="F185" i="14"/>
  <c r="G185" i="14" s="1"/>
  <c r="F186" i="14"/>
  <c r="G186" i="14" s="1"/>
  <c r="F35" i="14"/>
  <c r="G35" i="14" s="1"/>
  <c r="F41" i="14"/>
  <c r="G41" i="14" s="1"/>
  <c r="F23" i="14"/>
  <c r="G23" i="14" s="1"/>
  <c r="F81" i="14"/>
  <c r="G81" i="14" s="1"/>
  <c r="F20" i="14"/>
  <c r="G20" i="14" s="1"/>
  <c r="F36" i="14"/>
  <c r="G36" i="14" s="1"/>
  <c r="F192" i="14"/>
  <c r="G192" i="14" s="1"/>
  <c r="F187" i="14"/>
  <c r="G187" i="14" s="1"/>
  <c r="F43" i="14"/>
  <c r="G43" i="14" s="1"/>
  <c r="F27" i="14"/>
  <c r="G27" i="14" s="1"/>
  <c r="F32" i="14"/>
  <c r="G32" i="14" s="1"/>
  <c r="F24" i="14"/>
  <c r="G24" i="14" s="1"/>
  <c r="F44" i="14"/>
  <c r="G44" i="14" s="1"/>
  <c r="F150" i="14"/>
  <c r="G150" i="14" s="1"/>
  <c r="F135" i="14"/>
  <c r="G135" i="14" s="1"/>
  <c r="F131" i="14"/>
  <c r="G131" i="14" s="1"/>
  <c r="F168" i="14"/>
  <c r="G168" i="14" s="1"/>
  <c r="F181" i="14"/>
  <c r="G181" i="14" s="1"/>
  <c r="F147" i="14"/>
  <c r="G147" i="14" s="1"/>
  <c r="F30" i="14"/>
  <c r="G30" i="14" s="1"/>
  <c r="F140" i="14"/>
  <c r="G140" i="14" s="1"/>
  <c r="F46" i="14"/>
  <c r="G46" i="14" s="1"/>
  <c r="F82" i="14"/>
  <c r="G82" i="14" s="1"/>
  <c r="F128" i="14"/>
  <c r="G128" i="14" s="1"/>
  <c r="F133" i="14"/>
  <c r="G133" i="14" s="1"/>
  <c r="F31" i="14"/>
  <c r="G31" i="14" s="1"/>
  <c r="F143" i="14"/>
  <c r="G143" i="14" s="1"/>
  <c r="F178" i="14"/>
  <c r="G178" i="14" s="1"/>
  <c r="F141" i="14"/>
  <c r="G141" i="14" s="1"/>
  <c r="F177" i="14"/>
  <c r="G177" i="14" s="1"/>
  <c r="F151" i="14"/>
  <c r="G151" i="14" s="1"/>
  <c r="F145" i="14"/>
  <c r="G145" i="14" s="1"/>
  <c r="F189" i="14"/>
  <c r="G189" i="14" s="1"/>
  <c r="F138" i="14"/>
  <c r="G138" i="14" s="1"/>
  <c r="F170" i="14"/>
  <c r="G170" i="14" s="1"/>
  <c r="F19" i="14"/>
  <c r="G19" i="14" s="1"/>
  <c r="F33" i="14"/>
  <c r="G33" i="14" s="1"/>
  <c r="F113" i="14"/>
  <c r="G113" i="14" s="1"/>
  <c r="F57" i="14"/>
  <c r="G57" i="14" s="1"/>
  <c r="F34" i="14"/>
  <c r="G34" i="14" s="1"/>
  <c r="F80" i="14"/>
  <c r="G80" i="14" s="1"/>
  <c r="F154" i="14"/>
  <c r="G154" i="14" s="1"/>
  <c r="F166" i="14"/>
  <c r="G166" i="14" s="1"/>
  <c r="F148" i="14"/>
  <c r="G148" i="14" s="1"/>
  <c r="F172" i="14"/>
  <c r="G172" i="14" s="1"/>
  <c r="F173" i="14"/>
  <c r="G173" i="14" s="1"/>
  <c r="F183" i="14"/>
  <c r="G183" i="14" s="1"/>
  <c r="F193" i="14"/>
  <c r="G193" i="14" s="1"/>
  <c r="F190" i="14"/>
  <c r="G190" i="14" s="1"/>
  <c r="F165" i="14"/>
  <c r="G165" i="14" s="1"/>
  <c r="F169" i="14"/>
  <c r="G169" i="14" s="1"/>
  <c r="F184" i="14"/>
  <c r="G184" i="14" s="1"/>
  <c r="F117" i="14"/>
  <c r="G117" i="14" s="1"/>
  <c r="F38" i="14"/>
  <c r="G38" i="14" s="1"/>
  <c r="F129" i="14"/>
  <c r="G129" i="14" s="1"/>
  <c r="F21" i="14"/>
  <c r="G21" i="14" s="1"/>
  <c r="F176" i="14"/>
  <c r="G176" i="14" s="1"/>
  <c r="F182" i="14"/>
  <c r="G182" i="14" s="1"/>
  <c r="F146" i="14"/>
  <c r="G146" i="14" s="1"/>
  <c r="F134" i="14"/>
  <c r="G134" i="14" s="1"/>
  <c r="F136" i="14"/>
  <c r="G136" i="14" s="1"/>
  <c r="F65" i="14"/>
  <c r="G65" i="14" s="1"/>
  <c r="F167" i="14"/>
  <c r="G167" i="14" s="1"/>
  <c r="F180" i="14"/>
  <c r="G180" i="14" s="1"/>
  <c r="F97" i="14"/>
  <c r="G97" i="14" s="1"/>
  <c r="F73" i="14"/>
  <c r="G73" i="14" s="1"/>
  <c r="F157" i="14"/>
  <c r="G157" i="14" s="1"/>
  <c r="F194" i="14"/>
  <c r="G194" i="14" s="1"/>
  <c r="F107" i="14"/>
  <c r="G107" i="14" s="1"/>
  <c r="F70" i="14"/>
  <c r="G70" i="14" s="1"/>
  <c r="F92" i="14"/>
  <c r="G92" i="14" s="1"/>
  <c r="F83" i="14"/>
  <c r="G83" i="14" s="1"/>
  <c r="F188" i="14"/>
  <c r="G188" i="14" s="1"/>
  <c r="F112" i="14"/>
  <c r="G112" i="14" s="1"/>
  <c r="F174" i="14"/>
  <c r="G174" i="14" s="1"/>
  <c r="F76" i="14"/>
  <c r="G76" i="14" s="1"/>
  <c r="F137" i="14"/>
  <c r="G137" i="14" s="1"/>
  <c r="F56" i="14"/>
  <c r="G56" i="14" s="1"/>
  <c r="F60" i="14"/>
  <c r="G60" i="14" s="1"/>
  <c r="F191" i="14"/>
  <c r="G191" i="14" s="1"/>
  <c r="F175" i="14"/>
  <c r="G175" i="14" s="1"/>
  <c r="F54" i="14"/>
  <c r="G54" i="14" s="1"/>
  <c r="F59" i="14"/>
  <c r="G59" i="14" s="1"/>
  <c r="F114" i="14"/>
  <c r="G114" i="14" s="1"/>
  <c r="F53" i="14"/>
  <c r="G53" i="14" s="1"/>
  <c r="F72" i="14"/>
  <c r="G72" i="14" s="1"/>
  <c r="F61" i="14"/>
  <c r="G61" i="14" s="1"/>
  <c r="F77" i="14"/>
  <c r="G77" i="14" s="1"/>
  <c r="F103" i="14"/>
  <c r="G103" i="14" s="1"/>
  <c r="F108" i="14"/>
  <c r="G108" i="14" s="1"/>
  <c r="F179" i="14"/>
  <c r="G179" i="14" s="1"/>
  <c r="F101" i="14"/>
  <c r="G101" i="14" s="1"/>
  <c r="F78" i="14"/>
  <c r="G78" i="14" s="1"/>
  <c r="F96" i="14"/>
  <c r="G96" i="14" s="1"/>
  <c r="F102" i="14"/>
  <c r="G102" i="14" s="1"/>
  <c r="F127" i="14"/>
  <c r="G127" i="14" s="1"/>
  <c r="F79" i="14"/>
  <c r="G79" i="14" s="1"/>
  <c r="F74" i="14"/>
  <c r="G74" i="14" s="1"/>
  <c r="F64" i="14"/>
  <c r="G64" i="14" s="1"/>
  <c r="F75" i="14"/>
  <c r="G75" i="14" s="1"/>
  <c r="F94" i="14"/>
  <c r="G94" i="14" s="1"/>
  <c r="F98" i="14"/>
  <c r="G98" i="14" s="1"/>
  <c r="F120" i="14"/>
  <c r="G120" i="14" s="1"/>
  <c r="F71" i="14"/>
  <c r="G71" i="14" s="1"/>
  <c r="F91" i="14"/>
  <c r="G91" i="14" s="1"/>
  <c r="F67" i="14"/>
  <c r="G67" i="14" s="1"/>
  <c r="F109" i="14"/>
  <c r="G109" i="14" s="1"/>
  <c r="F100" i="14"/>
  <c r="G100" i="14" s="1"/>
  <c r="F68" i="14"/>
  <c r="G68" i="14" s="1"/>
  <c r="F58" i="14"/>
  <c r="G58" i="14" s="1"/>
  <c r="F111" i="14"/>
  <c r="G111" i="14" s="1"/>
  <c r="F93" i="14"/>
  <c r="G93" i="14" s="1"/>
  <c r="F55" i="14"/>
  <c r="G55" i="14" s="1"/>
  <c r="F116" i="14"/>
  <c r="G116" i="14" s="1"/>
  <c r="F105" i="14"/>
  <c r="G105" i="14" s="1"/>
  <c r="F115" i="14"/>
  <c r="G115" i="14" s="1"/>
  <c r="F66" i="14"/>
  <c r="G66" i="14" s="1"/>
  <c r="F16" i="14"/>
  <c r="G16" i="14" s="1"/>
  <c r="F110" i="14"/>
  <c r="G110" i="14" s="1"/>
  <c r="F63" i="14"/>
  <c r="G63" i="14" s="1"/>
  <c r="F69" i="14"/>
  <c r="G69" i="14" s="1"/>
  <c r="F104" i="14"/>
  <c r="G104" i="14" s="1"/>
  <c r="F95" i="14"/>
  <c r="G95" i="14" s="1"/>
  <c r="F106" i="14"/>
  <c r="G106" i="14" s="1"/>
  <c r="F90" i="14"/>
  <c r="G90" i="14" s="1"/>
  <c r="F62" i="14"/>
  <c r="G62" i="14" s="1"/>
  <c r="F164" i="14"/>
  <c r="G164" i="14" s="1"/>
  <c r="F99" i="14"/>
  <c r="G99" i="14" s="1"/>
  <c r="G30" i="35"/>
  <c r="G23" i="35"/>
  <c r="G16" i="35"/>
  <c r="W137" i="14" l="1"/>
  <c r="W25" i="14"/>
  <c r="W106" i="14"/>
  <c r="W115" i="14"/>
  <c r="W100" i="14"/>
  <c r="W75" i="14"/>
  <c r="W101" i="14"/>
  <c r="W114" i="14"/>
  <c r="W76" i="14"/>
  <c r="W194" i="14"/>
  <c r="W134" i="14"/>
  <c r="W184" i="14"/>
  <c r="W148" i="14"/>
  <c r="W19" i="14"/>
  <c r="W178" i="14"/>
  <c r="W30" i="14"/>
  <c r="W24" i="14"/>
  <c r="W81" i="14"/>
  <c r="W29" i="14"/>
  <c r="W130" i="14"/>
  <c r="W153" i="14"/>
  <c r="W78" i="14"/>
  <c r="W33" i="14"/>
  <c r="W140" i="14"/>
  <c r="W109" i="14"/>
  <c r="W179" i="14"/>
  <c r="W59" i="14"/>
  <c r="W174" i="14"/>
  <c r="W157" i="14"/>
  <c r="W146" i="14"/>
  <c r="W169" i="14"/>
  <c r="W166" i="14"/>
  <c r="W170" i="14"/>
  <c r="W143" i="14"/>
  <c r="W147" i="14"/>
  <c r="W32" i="14"/>
  <c r="W23" i="14"/>
  <c r="W45" i="14"/>
  <c r="W28" i="14"/>
  <c r="W144" i="14"/>
  <c r="W94" i="14"/>
  <c r="W172" i="14"/>
  <c r="W141" i="14"/>
  <c r="I21" i="14"/>
  <c r="J21" i="14" s="1"/>
  <c r="X21" i="14" s="1"/>
  <c r="I37" i="14"/>
  <c r="J37" i="14" s="1"/>
  <c r="X37" i="14" s="1"/>
  <c r="I19" i="14"/>
  <c r="J19" i="14" s="1"/>
  <c r="X19" i="14" s="1"/>
  <c r="I185" i="14"/>
  <c r="J185" i="14" s="1"/>
  <c r="X185" i="14" s="1"/>
  <c r="I27" i="14"/>
  <c r="J27" i="14" s="1"/>
  <c r="X27" i="14" s="1"/>
  <c r="I132" i="14"/>
  <c r="J132" i="14" s="1"/>
  <c r="X132" i="14" s="1"/>
  <c r="I113" i="14"/>
  <c r="J113" i="14" s="1"/>
  <c r="X113" i="14" s="1"/>
  <c r="I38" i="14"/>
  <c r="J38" i="14" s="1"/>
  <c r="X38" i="14" s="1"/>
  <c r="I24" i="14"/>
  <c r="J24" i="14" s="1"/>
  <c r="X24" i="14" s="1"/>
  <c r="I17" i="14"/>
  <c r="J17" i="14" s="1"/>
  <c r="X17" i="14" s="1"/>
  <c r="I190" i="14"/>
  <c r="J190" i="14" s="1"/>
  <c r="X190" i="14" s="1"/>
  <c r="I34" i="14"/>
  <c r="J34" i="14" s="1"/>
  <c r="X34" i="14" s="1"/>
  <c r="I133" i="14"/>
  <c r="J133" i="14" s="1"/>
  <c r="X133" i="14" s="1"/>
  <c r="I57" i="14"/>
  <c r="J57" i="14" s="1"/>
  <c r="X57" i="14" s="1"/>
  <c r="I82" i="14"/>
  <c r="J82" i="14" s="1"/>
  <c r="X82" i="14" s="1"/>
  <c r="I172" i="14"/>
  <c r="J172" i="14" s="1"/>
  <c r="X172" i="14" s="1"/>
  <c r="I36" i="14"/>
  <c r="J36" i="14" s="1"/>
  <c r="X36" i="14" s="1"/>
  <c r="I80" i="14"/>
  <c r="J80" i="14" s="1"/>
  <c r="X80" i="14" s="1"/>
  <c r="I147" i="14"/>
  <c r="J147" i="14" s="1"/>
  <c r="X147" i="14" s="1"/>
  <c r="I35" i="14"/>
  <c r="J35" i="14" s="1"/>
  <c r="X35" i="14" s="1"/>
  <c r="I131" i="14"/>
  <c r="J131" i="14" s="1"/>
  <c r="X131" i="14" s="1"/>
  <c r="I189" i="14"/>
  <c r="J189" i="14" s="1"/>
  <c r="X189" i="14" s="1"/>
  <c r="I73" i="14"/>
  <c r="J73" i="14" s="1"/>
  <c r="X73" i="14" s="1"/>
  <c r="I149" i="14"/>
  <c r="J149" i="14" s="1"/>
  <c r="X149" i="14" s="1"/>
  <c r="I141" i="14"/>
  <c r="J141" i="14" s="1"/>
  <c r="X141" i="14" s="1"/>
  <c r="I33" i="14"/>
  <c r="J33" i="14" s="1"/>
  <c r="X33" i="14" s="1"/>
  <c r="I30" i="14"/>
  <c r="J30" i="14" s="1"/>
  <c r="X30" i="14" s="1"/>
  <c r="I28" i="14"/>
  <c r="J28" i="14" s="1"/>
  <c r="X28" i="14" s="1"/>
  <c r="I176" i="14"/>
  <c r="J176" i="14" s="1"/>
  <c r="X176" i="14" s="1"/>
  <c r="I42" i="14"/>
  <c r="J42" i="14" s="1"/>
  <c r="X42" i="14" s="1"/>
  <c r="I143" i="14"/>
  <c r="J143" i="14" s="1"/>
  <c r="X143" i="14" s="1"/>
  <c r="I76" i="14"/>
  <c r="J76" i="14" s="1"/>
  <c r="X76" i="14" s="1"/>
  <c r="I156" i="14"/>
  <c r="J156" i="14" s="1"/>
  <c r="X156" i="14" s="1"/>
  <c r="I148" i="14"/>
  <c r="J148" i="14" s="1"/>
  <c r="X148" i="14" s="1"/>
  <c r="I186" i="14"/>
  <c r="J186" i="14" s="1"/>
  <c r="X186" i="14" s="1"/>
  <c r="I117" i="14"/>
  <c r="J117" i="14" s="1"/>
  <c r="X117" i="14" s="1"/>
  <c r="I167" i="14"/>
  <c r="J167" i="14" s="1"/>
  <c r="X167" i="14" s="1"/>
  <c r="I95" i="14"/>
  <c r="J95" i="14" s="1"/>
  <c r="X95" i="14" s="1"/>
  <c r="I183" i="14"/>
  <c r="J183" i="14" s="1"/>
  <c r="X183" i="14" s="1"/>
  <c r="I29" i="14"/>
  <c r="J29" i="14" s="1"/>
  <c r="X29" i="14" s="1"/>
  <c r="I46" i="14"/>
  <c r="J46" i="14" s="1"/>
  <c r="X46" i="14" s="1"/>
  <c r="I20" i="14"/>
  <c r="J20" i="14" s="1"/>
  <c r="X20" i="14" s="1"/>
  <c r="I18" i="14"/>
  <c r="J18" i="14" s="1"/>
  <c r="X18" i="14" s="1"/>
  <c r="I154" i="14"/>
  <c r="J154" i="14" s="1"/>
  <c r="X154" i="14" s="1"/>
  <c r="I22" i="14"/>
  <c r="J22" i="14" s="1"/>
  <c r="X22" i="14" s="1"/>
  <c r="I32" i="14"/>
  <c r="J32" i="14" s="1"/>
  <c r="X32" i="14" s="1"/>
  <c r="I44" i="14"/>
  <c r="J44" i="14" s="1"/>
  <c r="X44" i="14" s="1"/>
  <c r="I144" i="14"/>
  <c r="J144" i="14" s="1"/>
  <c r="X144" i="14" s="1"/>
  <c r="I188" i="14"/>
  <c r="J188" i="14" s="1"/>
  <c r="X188" i="14" s="1"/>
  <c r="I180" i="14"/>
  <c r="J180" i="14" s="1"/>
  <c r="X180" i="14" s="1"/>
  <c r="I119" i="14"/>
  <c r="J119" i="14" s="1"/>
  <c r="X119" i="14" s="1"/>
  <c r="I136" i="14"/>
  <c r="J136" i="14" s="1"/>
  <c r="X136" i="14" s="1"/>
  <c r="I39" i="14"/>
  <c r="J39" i="14" s="1"/>
  <c r="X39" i="14" s="1"/>
  <c r="I193" i="14"/>
  <c r="J193" i="14" s="1"/>
  <c r="X193" i="14" s="1"/>
  <c r="I100" i="14"/>
  <c r="J100" i="14" s="1"/>
  <c r="X100" i="14" s="1"/>
  <c r="I91" i="14"/>
  <c r="J91" i="14" s="1"/>
  <c r="X91" i="14" s="1"/>
  <c r="I78" i="14"/>
  <c r="J78" i="14" s="1"/>
  <c r="X78" i="14" s="1"/>
  <c r="I71" i="14"/>
  <c r="J71" i="14" s="1"/>
  <c r="X71" i="14" s="1"/>
  <c r="I60" i="14"/>
  <c r="J60" i="14" s="1"/>
  <c r="X60" i="14" s="1"/>
  <c r="I79" i="14"/>
  <c r="J79" i="14" s="1"/>
  <c r="X79" i="14" s="1"/>
  <c r="I171" i="14"/>
  <c r="J171" i="14" s="1"/>
  <c r="X171" i="14" s="1"/>
  <c r="I43" i="14"/>
  <c r="J43" i="14" s="1"/>
  <c r="X43" i="14" s="1"/>
  <c r="I182" i="14"/>
  <c r="J182" i="14" s="1"/>
  <c r="X182" i="14" s="1"/>
  <c r="I157" i="14"/>
  <c r="J157" i="14" s="1"/>
  <c r="X157" i="14" s="1"/>
  <c r="I135" i="14"/>
  <c r="J135" i="14" s="1"/>
  <c r="X135" i="14" s="1"/>
  <c r="I40" i="14"/>
  <c r="J40" i="14" s="1"/>
  <c r="X40" i="14" s="1"/>
  <c r="I31" i="14"/>
  <c r="J31" i="14" s="1"/>
  <c r="X31" i="14" s="1"/>
  <c r="I150" i="14"/>
  <c r="J150" i="14" s="1"/>
  <c r="X150" i="14" s="1"/>
  <c r="I169" i="14"/>
  <c r="J169" i="14" s="1"/>
  <c r="X169" i="14" s="1"/>
  <c r="I62" i="14"/>
  <c r="J62" i="14" s="1"/>
  <c r="X62" i="14" s="1"/>
  <c r="I151" i="14"/>
  <c r="J151" i="14" s="1"/>
  <c r="X151" i="14" s="1"/>
  <c r="I107" i="14"/>
  <c r="J107" i="14" s="1"/>
  <c r="X107" i="14" s="1"/>
  <c r="I111" i="14"/>
  <c r="J111" i="14" s="1"/>
  <c r="X111" i="14" s="1"/>
  <c r="I23" i="14"/>
  <c r="J23" i="14" s="1"/>
  <c r="X23" i="14" s="1"/>
  <c r="I145" i="14"/>
  <c r="J145" i="14" s="1"/>
  <c r="X145" i="14" s="1"/>
  <c r="I174" i="14"/>
  <c r="J174" i="14" s="1"/>
  <c r="X174" i="14" s="1"/>
  <c r="I41" i="14"/>
  <c r="J41" i="14" s="1"/>
  <c r="X41" i="14" s="1"/>
  <c r="I83" i="14"/>
  <c r="J83" i="14" s="1"/>
  <c r="X83" i="14" s="1"/>
  <c r="I77" i="14"/>
  <c r="J77" i="14" s="1"/>
  <c r="X77" i="14" s="1"/>
  <c r="I94" i="14"/>
  <c r="J94" i="14" s="1"/>
  <c r="X94" i="14" s="1"/>
  <c r="I128" i="14"/>
  <c r="J128" i="14" s="1"/>
  <c r="X128" i="14" s="1"/>
  <c r="I137" i="14"/>
  <c r="J137" i="14" s="1"/>
  <c r="X137" i="14" s="1"/>
  <c r="I69" i="14"/>
  <c r="J69" i="14" s="1"/>
  <c r="X69" i="14" s="1"/>
  <c r="I118" i="14"/>
  <c r="J118" i="14" s="1"/>
  <c r="X118" i="14" s="1"/>
  <c r="I67" i="14"/>
  <c r="J67" i="14" s="1"/>
  <c r="X67" i="14" s="1"/>
  <c r="I184" i="14"/>
  <c r="J184" i="14" s="1"/>
  <c r="X184" i="14" s="1"/>
  <c r="I81" i="14"/>
  <c r="J81" i="14" s="1"/>
  <c r="X81" i="14" s="1"/>
  <c r="I166" i="14"/>
  <c r="J166" i="14" s="1"/>
  <c r="X166" i="14" s="1"/>
  <c r="I112" i="14"/>
  <c r="J112" i="14" s="1"/>
  <c r="X112" i="14" s="1"/>
  <c r="I130" i="14"/>
  <c r="J130" i="14" s="1"/>
  <c r="X130" i="14" s="1"/>
  <c r="I153" i="14"/>
  <c r="J153" i="14" s="1"/>
  <c r="X153" i="14" s="1"/>
  <c r="I181" i="14"/>
  <c r="J181" i="14" s="1"/>
  <c r="X181" i="14" s="1"/>
  <c r="I178" i="14"/>
  <c r="J178" i="14" s="1"/>
  <c r="X178" i="14" s="1"/>
  <c r="I138" i="14"/>
  <c r="J138" i="14" s="1"/>
  <c r="X138" i="14" s="1"/>
  <c r="I134" i="14"/>
  <c r="J134" i="14" s="1"/>
  <c r="X134" i="14" s="1"/>
  <c r="I129" i="14"/>
  <c r="J129" i="14" s="1"/>
  <c r="X129" i="14" s="1"/>
  <c r="I175" i="14"/>
  <c r="J175" i="14" s="1"/>
  <c r="X175" i="14" s="1"/>
  <c r="I110" i="14"/>
  <c r="J110" i="14" s="1"/>
  <c r="X110" i="14" s="1"/>
  <c r="I98" i="14"/>
  <c r="J98" i="14" s="1"/>
  <c r="X98" i="14" s="1"/>
  <c r="I173" i="14"/>
  <c r="J173" i="14" s="1"/>
  <c r="X173" i="14" s="1"/>
  <c r="I26" i="14"/>
  <c r="J26" i="14" s="1"/>
  <c r="X26" i="14" s="1"/>
  <c r="I155" i="14"/>
  <c r="J155" i="14" s="1"/>
  <c r="X155" i="14" s="1"/>
  <c r="I103" i="14"/>
  <c r="J103" i="14" s="1"/>
  <c r="X103" i="14" s="1"/>
  <c r="I168" i="14"/>
  <c r="J168" i="14" s="1"/>
  <c r="X168" i="14" s="1"/>
  <c r="I106" i="14"/>
  <c r="J106" i="14" s="1"/>
  <c r="X106" i="14" s="1"/>
  <c r="I66" i="14"/>
  <c r="J66" i="14" s="1"/>
  <c r="X66" i="14" s="1"/>
  <c r="I68" i="14"/>
  <c r="J68" i="14" s="1"/>
  <c r="X68" i="14" s="1"/>
  <c r="I120" i="14"/>
  <c r="J120" i="14" s="1"/>
  <c r="X120" i="14" s="1"/>
  <c r="I53" i="14"/>
  <c r="J53" i="14" s="1"/>
  <c r="R53" i="14" s="1"/>
  <c r="I99" i="14"/>
  <c r="J99" i="14" s="1"/>
  <c r="X99" i="14" s="1"/>
  <c r="I194" i="14"/>
  <c r="J194" i="14" s="1"/>
  <c r="X194" i="14" s="1"/>
  <c r="I179" i="14"/>
  <c r="J179" i="14" s="1"/>
  <c r="X179" i="14" s="1"/>
  <c r="I54" i="14"/>
  <c r="J54" i="14" s="1"/>
  <c r="X54" i="14" s="1"/>
  <c r="I64" i="14"/>
  <c r="J64" i="14" s="1"/>
  <c r="X64" i="14" s="1"/>
  <c r="I45" i="14"/>
  <c r="J45" i="14" s="1"/>
  <c r="X45" i="14" s="1"/>
  <c r="I75" i="14"/>
  <c r="J75" i="14" s="1"/>
  <c r="X75" i="14" s="1"/>
  <c r="I104" i="14"/>
  <c r="J104" i="14" s="1"/>
  <c r="X104" i="14" s="1"/>
  <c r="I58" i="14"/>
  <c r="J58" i="14" s="1"/>
  <c r="X58" i="14" s="1"/>
  <c r="I74" i="14"/>
  <c r="J74" i="14" s="1"/>
  <c r="X74" i="14" s="1"/>
  <c r="I127" i="14"/>
  <c r="J127" i="14" s="1"/>
  <c r="I152" i="14"/>
  <c r="J152" i="14" s="1"/>
  <c r="X152" i="14" s="1"/>
  <c r="I177" i="14"/>
  <c r="J177" i="14" s="1"/>
  <c r="X177" i="14" s="1"/>
  <c r="I93" i="14"/>
  <c r="J93" i="14" s="1"/>
  <c r="X93" i="14" s="1"/>
  <c r="I96" i="14"/>
  <c r="J96" i="14" s="1"/>
  <c r="X96" i="14" s="1"/>
  <c r="I55" i="14"/>
  <c r="J55" i="14" s="1"/>
  <c r="X55" i="14" s="1"/>
  <c r="I114" i="14"/>
  <c r="J114" i="14" s="1"/>
  <c r="X114" i="14" s="1"/>
  <c r="I59" i="14"/>
  <c r="J59" i="14" s="1"/>
  <c r="X59" i="14" s="1"/>
  <c r="I164" i="14"/>
  <c r="J164" i="14" s="1"/>
  <c r="I90" i="14"/>
  <c r="J90" i="14" s="1"/>
  <c r="I142" i="14"/>
  <c r="J142" i="14" s="1"/>
  <c r="X142" i="14" s="1"/>
  <c r="I108" i="14"/>
  <c r="J108" i="14" s="1"/>
  <c r="X108" i="14" s="1"/>
  <c r="I16" i="14"/>
  <c r="J16" i="14" s="1"/>
  <c r="I192" i="14"/>
  <c r="J192" i="14" s="1"/>
  <c r="X192" i="14" s="1"/>
  <c r="I187" i="14"/>
  <c r="J187" i="14" s="1"/>
  <c r="X187" i="14" s="1"/>
  <c r="I92" i="14"/>
  <c r="J92" i="14" s="1"/>
  <c r="X92" i="14" s="1"/>
  <c r="I140" i="14"/>
  <c r="J140" i="14" s="1"/>
  <c r="X140" i="14" s="1"/>
  <c r="I170" i="14"/>
  <c r="J170" i="14" s="1"/>
  <c r="X170" i="14" s="1"/>
  <c r="I165" i="14"/>
  <c r="J165" i="14" s="1"/>
  <c r="X165" i="14" s="1"/>
  <c r="I105" i="14"/>
  <c r="J105" i="14" s="1"/>
  <c r="X105" i="14" s="1"/>
  <c r="I102" i="14"/>
  <c r="J102" i="14" s="1"/>
  <c r="X102" i="14" s="1"/>
  <c r="I101" i="14"/>
  <c r="J101" i="14" s="1"/>
  <c r="X101" i="14" s="1"/>
  <c r="I72" i="14"/>
  <c r="J72" i="14" s="1"/>
  <c r="X72" i="14" s="1"/>
  <c r="I115" i="14"/>
  <c r="J115" i="14" s="1"/>
  <c r="X115" i="14" s="1"/>
  <c r="I25" i="14"/>
  <c r="J25" i="14" s="1"/>
  <c r="X25" i="14" s="1"/>
  <c r="I139" i="14"/>
  <c r="J139" i="14" s="1"/>
  <c r="X139" i="14" s="1"/>
  <c r="I146" i="14"/>
  <c r="J146" i="14" s="1"/>
  <c r="X146" i="14" s="1"/>
  <c r="I56" i="14"/>
  <c r="J56" i="14" s="1"/>
  <c r="X56" i="14" s="1"/>
  <c r="I63" i="14"/>
  <c r="J63" i="14" s="1"/>
  <c r="X63" i="14" s="1"/>
  <c r="I97" i="14"/>
  <c r="J97" i="14" s="1"/>
  <c r="X97" i="14" s="1"/>
  <c r="I191" i="14"/>
  <c r="J191" i="14" s="1"/>
  <c r="X191" i="14" s="1"/>
  <c r="I70" i="14"/>
  <c r="J70" i="14" s="1"/>
  <c r="X70" i="14" s="1"/>
  <c r="I116" i="14"/>
  <c r="J116" i="14" s="1"/>
  <c r="X116" i="14" s="1"/>
  <c r="I61" i="14"/>
  <c r="J61" i="14" s="1"/>
  <c r="X61" i="14" s="1"/>
  <c r="I109" i="14"/>
  <c r="J109" i="14" s="1"/>
  <c r="X109" i="14" s="1"/>
  <c r="I65" i="14"/>
  <c r="J65" i="14" s="1"/>
  <c r="X65" i="14" s="1"/>
  <c r="L33" i="14"/>
  <c r="M33" i="14" s="1"/>
  <c r="Y33" i="14" s="1"/>
  <c r="L24" i="14"/>
  <c r="M24" i="14" s="1"/>
  <c r="Y24" i="14" s="1"/>
  <c r="L179" i="14"/>
  <c r="M179" i="14" s="1"/>
  <c r="Y179" i="14" s="1"/>
  <c r="L27" i="14"/>
  <c r="M27" i="14" s="1"/>
  <c r="Y27" i="14" s="1"/>
  <c r="L32" i="14"/>
  <c r="M32" i="14" s="1"/>
  <c r="Y32" i="14" s="1"/>
  <c r="L31" i="14"/>
  <c r="M31" i="14" s="1"/>
  <c r="Y31" i="14" s="1"/>
  <c r="L23" i="14"/>
  <c r="M23" i="14" s="1"/>
  <c r="Y23" i="14" s="1"/>
  <c r="L168" i="14"/>
  <c r="M168" i="14" s="1"/>
  <c r="Y168" i="14" s="1"/>
  <c r="L136" i="14"/>
  <c r="M136" i="14" s="1"/>
  <c r="Y136" i="14" s="1"/>
  <c r="L180" i="14"/>
  <c r="M180" i="14" s="1"/>
  <c r="Y180" i="14" s="1"/>
  <c r="L28" i="14"/>
  <c r="M28" i="14" s="1"/>
  <c r="Y28" i="14" s="1"/>
  <c r="L41" i="14"/>
  <c r="M41" i="14" s="1"/>
  <c r="Y41" i="14" s="1"/>
  <c r="L131" i="14"/>
  <c r="M131" i="14" s="1"/>
  <c r="Y131" i="14" s="1"/>
  <c r="L132" i="14"/>
  <c r="M132" i="14" s="1"/>
  <c r="Y132" i="14" s="1"/>
  <c r="L148" i="14"/>
  <c r="M148" i="14" s="1"/>
  <c r="Y148" i="14" s="1"/>
  <c r="L37" i="14"/>
  <c r="M37" i="14" s="1"/>
  <c r="Y37" i="14" s="1"/>
  <c r="L141" i="14"/>
  <c r="M141" i="14" s="1"/>
  <c r="Y141" i="14" s="1"/>
  <c r="L112" i="14"/>
  <c r="M112" i="14" s="1"/>
  <c r="Y112" i="14" s="1"/>
  <c r="L156" i="14"/>
  <c r="M156" i="14" s="1"/>
  <c r="Y156" i="14" s="1"/>
  <c r="L82" i="14"/>
  <c r="M82" i="14" s="1"/>
  <c r="Y82" i="14" s="1"/>
  <c r="L187" i="14"/>
  <c r="M187" i="14" s="1"/>
  <c r="Y187" i="14" s="1"/>
  <c r="L193" i="14"/>
  <c r="M193" i="14" s="1"/>
  <c r="Y193" i="14" s="1"/>
  <c r="L173" i="14"/>
  <c r="M173" i="14" s="1"/>
  <c r="Y173" i="14" s="1"/>
  <c r="L29" i="14"/>
  <c r="M29" i="14" s="1"/>
  <c r="Y29" i="14" s="1"/>
  <c r="L170" i="14"/>
  <c r="M170" i="14" s="1"/>
  <c r="Y170" i="14" s="1"/>
  <c r="L144" i="14"/>
  <c r="M144" i="14" s="1"/>
  <c r="Y144" i="14" s="1"/>
  <c r="L25" i="14"/>
  <c r="M25" i="14" s="1"/>
  <c r="Y25" i="14" s="1"/>
  <c r="L17" i="14"/>
  <c r="M17" i="14" s="1"/>
  <c r="Y17" i="14" s="1"/>
  <c r="L44" i="14"/>
  <c r="M44" i="14" s="1"/>
  <c r="Y44" i="14" s="1"/>
  <c r="L167" i="14"/>
  <c r="M167" i="14" s="1"/>
  <c r="Y167" i="14" s="1"/>
  <c r="L21" i="14"/>
  <c r="M21" i="14" s="1"/>
  <c r="Y21" i="14" s="1"/>
  <c r="L140" i="14"/>
  <c r="M140" i="14" s="1"/>
  <c r="Y140" i="14" s="1"/>
  <c r="L128" i="14"/>
  <c r="M128" i="14" s="1"/>
  <c r="Y128" i="14" s="1"/>
  <c r="L18" i="14"/>
  <c r="M18" i="14" s="1"/>
  <c r="Y18" i="14" s="1"/>
  <c r="L151" i="14"/>
  <c r="M151" i="14" s="1"/>
  <c r="Y151" i="14" s="1"/>
  <c r="L22" i="14"/>
  <c r="M22" i="14" s="1"/>
  <c r="Y22" i="14" s="1"/>
  <c r="L111" i="14"/>
  <c r="M111" i="14" s="1"/>
  <c r="Y111" i="14" s="1"/>
  <c r="L145" i="14"/>
  <c r="M145" i="14" s="1"/>
  <c r="Y145" i="14" s="1"/>
  <c r="L172" i="14"/>
  <c r="M172" i="14" s="1"/>
  <c r="Y172" i="14" s="1"/>
  <c r="L34" i="14"/>
  <c r="M34" i="14" s="1"/>
  <c r="Y34" i="14" s="1"/>
  <c r="L182" i="14"/>
  <c r="M182" i="14" s="1"/>
  <c r="Y182" i="14" s="1"/>
  <c r="L189" i="14"/>
  <c r="M189" i="14" s="1"/>
  <c r="Y189" i="14" s="1"/>
  <c r="L142" i="14"/>
  <c r="M142" i="14" s="1"/>
  <c r="Y142" i="14" s="1"/>
  <c r="L20" i="14"/>
  <c r="M20" i="14" s="1"/>
  <c r="Y20" i="14" s="1"/>
  <c r="L30" i="14"/>
  <c r="M30" i="14" s="1"/>
  <c r="Y30" i="14" s="1"/>
  <c r="L169" i="14"/>
  <c r="M169" i="14" s="1"/>
  <c r="Y169" i="14" s="1"/>
  <c r="L155" i="14"/>
  <c r="M155" i="14" s="1"/>
  <c r="Y155" i="14" s="1"/>
  <c r="L152" i="14"/>
  <c r="M152" i="14" s="1"/>
  <c r="Y152" i="14" s="1"/>
  <c r="L36" i="14"/>
  <c r="M36" i="14" s="1"/>
  <c r="Y36" i="14" s="1"/>
  <c r="L174" i="14"/>
  <c r="M174" i="14" s="1"/>
  <c r="Y174" i="14" s="1"/>
  <c r="L134" i="14"/>
  <c r="M134" i="14" s="1"/>
  <c r="Y134" i="14" s="1"/>
  <c r="L35" i="14"/>
  <c r="M35" i="14" s="1"/>
  <c r="Y35" i="14" s="1"/>
  <c r="L46" i="14"/>
  <c r="M46" i="14" s="1"/>
  <c r="Y46" i="14" s="1"/>
  <c r="L43" i="14"/>
  <c r="M43" i="14" s="1"/>
  <c r="Y43" i="14" s="1"/>
  <c r="L45" i="14"/>
  <c r="M45" i="14" s="1"/>
  <c r="Y45" i="14" s="1"/>
  <c r="L19" i="14"/>
  <c r="M19" i="14" s="1"/>
  <c r="Y19" i="14" s="1"/>
  <c r="L153" i="14"/>
  <c r="M153" i="14" s="1"/>
  <c r="Y153" i="14" s="1"/>
  <c r="L38" i="14"/>
  <c r="M38" i="14" s="1"/>
  <c r="Y38" i="14" s="1"/>
  <c r="L40" i="14"/>
  <c r="M40" i="14" s="1"/>
  <c r="Y40" i="14" s="1"/>
  <c r="L181" i="14"/>
  <c r="M181" i="14" s="1"/>
  <c r="Y181" i="14" s="1"/>
  <c r="L166" i="14"/>
  <c r="M166" i="14" s="1"/>
  <c r="Y166" i="14" s="1"/>
  <c r="L186" i="14"/>
  <c r="M186" i="14" s="1"/>
  <c r="Y186" i="14" s="1"/>
  <c r="L81" i="14"/>
  <c r="M81" i="14" s="1"/>
  <c r="Y81" i="14" s="1"/>
  <c r="L177" i="14"/>
  <c r="M177" i="14" s="1"/>
  <c r="Y177" i="14" s="1"/>
  <c r="L130" i="14"/>
  <c r="M130" i="14" s="1"/>
  <c r="Y130" i="14" s="1"/>
  <c r="L154" i="14"/>
  <c r="M154" i="14" s="1"/>
  <c r="Y154" i="14" s="1"/>
  <c r="L26" i="14"/>
  <c r="M26" i="14" s="1"/>
  <c r="Y26" i="14" s="1"/>
  <c r="L150" i="14"/>
  <c r="M150" i="14" s="1"/>
  <c r="Y150" i="14" s="1"/>
  <c r="L192" i="14"/>
  <c r="M192" i="14" s="1"/>
  <c r="Y192" i="14" s="1"/>
  <c r="L143" i="14"/>
  <c r="M143" i="14" s="1"/>
  <c r="Y143" i="14" s="1"/>
  <c r="L135" i="14"/>
  <c r="M135" i="14" s="1"/>
  <c r="Y135" i="14" s="1"/>
  <c r="L101" i="14"/>
  <c r="M101" i="14" s="1"/>
  <c r="Y101" i="14" s="1"/>
  <c r="L191" i="14"/>
  <c r="M191" i="14" s="1"/>
  <c r="Y191" i="14" s="1"/>
  <c r="L149" i="14"/>
  <c r="M149" i="14" s="1"/>
  <c r="Y149" i="14" s="1"/>
  <c r="L175" i="14"/>
  <c r="M175" i="14" s="1"/>
  <c r="Y175" i="14" s="1"/>
  <c r="L176" i="14"/>
  <c r="M176" i="14" s="1"/>
  <c r="Y176" i="14" s="1"/>
  <c r="L138" i="14"/>
  <c r="M138" i="14" s="1"/>
  <c r="Y138" i="14" s="1"/>
  <c r="L157" i="14"/>
  <c r="M157" i="14" s="1"/>
  <c r="Y157" i="14" s="1"/>
  <c r="L133" i="14"/>
  <c r="M133" i="14" s="1"/>
  <c r="Y133" i="14" s="1"/>
  <c r="L183" i="14"/>
  <c r="M183" i="14" s="1"/>
  <c r="Y183" i="14" s="1"/>
  <c r="L117" i="14"/>
  <c r="M117" i="14" s="1"/>
  <c r="Y117" i="14" s="1"/>
  <c r="L118" i="14"/>
  <c r="M118" i="14" s="1"/>
  <c r="Y118" i="14" s="1"/>
  <c r="L165" i="14"/>
  <c r="M165" i="14" s="1"/>
  <c r="Y165" i="14" s="1"/>
  <c r="L147" i="14"/>
  <c r="M147" i="14" s="1"/>
  <c r="Y147" i="14" s="1"/>
  <c r="L184" i="14"/>
  <c r="M184" i="14" s="1"/>
  <c r="Y184" i="14" s="1"/>
  <c r="L42" i="14"/>
  <c r="M42" i="14" s="1"/>
  <c r="Y42" i="14" s="1"/>
  <c r="L185" i="14"/>
  <c r="M185" i="14" s="1"/>
  <c r="Y185" i="14" s="1"/>
  <c r="L190" i="14"/>
  <c r="M190" i="14" s="1"/>
  <c r="Y190" i="14" s="1"/>
  <c r="L146" i="14"/>
  <c r="M146" i="14" s="1"/>
  <c r="Y146" i="14" s="1"/>
  <c r="L83" i="14"/>
  <c r="M83" i="14" s="1"/>
  <c r="Y83" i="14" s="1"/>
  <c r="L71" i="14"/>
  <c r="M71" i="14" s="1"/>
  <c r="Y71" i="14" s="1"/>
  <c r="L79" i="14"/>
  <c r="M79" i="14" s="1"/>
  <c r="Y79" i="14" s="1"/>
  <c r="L100" i="14"/>
  <c r="M100" i="14" s="1"/>
  <c r="Y100" i="14" s="1"/>
  <c r="L76" i="14"/>
  <c r="M76" i="14" s="1"/>
  <c r="Y76" i="14" s="1"/>
  <c r="L72" i="14"/>
  <c r="M72" i="14" s="1"/>
  <c r="Y72" i="14" s="1"/>
  <c r="L107" i="14"/>
  <c r="M107" i="14" s="1"/>
  <c r="Y107" i="14" s="1"/>
  <c r="L94" i="14"/>
  <c r="M94" i="14" s="1"/>
  <c r="Y94" i="14" s="1"/>
  <c r="L137" i="14"/>
  <c r="M137" i="14" s="1"/>
  <c r="Y137" i="14" s="1"/>
  <c r="L139" i="14"/>
  <c r="M139" i="14" s="1"/>
  <c r="Y139" i="14" s="1"/>
  <c r="L113" i="14"/>
  <c r="M113" i="14" s="1"/>
  <c r="Y113" i="14" s="1"/>
  <c r="L66" i="14"/>
  <c r="M66" i="14" s="1"/>
  <c r="Y66" i="14" s="1"/>
  <c r="L92" i="14"/>
  <c r="M92" i="14" s="1"/>
  <c r="Y92" i="14" s="1"/>
  <c r="L178" i="14"/>
  <c r="M178" i="14" s="1"/>
  <c r="Y178" i="14" s="1"/>
  <c r="L55" i="14"/>
  <c r="M55" i="14" s="1"/>
  <c r="Y55" i="14" s="1"/>
  <c r="L171" i="14"/>
  <c r="M171" i="14" s="1"/>
  <c r="Y171" i="14" s="1"/>
  <c r="L68" i="14"/>
  <c r="M68" i="14" s="1"/>
  <c r="Y68" i="14" s="1"/>
  <c r="L93" i="14"/>
  <c r="M93" i="14" s="1"/>
  <c r="Y93" i="14" s="1"/>
  <c r="L129" i="14"/>
  <c r="M129" i="14" s="1"/>
  <c r="Y129" i="14" s="1"/>
  <c r="L80" i="14"/>
  <c r="M80" i="14" s="1"/>
  <c r="Y80" i="14" s="1"/>
  <c r="L188" i="14"/>
  <c r="M188" i="14" s="1"/>
  <c r="Y188" i="14" s="1"/>
  <c r="L110" i="14"/>
  <c r="M110" i="14" s="1"/>
  <c r="Y110" i="14" s="1"/>
  <c r="L60" i="14"/>
  <c r="M60" i="14" s="1"/>
  <c r="Y60" i="14" s="1"/>
  <c r="L39" i="14"/>
  <c r="M39" i="14" s="1"/>
  <c r="Y39" i="14" s="1"/>
  <c r="L91" i="14"/>
  <c r="M91" i="14" s="1"/>
  <c r="Y91" i="14" s="1"/>
  <c r="L106" i="14"/>
  <c r="M106" i="14" s="1"/>
  <c r="Y106" i="14" s="1"/>
  <c r="L95" i="14"/>
  <c r="M95" i="14" s="1"/>
  <c r="Y95" i="14" s="1"/>
  <c r="L57" i="14"/>
  <c r="M57" i="14" s="1"/>
  <c r="Y57" i="14" s="1"/>
  <c r="L70" i="14"/>
  <c r="M70" i="14" s="1"/>
  <c r="Y70" i="14" s="1"/>
  <c r="L54" i="14"/>
  <c r="M54" i="14" s="1"/>
  <c r="Y54" i="14" s="1"/>
  <c r="L97" i="14"/>
  <c r="M97" i="14" s="1"/>
  <c r="Y97" i="14" s="1"/>
  <c r="L59" i="14"/>
  <c r="M59" i="14" s="1"/>
  <c r="Y59" i="14" s="1"/>
  <c r="L115" i="14"/>
  <c r="M115" i="14" s="1"/>
  <c r="Y115" i="14" s="1"/>
  <c r="L16" i="14"/>
  <c r="M16" i="14" s="1"/>
  <c r="L102" i="14"/>
  <c r="M102" i="14" s="1"/>
  <c r="Y102" i="14" s="1"/>
  <c r="L119" i="14"/>
  <c r="M119" i="14" s="1"/>
  <c r="Y119" i="14" s="1"/>
  <c r="L65" i="14"/>
  <c r="M65" i="14" s="1"/>
  <c r="Y65" i="14" s="1"/>
  <c r="L77" i="14"/>
  <c r="M77" i="14" s="1"/>
  <c r="Y77" i="14" s="1"/>
  <c r="L61" i="14"/>
  <c r="M61" i="14" s="1"/>
  <c r="Y61" i="14" s="1"/>
  <c r="L108" i="14"/>
  <c r="M108" i="14" s="1"/>
  <c r="Y108" i="14" s="1"/>
  <c r="L109" i="14"/>
  <c r="M109" i="14" s="1"/>
  <c r="Y109" i="14" s="1"/>
  <c r="L103" i="14"/>
  <c r="M103" i="14" s="1"/>
  <c r="Y103" i="14" s="1"/>
  <c r="L74" i="14"/>
  <c r="M74" i="14" s="1"/>
  <c r="Y74" i="14" s="1"/>
  <c r="L69" i="14"/>
  <c r="M69" i="14" s="1"/>
  <c r="Y69" i="14" s="1"/>
  <c r="L116" i="14"/>
  <c r="M116" i="14" s="1"/>
  <c r="Y116" i="14" s="1"/>
  <c r="L127" i="14"/>
  <c r="M127" i="14" s="1"/>
  <c r="L67" i="14"/>
  <c r="M67" i="14" s="1"/>
  <c r="Y67" i="14" s="1"/>
  <c r="L75" i="14"/>
  <c r="M75" i="14" s="1"/>
  <c r="Y75" i="14" s="1"/>
  <c r="L98" i="14"/>
  <c r="M98" i="14" s="1"/>
  <c r="Y98" i="14" s="1"/>
  <c r="L90" i="14"/>
  <c r="M90" i="14" s="1"/>
  <c r="L120" i="14"/>
  <c r="M120" i="14" s="1"/>
  <c r="Y120" i="14" s="1"/>
  <c r="L73" i="14"/>
  <c r="M73" i="14" s="1"/>
  <c r="Y73" i="14" s="1"/>
  <c r="L58" i="14"/>
  <c r="M58" i="14" s="1"/>
  <c r="Y58" i="14" s="1"/>
  <c r="L63" i="14"/>
  <c r="M63" i="14" s="1"/>
  <c r="Y63" i="14" s="1"/>
  <c r="L114" i="14"/>
  <c r="M114" i="14" s="1"/>
  <c r="Y114" i="14" s="1"/>
  <c r="L56" i="14"/>
  <c r="M56" i="14" s="1"/>
  <c r="Y56" i="14" s="1"/>
  <c r="L104" i="14"/>
  <c r="M104" i="14" s="1"/>
  <c r="Y104" i="14" s="1"/>
  <c r="L62" i="14"/>
  <c r="M62" i="14" s="1"/>
  <c r="Y62" i="14" s="1"/>
  <c r="L53" i="14"/>
  <c r="M53" i="14" s="1"/>
  <c r="L194" i="14"/>
  <c r="M194" i="14" s="1"/>
  <c r="Y194" i="14" s="1"/>
  <c r="L99" i="14"/>
  <c r="M99" i="14" s="1"/>
  <c r="Y99" i="14" s="1"/>
  <c r="L96" i="14"/>
  <c r="M96" i="14" s="1"/>
  <c r="Y96" i="14" s="1"/>
  <c r="L64" i="14"/>
  <c r="M64" i="14" s="1"/>
  <c r="Y64" i="14" s="1"/>
  <c r="L164" i="14"/>
  <c r="M164" i="14" s="1"/>
  <c r="L105" i="14"/>
  <c r="M105" i="14" s="1"/>
  <c r="Y105" i="14" s="1"/>
  <c r="L78" i="14"/>
  <c r="M78" i="14" s="1"/>
  <c r="Y78" i="14" s="1"/>
  <c r="W104" i="14"/>
  <c r="W116" i="14"/>
  <c r="W67" i="14"/>
  <c r="W74" i="14"/>
  <c r="W108" i="14"/>
  <c r="W54" i="14"/>
  <c r="W112" i="14"/>
  <c r="W73" i="14"/>
  <c r="W182" i="14"/>
  <c r="W165" i="14"/>
  <c r="W154" i="14"/>
  <c r="W138" i="14"/>
  <c r="W31" i="14"/>
  <c r="W181" i="14"/>
  <c r="W27" i="14"/>
  <c r="W41" i="14"/>
  <c r="W132" i="14"/>
  <c r="W37" i="14"/>
  <c r="W118" i="14"/>
  <c r="W66" i="14"/>
  <c r="W117" i="14"/>
  <c r="W44" i="14"/>
  <c r="P186" i="14"/>
  <c r="Q186" i="14" s="1"/>
  <c r="AA186" i="14" s="1"/>
  <c r="P75" i="14"/>
  <c r="Q75" i="14" s="1"/>
  <c r="AA75" i="14" s="1"/>
  <c r="P74" i="14"/>
  <c r="Q74" i="14" s="1"/>
  <c r="AA74" i="14" s="1"/>
  <c r="P37" i="14"/>
  <c r="Q37" i="14" s="1"/>
  <c r="AA37" i="14" s="1"/>
  <c r="P148" i="14"/>
  <c r="Q148" i="14" s="1"/>
  <c r="AA148" i="14" s="1"/>
  <c r="P112" i="14"/>
  <c r="Q112" i="14" s="1"/>
  <c r="AA112" i="14" s="1"/>
  <c r="P185" i="14"/>
  <c r="Q185" i="14" s="1"/>
  <c r="AA185" i="14" s="1"/>
  <c r="P111" i="14"/>
  <c r="Q111" i="14" s="1"/>
  <c r="AA111" i="14" s="1"/>
  <c r="P149" i="14"/>
  <c r="Q149" i="14" s="1"/>
  <c r="AA149" i="14" s="1"/>
  <c r="P66" i="14"/>
  <c r="Q66" i="14" s="1"/>
  <c r="AA66" i="14" s="1"/>
  <c r="P153" i="14"/>
  <c r="Q153" i="14" s="1"/>
  <c r="AA153" i="14" s="1"/>
  <c r="P82" i="14"/>
  <c r="Q82" i="14" s="1"/>
  <c r="AA82" i="14" s="1"/>
  <c r="P25" i="14"/>
  <c r="Q25" i="14" s="1"/>
  <c r="AA25" i="14" s="1"/>
  <c r="P97" i="14"/>
  <c r="Q97" i="14" s="1"/>
  <c r="AA97" i="14" s="1"/>
  <c r="P147" i="14"/>
  <c r="Q147" i="14" s="1"/>
  <c r="AA147" i="14" s="1"/>
  <c r="P78" i="14"/>
  <c r="Q78" i="14" s="1"/>
  <c r="AA78" i="14" s="1"/>
  <c r="P139" i="14"/>
  <c r="Q139" i="14" s="1"/>
  <c r="AA139" i="14" s="1"/>
  <c r="P34" i="14"/>
  <c r="Q34" i="14" s="1"/>
  <c r="AA34" i="14" s="1"/>
  <c r="P64" i="14"/>
  <c r="Q64" i="14" s="1"/>
  <c r="AA64" i="14" s="1"/>
  <c r="P140" i="14"/>
  <c r="Q140" i="14" s="1"/>
  <c r="AA140" i="14" s="1"/>
  <c r="P191" i="14"/>
  <c r="Q191" i="14" s="1"/>
  <c r="AA191" i="14" s="1"/>
  <c r="P59" i="14"/>
  <c r="Q59" i="14" s="1"/>
  <c r="AA59" i="14" s="1"/>
  <c r="P173" i="14"/>
  <c r="Q173" i="14" s="1"/>
  <c r="AA173" i="14" s="1"/>
  <c r="P179" i="14"/>
  <c r="Q179" i="14" s="1"/>
  <c r="AA179" i="14" s="1"/>
  <c r="P38" i="14"/>
  <c r="Q38" i="14" s="1"/>
  <c r="AA38" i="14" s="1"/>
  <c r="P101" i="14"/>
  <c r="Q101" i="14" s="1"/>
  <c r="AA101" i="14" s="1"/>
  <c r="P32" i="14"/>
  <c r="Q32" i="14" s="1"/>
  <c r="AA32" i="14" s="1"/>
  <c r="P105" i="14"/>
  <c r="Q105" i="14" s="1"/>
  <c r="AA105" i="14" s="1"/>
  <c r="P33" i="14"/>
  <c r="Q33" i="14" s="1"/>
  <c r="AA33" i="14" s="1"/>
  <c r="P99" i="14"/>
  <c r="Q99" i="14" s="1"/>
  <c r="AA99" i="14" s="1"/>
  <c r="P70" i="14"/>
  <c r="Q70" i="14" s="1"/>
  <c r="AA70" i="14" s="1"/>
  <c r="P63" i="14"/>
  <c r="Q63" i="14" s="1"/>
  <c r="AA63" i="14" s="1"/>
  <c r="P156" i="14"/>
  <c r="Q156" i="14" s="1"/>
  <c r="AA156" i="14" s="1"/>
  <c r="P132" i="14"/>
  <c r="Q132" i="14" s="1"/>
  <c r="AA132" i="14" s="1"/>
  <c r="P26" i="14"/>
  <c r="Q26" i="14" s="1"/>
  <c r="AA26" i="14" s="1"/>
  <c r="P69" i="14"/>
  <c r="Q69" i="14" s="1"/>
  <c r="AA69" i="14" s="1"/>
  <c r="P62" i="14"/>
  <c r="Q62" i="14" s="1"/>
  <c r="AA62" i="14" s="1"/>
  <c r="P21" i="14"/>
  <c r="Q21" i="14" s="1"/>
  <c r="AA21" i="14" s="1"/>
  <c r="P118" i="14"/>
  <c r="Q118" i="14" s="1"/>
  <c r="AA118" i="14" s="1"/>
  <c r="P113" i="14"/>
  <c r="Q113" i="14" s="1"/>
  <c r="AA113" i="14" s="1"/>
  <c r="P137" i="14"/>
  <c r="Q137" i="14" s="1"/>
  <c r="AA137" i="14" s="1"/>
  <c r="P181" i="14"/>
  <c r="Q181" i="14" s="1"/>
  <c r="AA181" i="14" s="1"/>
  <c r="P40" i="14"/>
  <c r="Q40" i="14" s="1"/>
  <c r="AA40" i="14" s="1"/>
  <c r="P150" i="14"/>
  <c r="Q150" i="14" s="1"/>
  <c r="AA150" i="14" s="1"/>
  <c r="P80" i="14"/>
  <c r="Q80" i="14" s="1"/>
  <c r="AA80" i="14" s="1"/>
  <c r="P55" i="14"/>
  <c r="Q55" i="14" s="1"/>
  <c r="AA55" i="14" s="1"/>
  <c r="P42" i="14"/>
  <c r="Q42" i="14" s="1"/>
  <c r="AA42" i="14" s="1"/>
  <c r="P117" i="14"/>
  <c r="Q117" i="14" s="1"/>
  <c r="AA117" i="14" s="1"/>
  <c r="P79" i="14"/>
  <c r="Q79" i="14" s="1"/>
  <c r="AA79" i="14" s="1"/>
  <c r="P39" i="14"/>
  <c r="Q39" i="14" s="1"/>
  <c r="AA39" i="14" s="1"/>
  <c r="P171" i="14"/>
  <c r="Q171" i="14" s="1"/>
  <c r="AA171" i="14" s="1"/>
  <c r="P68" i="14"/>
  <c r="Q68" i="14" s="1"/>
  <c r="AA68" i="14" s="1"/>
  <c r="P92" i="14"/>
  <c r="Q92" i="14" s="1"/>
  <c r="AA92" i="14" s="1"/>
  <c r="P184" i="14"/>
  <c r="Q184" i="14" s="1"/>
  <c r="AA184" i="14" s="1"/>
  <c r="P20" i="14"/>
  <c r="Q20" i="14" s="1"/>
  <c r="AA20" i="14" s="1"/>
  <c r="P91" i="14"/>
  <c r="Q91" i="14" s="1"/>
  <c r="AA91" i="14" s="1"/>
  <c r="P27" i="14"/>
  <c r="Q27" i="14" s="1"/>
  <c r="AA27" i="14" s="1"/>
  <c r="P100" i="14"/>
  <c r="Q100" i="14" s="1"/>
  <c r="AA100" i="14" s="1"/>
  <c r="P110" i="14"/>
  <c r="Q110" i="14" s="1"/>
  <c r="AA110" i="14" s="1"/>
  <c r="P141" i="14"/>
  <c r="Q141" i="14" s="1"/>
  <c r="AA141" i="14" s="1"/>
  <c r="P35" i="14"/>
  <c r="Q35" i="14" s="1"/>
  <c r="AA35" i="14" s="1"/>
  <c r="P108" i="14"/>
  <c r="Q108" i="14" s="1"/>
  <c r="AA108" i="14" s="1"/>
  <c r="P175" i="14"/>
  <c r="Q175" i="14" s="1"/>
  <c r="AA175" i="14" s="1"/>
  <c r="P67" i="14"/>
  <c r="Q67" i="14" s="1"/>
  <c r="AA67" i="14" s="1"/>
  <c r="P136" i="14"/>
  <c r="Q136" i="14" s="1"/>
  <c r="AA136" i="14" s="1"/>
  <c r="P146" i="14"/>
  <c r="Q146" i="14" s="1"/>
  <c r="AA146" i="14" s="1"/>
  <c r="P76" i="14"/>
  <c r="Q76" i="14" s="1"/>
  <c r="AA76" i="14" s="1"/>
  <c r="P172" i="14"/>
  <c r="Q172" i="14" s="1"/>
  <c r="AA172" i="14" s="1"/>
  <c r="P96" i="14"/>
  <c r="Q96" i="14" s="1"/>
  <c r="AA96" i="14" s="1"/>
  <c r="P23" i="14"/>
  <c r="Q23" i="14" s="1"/>
  <c r="AA23" i="14" s="1"/>
  <c r="P94" i="14"/>
  <c r="Q94" i="14" s="1"/>
  <c r="AA94" i="14" s="1"/>
  <c r="P57" i="14"/>
  <c r="Q57" i="14" s="1"/>
  <c r="AA57" i="14" s="1"/>
  <c r="P73" i="14"/>
  <c r="Q73" i="14" s="1"/>
  <c r="AA73" i="14" s="1"/>
  <c r="P167" i="14"/>
  <c r="Q167" i="14" s="1"/>
  <c r="AA167" i="14" s="1"/>
  <c r="P54" i="14"/>
  <c r="Q54" i="14" s="1"/>
  <c r="AA54" i="14" s="1"/>
  <c r="P45" i="14"/>
  <c r="Q45" i="14" s="1"/>
  <c r="AA45" i="14" s="1"/>
  <c r="P93" i="14"/>
  <c r="Q93" i="14" s="1"/>
  <c r="AA93" i="14" s="1"/>
  <c r="P109" i="14"/>
  <c r="Q109" i="14" s="1"/>
  <c r="AA109" i="14" s="1"/>
  <c r="P81" i="14"/>
  <c r="Q81" i="14" s="1"/>
  <c r="AA81" i="14" s="1"/>
  <c r="P114" i="14"/>
  <c r="Q114" i="14" s="1"/>
  <c r="AA114" i="14" s="1"/>
  <c r="P182" i="14"/>
  <c r="Q182" i="14" s="1"/>
  <c r="AA182" i="14" s="1"/>
  <c r="P22" i="14"/>
  <c r="Q22" i="14" s="1"/>
  <c r="AA22" i="14" s="1"/>
  <c r="P138" i="14"/>
  <c r="Q138" i="14" s="1"/>
  <c r="AA138" i="14" s="1"/>
  <c r="P102" i="14"/>
  <c r="Q102" i="14" s="1"/>
  <c r="AA102" i="14" s="1"/>
  <c r="P115" i="14"/>
  <c r="Q115" i="14" s="1"/>
  <c r="AA115" i="14" s="1"/>
  <c r="P192" i="14"/>
  <c r="Q192" i="14" s="1"/>
  <c r="AA192" i="14" s="1"/>
  <c r="P43" i="14"/>
  <c r="Q43" i="14" s="1"/>
  <c r="AA43" i="14" s="1"/>
  <c r="P168" i="14"/>
  <c r="Q168" i="14" s="1"/>
  <c r="AA168" i="14" s="1"/>
  <c r="P44" i="14"/>
  <c r="Q44" i="14" s="1"/>
  <c r="AA44" i="14" s="1"/>
  <c r="P46" i="14"/>
  <c r="Q46" i="14" s="1"/>
  <c r="AA46" i="14" s="1"/>
  <c r="P143" i="14"/>
  <c r="Q143" i="14" s="1"/>
  <c r="AA143" i="14" s="1"/>
  <c r="P77" i="14"/>
  <c r="Q77" i="14" s="1"/>
  <c r="AA77" i="14" s="1"/>
  <c r="P170" i="14"/>
  <c r="Q170" i="14" s="1"/>
  <c r="AA170" i="14" s="1"/>
  <c r="P152" i="14"/>
  <c r="Q152" i="14" s="1"/>
  <c r="AA152" i="14" s="1"/>
  <c r="P189" i="14"/>
  <c r="Q189" i="14" s="1"/>
  <c r="AA189" i="14" s="1"/>
  <c r="P142" i="14"/>
  <c r="Q142" i="14" s="1"/>
  <c r="AA142" i="14" s="1"/>
  <c r="P41" i="14"/>
  <c r="Q41" i="14" s="1"/>
  <c r="AA41" i="14" s="1"/>
  <c r="P61" i="14"/>
  <c r="Q61" i="14" s="1"/>
  <c r="AA61" i="14" s="1"/>
  <c r="P24" i="14"/>
  <c r="Q24" i="14" s="1"/>
  <c r="AA24" i="14" s="1"/>
  <c r="P155" i="14"/>
  <c r="Q155" i="14" s="1"/>
  <c r="AA155" i="14" s="1"/>
  <c r="P98" i="14"/>
  <c r="Q98" i="14" s="1"/>
  <c r="AA98" i="14" s="1"/>
  <c r="P71" i="14"/>
  <c r="Q71" i="14" s="1"/>
  <c r="AA71" i="14" s="1"/>
  <c r="P106" i="14"/>
  <c r="Q106" i="14" s="1"/>
  <c r="AA106" i="14" s="1"/>
  <c r="P154" i="14"/>
  <c r="Q154" i="14" s="1"/>
  <c r="AA154" i="14" s="1"/>
  <c r="P134" i="14"/>
  <c r="Q134" i="14" s="1"/>
  <c r="AA134" i="14" s="1"/>
  <c r="P135" i="14"/>
  <c r="Q135" i="14" s="1"/>
  <c r="AA135" i="14" s="1"/>
  <c r="P83" i="14"/>
  <c r="Q83" i="14" s="1"/>
  <c r="AA83" i="14" s="1"/>
  <c r="P174" i="14"/>
  <c r="Q174" i="14" s="1"/>
  <c r="AA174" i="14" s="1"/>
  <c r="P188" i="14"/>
  <c r="Q188" i="14" s="1"/>
  <c r="AA188" i="14" s="1"/>
  <c r="P129" i="14"/>
  <c r="Q129" i="14" s="1"/>
  <c r="AA129" i="14" s="1"/>
  <c r="P56" i="14"/>
  <c r="Q56" i="14" s="1"/>
  <c r="AA56" i="14" s="1"/>
  <c r="P29" i="14"/>
  <c r="Q29" i="14" s="1"/>
  <c r="AA29" i="14" s="1"/>
  <c r="P119" i="14"/>
  <c r="Q119" i="14" s="1"/>
  <c r="AA119" i="14" s="1"/>
  <c r="P177" i="14"/>
  <c r="Q177" i="14" s="1"/>
  <c r="AA177" i="14" s="1"/>
  <c r="P131" i="14"/>
  <c r="Q131" i="14" s="1"/>
  <c r="AA131" i="14" s="1"/>
  <c r="P128" i="14"/>
  <c r="Q128" i="14" s="1"/>
  <c r="AA128" i="14" s="1"/>
  <c r="P19" i="14"/>
  <c r="Q19" i="14" s="1"/>
  <c r="AA19" i="14" s="1"/>
  <c r="P130" i="14"/>
  <c r="Q130" i="14" s="1"/>
  <c r="AA130" i="14" s="1"/>
  <c r="P166" i="14"/>
  <c r="Q166" i="14" s="1"/>
  <c r="AA166" i="14" s="1"/>
  <c r="P194" i="14"/>
  <c r="Q194" i="14" s="1"/>
  <c r="AA194" i="14" s="1"/>
  <c r="P145" i="14"/>
  <c r="Q145" i="14" s="1"/>
  <c r="AA145" i="14" s="1"/>
  <c r="P176" i="14"/>
  <c r="Q176" i="14" s="1"/>
  <c r="AA176" i="14" s="1"/>
  <c r="P28" i="14"/>
  <c r="Q28" i="14" s="1"/>
  <c r="AA28" i="14" s="1"/>
  <c r="P60" i="14"/>
  <c r="Q60" i="14" s="1"/>
  <c r="AA60" i="14" s="1"/>
  <c r="P18" i="14"/>
  <c r="Q18" i="14" s="1"/>
  <c r="AA18" i="14" s="1"/>
  <c r="P103" i="14"/>
  <c r="Q103" i="14" s="1"/>
  <c r="AA103" i="14" s="1"/>
  <c r="P31" i="14"/>
  <c r="Q31" i="14" s="1"/>
  <c r="AA31" i="14" s="1"/>
  <c r="P165" i="14"/>
  <c r="Q165" i="14" s="1"/>
  <c r="AA165" i="14" s="1"/>
  <c r="P17" i="14"/>
  <c r="Q17" i="14" s="1"/>
  <c r="AA17" i="14" s="1"/>
  <c r="P144" i="14"/>
  <c r="Q144" i="14" s="1"/>
  <c r="AA144" i="14" s="1"/>
  <c r="P190" i="14"/>
  <c r="Q190" i="14" s="1"/>
  <c r="AA190" i="14" s="1"/>
  <c r="P187" i="14"/>
  <c r="Q187" i="14" s="1"/>
  <c r="AA187" i="14" s="1"/>
  <c r="P127" i="14"/>
  <c r="Q127" i="14" s="1"/>
  <c r="P58" i="14"/>
  <c r="Q58" i="14" s="1"/>
  <c r="AA58" i="14" s="1"/>
  <c r="P53" i="14"/>
  <c r="Q53" i="14" s="1"/>
  <c r="P107" i="14"/>
  <c r="Q107" i="14" s="1"/>
  <c r="AA107" i="14" s="1"/>
  <c r="P116" i="14"/>
  <c r="Q116" i="14" s="1"/>
  <c r="AA116" i="14" s="1"/>
  <c r="P164" i="14"/>
  <c r="Q164" i="14" s="1"/>
  <c r="P151" i="14"/>
  <c r="Q151" i="14" s="1"/>
  <c r="AA151" i="14" s="1"/>
  <c r="P95" i="14"/>
  <c r="Q95" i="14" s="1"/>
  <c r="AA95" i="14" s="1"/>
  <c r="P36" i="14"/>
  <c r="Q36" i="14" s="1"/>
  <c r="AA36" i="14" s="1"/>
  <c r="P16" i="14"/>
  <c r="Q16" i="14" s="1"/>
  <c r="P90" i="14"/>
  <c r="Q90" i="14" s="1"/>
  <c r="R90" i="14" s="1"/>
  <c r="P72" i="14"/>
  <c r="Q72" i="14" s="1"/>
  <c r="AA72" i="14" s="1"/>
  <c r="P104" i="14"/>
  <c r="Q104" i="14" s="1"/>
  <c r="AA104" i="14" s="1"/>
  <c r="P178" i="14"/>
  <c r="Q178" i="14" s="1"/>
  <c r="AA178" i="14" s="1"/>
  <c r="P193" i="14"/>
  <c r="Q193" i="14" s="1"/>
  <c r="AA193" i="14" s="1"/>
  <c r="P30" i="14"/>
  <c r="Q30" i="14" s="1"/>
  <c r="AA30" i="14" s="1"/>
  <c r="P120" i="14"/>
  <c r="Q120" i="14" s="1"/>
  <c r="AA120" i="14" s="1"/>
  <c r="P65" i="14"/>
  <c r="Q65" i="14" s="1"/>
  <c r="AA65" i="14" s="1"/>
  <c r="P169" i="14"/>
  <c r="Q169" i="14" s="1"/>
  <c r="AA169" i="14" s="1"/>
  <c r="P180" i="14"/>
  <c r="Q180" i="14" s="1"/>
  <c r="AA180" i="14" s="1"/>
  <c r="P183" i="14"/>
  <c r="Q183" i="14" s="1"/>
  <c r="AA183" i="14" s="1"/>
  <c r="P133" i="14"/>
  <c r="Q133" i="14" s="1"/>
  <c r="AA133" i="14" s="1"/>
  <c r="P157" i="14"/>
  <c r="Q157" i="14" s="1"/>
  <c r="AA157" i="14" s="1"/>
  <c r="W79" i="14"/>
  <c r="W103" i="14"/>
  <c r="R175" i="14"/>
  <c r="W175" i="14"/>
  <c r="W188" i="14"/>
  <c r="W97" i="14"/>
  <c r="W176" i="14"/>
  <c r="R190" i="14"/>
  <c r="W190" i="14"/>
  <c r="W80" i="14"/>
  <c r="W189" i="14"/>
  <c r="W133" i="14"/>
  <c r="W168" i="14"/>
  <c r="W43" i="14"/>
  <c r="R35" i="14"/>
  <c r="W35" i="14"/>
  <c r="W152" i="14"/>
  <c r="R152" i="14"/>
  <c r="W139" i="14"/>
  <c r="W155" i="14"/>
  <c r="W90" i="14"/>
  <c r="G121" i="14"/>
  <c r="W107" i="14"/>
  <c r="W20" i="14"/>
  <c r="W105" i="14"/>
  <c r="W91" i="14"/>
  <c r="W63" i="14"/>
  <c r="R93" i="14"/>
  <c r="W93" i="14"/>
  <c r="W71" i="14"/>
  <c r="G158" i="14"/>
  <c r="W127" i="14"/>
  <c r="W77" i="14"/>
  <c r="W191" i="14"/>
  <c r="W83" i="14"/>
  <c r="W180" i="14"/>
  <c r="W21" i="14"/>
  <c r="W193" i="14"/>
  <c r="W34" i="14"/>
  <c r="R34" i="14"/>
  <c r="W145" i="14"/>
  <c r="W128" i="14"/>
  <c r="R128" i="14"/>
  <c r="W131" i="14"/>
  <c r="W187" i="14"/>
  <c r="W186" i="14"/>
  <c r="W156" i="14"/>
  <c r="W142" i="14"/>
  <c r="W18" i="14"/>
  <c r="G84" i="14"/>
  <c r="W53" i="14"/>
  <c r="W17" i="14"/>
  <c r="W64" i="14"/>
  <c r="W55" i="14"/>
  <c r="G195" i="14"/>
  <c r="W164" i="14"/>
  <c r="R164" i="14"/>
  <c r="W110" i="14"/>
  <c r="W111" i="14"/>
  <c r="W120" i="14"/>
  <c r="R120" i="14"/>
  <c r="R102" i="14"/>
  <c r="W102" i="14"/>
  <c r="W61" i="14"/>
  <c r="R61" i="14"/>
  <c r="W60" i="14"/>
  <c r="R60" i="14"/>
  <c r="R92" i="14"/>
  <c r="W92" i="14"/>
  <c r="W167" i="14"/>
  <c r="W129" i="14"/>
  <c r="R129" i="14"/>
  <c r="W183" i="14"/>
  <c r="R183" i="14"/>
  <c r="W57" i="14"/>
  <c r="W151" i="14"/>
  <c r="W82" i="14"/>
  <c r="R82" i="14"/>
  <c r="W135" i="14"/>
  <c r="W192" i="14"/>
  <c r="R185" i="14"/>
  <c r="W185" i="14"/>
  <c r="W26" i="14"/>
  <c r="W40" i="14"/>
  <c r="W42" i="14"/>
  <c r="W68" i="14"/>
  <c r="W136" i="14"/>
  <c r="R136" i="14"/>
  <c r="W119" i="14"/>
  <c r="W95" i="14"/>
  <c r="R69" i="14"/>
  <c r="W69" i="14"/>
  <c r="W99" i="14"/>
  <c r="W62" i="14"/>
  <c r="G47" i="14"/>
  <c r="W16" i="14"/>
  <c r="W58" i="14"/>
  <c r="W98" i="14"/>
  <c r="W96" i="14"/>
  <c r="W72" i="14"/>
  <c r="R56" i="14"/>
  <c r="W56" i="14"/>
  <c r="R70" i="14"/>
  <c r="W70" i="14"/>
  <c r="W65" i="14"/>
  <c r="R65" i="14"/>
  <c r="W38" i="14"/>
  <c r="W173" i="14"/>
  <c r="W113" i="14"/>
  <c r="W177" i="14"/>
  <c r="W46" i="14"/>
  <c r="R46" i="14"/>
  <c r="W150" i="14"/>
  <c r="R150" i="14"/>
  <c r="R36" i="14"/>
  <c r="W36" i="14"/>
  <c r="R171" i="14"/>
  <c r="W171" i="14"/>
  <c r="W22" i="14"/>
  <c r="W149" i="14"/>
  <c r="W39" i="14"/>
  <c r="R186" i="14" l="1"/>
  <c r="R105" i="14"/>
  <c r="R39" i="14"/>
  <c r="R68" i="14"/>
  <c r="R192" i="14"/>
  <c r="R38" i="14"/>
  <c r="R149" i="14"/>
  <c r="R131" i="14"/>
  <c r="R18" i="14"/>
  <c r="R176" i="14"/>
  <c r="R79" i="14"/>
  <c r="R167" i="14"/>
  <c r="R22" i="14"/>
  <c r="R98" i="14"/>
  <c r="R55" i="14"/>
  <c r="R119" i="14"/>
  <c r="R97" i="14"/>
  <c r="R145" i="14"/>
  <c r="R16" i="14"/>
  <c r="R156" i="14"/>
  <c r="R32" i="14"/>
  <c r="R95" i="14"/>
  <c r="R42" i="14"/>
  <c r="R83" i="14"/>
  <c r="R62" i="14"/>
  <c r="W195" i="14"/>
  <c r="I6" i="14" s="1"/>
  <c r="N6" i="31" s="1"/>
  <c r="R187" i="14"/>
  <c r="R103" i="14"/>
  <c r="R54" i="14"/>
  <c r="R144" i="14"/>
  <c r="R115" i="14"/>
  <c r="R26" i="14"/>
  <c r="R191" i="14"/>
  <c r="R43" i="14"/>
  <c r="R184" i="14"/>
  <c r="R151" i="14"/>
  <c r="R30" i="14"/>
  <c r="R193" i="14"/>
  <c r="R139" i="14"/>
  <c r="R37" i="14"/>
  <c r="R127" i="14"/>
  <c r="R99" i="14"/>
  <c r="R58" i="14"/>
  <c r="R189" i="14"/>
  <c r="R72" i="14"/>
  <c r="W47" i="14"/>
  <c r="E6" i="14" s="1"/>
  <c r="W84" i="14"/>
  <c r="F6" i="14" s="1"/>
  <c r="W158" i="14"/>
  <c r="H6" i="14" s="1"/>
  <c r="R63" i="14"/>
  <c r="R107" i="14"/>
  <c r="R133" i="14"/>
  <c r="Q121" i="14"/>
  <c r="AA90" i="14"/>
  <c r="AA121" i="14" s="1"/>
  <c r="G10" i="14" s="1"/>
  <c r="H8" i="31" s="1"/>
  <c r="Q84" i="14"/>
  <c r="AA53" i="14"/>
  <c r="AA84" i="14" s="1"/>
  <c r="F10" i="14" s="1"/>
  <c r="E8" i="31" s="1"/>
  <c r="R44" i="14"/>
  <c r="R181" i="14"/>
  <c r="R116" i="14"/>
  <c r="J121" i="14"/>
  <c r="X90" i="14"/>
  <c r="X121" i="14" s="1"/>
  <c r="G7" i="14" s="1"/>
  <c r="H7" i="31" s="1"/>
  <c r="R166" i="14"/>
  <c r="R174" i="14"/>
  <c r="R140" i="14"/>
  <c r="R114" i="14"/>
  <c r="R177" i="14"/>
  <c r="R57" i="14"/>
  <c r="R180" i="14"/>
  <c r="R91" i="14"/>
  <c r="Q47" i="14"/>
  <c r="AA16" i="14"/>
  <c r="AA47" i="14" s="1"/>
  <c r="E10" i="14" s="1"/>
  <c r="R117" i="14"/>
  <c r="R132" i="14"/>
  <c r="R31" i="14"/>
  <c r="R108" i="14"/>
  <c r="R104" i="14"/>
  <c r="J195" i="14"/>
  <c r="X164" i="14"/>
  <c r="X195" i="14" s="1"/>
  <c r="I7" i="14" s="1"/>
  <c r="N7" i="31" s="1"/>
  <c r="J158" i="14"/>
  <c r="X127" i="14"/>
  <c r="X158" i="14" s="1"/>
  <c r="H7" i="14" s="1"/>
  <c r="K7" i="31" s="1"/>
  <c r="R141" i="14"/>
  <c r="R28" i="14"/>
  <c r="R147" i="14"/>
  <c r="R169" i="14"/>
  <c r="R59" i="14"/>
  <c r="R33" i="14"/>
  <c r="R29" i="14"/>
  <c r="R178" i="14"/>
  <c r="R101" i="14"/>
  <c r="R130" i="14"/>
  <c r="R135" i="14"/>
  <c r="AA127" i="14"/>
  <c r="AA158" i="14" s="1"/>
  <c r="H10" i="14" s="1"/>
  <c r="K8" i="31" s="1"/>
  <c r="Q158" i="14"/>
  <c r="R182" i="14"/>
  <c r="M84" i="14"/>
  <c r="Y53" i="14"/>
  <c r="Y84" i="14" s="1"/>
  <c r="F8" i="14" s="1"/>
  <c r="E9" i="31" s="1"/>
  <c r="R134" i="14"/>
  <c r="R106" i="14"/>
  <c r="R111" i="14"/>
  <c r="R64" i="14"/>
  <c r="R71" i="14"/>
  <c r="W121" i="14"/>
  <c r="G6" i="14" s="1"/>
  <c r="R138" i="14"/>
  <c r="M121" i="14"/>
  <c r="Y90" i="14"/>
  <c r="Y121" i="14" s="1"/>
  <c r="G8" i="14" s="1"/>
  <c r="H9" i="31" s="1"/>
  <c r="Y16" i="14"/>
  <c r="Y47" i="14" s="1"/>
  <c r="E8" i="14" s="1"/>
  <c r="M47" i="14"/>
  <c r="R172" i="14"/>
  <c r="R143" i="14"/>
  <c r="R146" i="14"/>
  <c r="R179" i="14"/>
  <c r="R81" i="14"/>
  <c r="R19" i="14"/>
  <c r="R25" i="14"/>
  <c r="R40" i="14"/>
  <c r="R113" i="14"/>
  <c r="R110" i="14"/>
  <c r="R155" i="14"/>
  <c r="R80" i="14"/>
  <c r="R66" i="14"/>
  <c r="R41" i="14"/>
  <c r="R73" i="14"/>
  <c r="R74" i="14"/>
  <c r="J84" i="14"/>
  <c r="X53" i="14"/>
  <c r="X84" i="14" s="1"/>
  <c r="F7" i="14" s="1"/>
  <c r="E7" i="31" s="1"/>
  <c r="R45" i="14"/>
  <c r="R78" i="14"/>
  <c r="R194" i="14"/>
  <c r="R75" i="14"/>
  <c r="R165" i="14"/>
  <c r="M158" i="14"/>
  <c r="Y127" i="14"/>
  <c r="Y158" i="14" s="1"/>
  <c r="H8" i="14" s="1"/>
  <c r="K9" i="31" s="1"/>
  <c r="R142" i="14"/>
  <c r="R20" i="14"/>
  <c r="R188" i="14"/>
  <c r="AA164" i="14"/>
  <c r="AA195" i="14" s="1"/>
  <c r="I10" i="14" s="1"/>
  <c r="N8" i="31" s="1"/>
  <c r="Q195" i="14"/>
  <c r="R118" i="14"/>
  <c r="R27" i="14"/>
  <c r="R154" i="14"/>
  <c r="R112" i="14"/>
  <c r="M195" i="14"/>
  <c r="Y164" i="14"/>
  <c r="Y195" i="14" s="1"/>
  <c r="I8" i="14" s="1"/>
  <c r="N9" i="31" s="1"/>
  <c r="J47" i="14"/>
  <c r="X16" i="14"/>
  <c r="X47" i="14" s="1"/>
  <c r="E7" i="14" s="1"/>
  <c r="R170" i="14"/>
  <c r="R109" i="14"/>
  <c r="R153" i="14"/>
  <c r="R24" i="14"/>
  <c r="R148" i="14"/>
  <c r="R76" i="14"/>
  <c r="R100" i="14"/>
  <c r="R137" i="14"/>
  <c r="R96" i="14"/>
  <c r="R173" i="14"/>
  <c r="R17" i="14"/>
  <c r="R21" i="14"/>
  <c r="R77" i="14"/>
  <c r="R168" i="14"/>
  <c r="R67" i="14"/>
  <c r="R94" i="14"/>
  <c r="R23" i="14"/>
  <c r="R157" i="14"/>
  <c r="R121" i="14" l="1"/>
  <c r="R158" i="14"/>
  <c r="R84" i="14"/>
  <c r="R195" i="14"/>
  <c r="R47" i="14"/>
  <c r="O9" i="31"/>
  <c r="P9" i="31" s="1"/>
  <c r="F9" i="31"/>
  <c r="G9" i="31" s="1"/>
  <c r="E36" i="31"/>
  <c r="E46" i="31" s="1"/>
  <c r="O6" i="31"/>
  <c r="P6" i="31" s="1"/>
  <c r="N11" i="31"/>
  <c r="I11" i="14"/>
  <c r="I9" i="31"/>
  <c r="J9" i="31" s="1"/>
  <c r="L9" i="31"/>
  <c r="M9" i="31"/>
  <c r="G11" i="14"/>
  <c r="H6" i="31"/>
  <c r="H11" i="14"/>
  <c r="K6" i="31"/>
  <c r="F7" i="31"/>
  <c r="G7" i="31" s="1"/>
  <c r="L7" i="31"/>
  <c r="M7" i="31" s="1"/>
  <c r="E31" i="31"/>
  <c r="F8" i="31"/>
  <c r="F31" i="31" s="1"/>
  <c r="F11" i="14"/>
  <c r="E6" i="31"/>
  <c r="L8" i="31"/>
  <c r="F35" i="31" s="1"/>
  <c r="E35" i="31"/>
  <c r="J10" i="14"/>
  <c r="K10" i="14" s="1"/>
  <c r="B8" i="31"/>
  <c r="B6" i="31"/>
  <c r="J6" i="14"/>
  <c r="E11" i="14"/>
  <c r="B7" i="31"/>
  <c r="J7" i="14"/>
  <c r="K7" i="14" s="1"/>
  <c r="O7" i="31"/>
  <c r="P7" i="31" s="1"/>
  <c r="E33" i="31"/>
  <c r="I8" i="31"/>
  <c r="F33" i="31" s="1"/>
  <c r="E37" i="31"/>
  <c r="E47" i="31" s="1"/>
  <c r="O8" i="31"/>
  <c r="F37" i="31" s="1"/>
  <c r="F47" i="31" s="1"/>
  <c r="B9" i="31"/>
  <c r="J8" i="14"/>
  <c r="K8" i="14" s="1"/>
  <c r="I7" i="31"/>
  <c r="J7" i="31" s="1"/>
  <c r="M8" i="31" l="1"/>
  <c r="D35" i="31" s="1"/>
  <c r="J35" i="31" s="1"/>
  <c r="E45" i="31"/>
  <c r="H11" i="31"/>
  <c r="E32" i="31"/>
  <c r="I6" i="31"/>
  <c r="D36" i="31"/>
  <c r="F36" i="31"/>
  <c r="F46" i="31" s="1"/>
  <c r="O11" i="31"/>
  <c r="C21" i="31" s="1"/>
  <c r="B21" i="31"/>
  <c r="B65" i="31"/>
  <c r="Q7" i="31"/>
  <c r="C7" i="31"/>
  <c r="R7" i="31" s="1"/>
  <c r="F45" i="31"/>
  <c r="E28" i="31"/>
  <c r="C6" i="31"/>
  <c r="D6" i="31" s="1"/>
  <c r="B11" i="31"/>
  <c r="Q6" i="31"/>
  <c r="G8" i="31"/>
  <c r="D31" i="31" s="1"/>
  <c r="J31" i="31" s="1"/>
  <c r="C9" i="31"/>
  <c r="R9" i="31" s="1"/>
  <c r="Q9" i="31"/>
  <c r="P8" i="31"/>
  <c r="D37" i="31" s="1"/>
  <c r="D45" i="31" s="1"/>
  <c r="J45" i="31" s="1"/>
  <c r="E30" i="31"/>
  <c r="E11" i="31"/>
  <c r="F6" i="31"/>
  <c r="Q8" i="31"/>
  <c r="E29" i="31"/>
  <c r="C8" i="31"/>
  <c r="D8" i="31" s="1"/>
  <c r="J8" i="31"/>
  <c r="D33" i="31" s="1"/>
  <c r="J33" i="31" s="1"/>
  <c r="K6" i="14"/>
  <c r="K11" i="14" s="1"/>
  <c r="J11" i="14"/>
  <c r="K11" i="31"/>
  <c r="L6" i="31"/>
  <c r="E34" i="31"/>
  <c r="E44" i="31" s="1"/>
  <c r="P11" i="31" l="1"/>
  <c r="I36" i="31"/>
  <c r="D46" i="31"/>
  <c r="I46" i="31" s="1"/>
  <c r="D7" i="31"/>
  <c r="S7" i="31" s="1"/>
  <c r="F34" i="31"/>
  <c r="F44" i="31" s="1"/>
  <c r="L11" i="31"/>
  <c r="C20" i="31" s="1"/>
  <c r="B64" i="31"/>
  <c r="B20" i="31"/>
  <c r="D20" i="31" s="1"/>
  <c r="M6" i="31"/>
  <c r="Q11" i="31"/>
  <c r="F32" i="31"/>
  <c r="I11" i="31"/>
  <c r="C19" i="31" s="1"/>
  <c r="F11" i="31"/>
  <c r="C18" i="31" s="1"/>
  <c r="F30" i="31"/>
  <c r="B61" i="31"/>
  <c r="B17" i="31"/>
  <c r="D9" i="31"/>
  <c r="S9" i="31" s="1"/>
  <c r="G6" i="31"/>
  <c r="S8" i="31"/>
  <c r="D29" i="31"/>
  <c r="J29" i="31" s="1"/>
  <c r="J37" i="31"/>
  <c r="D47" i="31"/>
  <c r="J47" i="31" s="1"/>
  <c r="C11" i="31"/>
  <c r="C17" i="31" s="1"/>
  <c r="R6" i="31"/>
  <c r="F28" i="31"/>
  <c r="C66" i="31"/>
  <c r="B63" i="31"/>
  <c r="B19" i="31"/>
  <c r="D19" i="31" s="1"/>
  <c r="B18" i="31"/>
  <c r="B62" i="31"/>
  <c r="R8" i="31"/>
  <c r="F29" i="31"/>
  <c r="E38" i="31"/>
  <c r="D21" i="31"/>
  <c r="J6" i="31"/>
  <c r="J38" i="31" l="1"/>
  <c r="C65" i="31"/>
  <c r="H64" i="31"/>
  <c r="M11" i="31"/>
  <c r="D34" i="31"/>
  <c r="B67" i="31"/>
  <c r="H61" i="31"/>
  <c r="D32" i="31"/>
  <c r="I32" i="31" s="1"/>
  <c r="J11" i="31"/>
  <c r="B22" i="31"/>
  <c r="D23" i="31" s="1"/>
  <c r="D17" i="31"/>
  <c r="D11" i="31"/>
  <c r="H66" i="31"/>
  <c r="D30" i="31"/>
  <c r="I30" i="31" s="1"/>
  <c r="G11" i="31"/>
  <c r="R11" i="31"/>
  <c r="D28" i="31"/>
  <c r="H63" i="31"/>
  <c r="F38" i="31"/>
  <c r="H62" i="31"/>
  <c r="D18" i="31"/>
  <c r="C22" i="31"/>
  <c r="B18" i="43" s="1"/>
  <c r="S6" i="31"/>
  <c r="S11" i="31" s="1"/>
  <c r="D22" i="31" l="1"/>
  <c r="B53" i="31" s="1"/>
  <c r="I34" i="31"/>
  <c r="D44" i="31"/>
  <c r="I44" i="31" s="1"/>
  <c r="F53" i="31"/>
  <c r="F54" i="31" s="1"/>
  <c r="F55" i="31" s="1"/>
  <c r="D53" i="31"/>
  <c r="D54" i="31" s="1"/>
  <c r="D55" i="31" s="1"/>
  <c r="E65" i="31"/>
  <c r="E67" i="31" s="1"/>
  <c r="B54" i="31"/>
  <c r="D38" i="31"/>
  <c r="I28" i="31"/>
  <c r="C67" i="31"/>
  <c r="H65" i="31"/>
  <c r="H67" i="31" s="1"/>
  <c r="I38" i="31" l="1"/>
  <c r="K38" i="31" s="1"/>
  <c r="D61" i="31"/>
  <c r="D66" i="31"/>
  <c r="G66" i="31" s="1"/>
  <c r="D63" i="31"/>
  <c r="G63" i="31" s="1"/>
  <c r="D64" i="31"/>
  <c r="G64" i="31" s="1"/>
  <c r="D62" i="31"/>
  <c r="G62" i="31" s="1"/>
  <c r="D65" i="31"/>
  <c r="G65" i="31" s="1"/>
  <c r="F62" i="31"/>
  <c r="F61" i="31"/>
  <c r="F63" i="31"/>
  <c r="F66" i="31"/>
  <c r="F65" i="31"/>
  <c r="F64" i="31"/>
  <c r="F67" i="31" l="1"/>
  <c r="D67" i="31"/>
  <c r="G61" i="31"/>
  <c r="G67" i="31" s="1"/>
  <c r="A73" i="31" s="1"/>
  <c r="D75" i="31" l="1"/>
  <c r="C75" i="31"/>
  <c r="B75" i="31" l="1"/>
  <c r="E75" i="31"/>
</calcChain>
</file>

<file path=xl/sharedStrings.xml><?xml version="1.0" encoding="utf-8"?>
<sst xmlns="http://schemas.openxmlformats.org/spreadsheetml/2006/main" count="1344" uniqueCount="413">
  <si>
    <t>Servei</t>
  </si>
  <si>
    <t>Aplicació</t>
  </si>
  <si>
    <t>€ Manteniment correctiu</t>
  </si>
  <si>
    <t>h Manteniment correctiu</t>
  </si>
  <si>
    <t>Servei plec</t>
  </si>
  <si>
    <t>Perfil</t>
  </si>
  <si>
    <t>% dedicació</t>
  </si>
  <si>
    <t>Manteniment correctiu</t>
  </si>
  <si>
    <t>h OT</t>
  </si>
  <si>
    <t>€ OT</t>
  </si>
  <si>
    <t>DATA INICI NOUS SERVEIS</t>
  </si>
  <si>
    <t>Contracte</t>
  </si>
  <si>
    <t>Lot X</t>
  </si>
  <si>
    <t>Manteniment recurrent</t>
  </si>
  <si>
    <t>h Manteniment recurrent</t>
  </si>
  <si>
    <t>€ Manteniment recurrent</t>
  </si>
  <si>
    <t>GR</t>
  </si>
  <si>
    <t>G0026</t>
  </si>
  <si>
    <t>G0004</t>
  </si>
  <si>
    <t>G0018</t>
  </si>
  <si>
    <t>Mediacloud</t>
  </si>
  <si>
    <t>G0074</t>
  </si>
  <si>
    <t>?</t>
  </si>
  <si>
    <t>SER0028</t>
  </si>
  <si>
    <t>SER0044</t>
  </si>
  <si>
    <t>SER0204</t>
  </si>
  <si>
    <t>SER0032</t>
  </si>
  <si>
    <t>SER0046</t>
  </si>
  <si>
    <t>SER0047</t>
  </si>
  <si>
    <t>SER0031</t>
  </si>
  <si>
    <t>SER0412</t>
  </si>
  <si>
    <t>SER0411</t>
  </si>
  <si>
    <t>SER0474</t>
  </si>
  <si>
    <t>SER0473</t>
  </si>
  <si>
    <t>SER0038</t>
  </si>
  <si>
    <t>SER0153</t>
  </si>
  <si>
    <t>SER0027</t>
  </si>
  <si>
    <t>SER0413</t>
  </si>
  <si>
    <t>SER0414</t>
  </si>
  <si>
    <t>SER0150</t>
  </si>
  <si>
    <t>APP0360-Inmagic</t>
  </si>
  <si>
    <t>APP0859-Unicorn-hyperion</t>
  </si>
  <si>
    <t>APP0868-Albala</t>
  </si>
  <si>
    <t>APP0262-eSubvencions</t>
  </si>
  <si>
    <t>APP0858-BCNROC</t>
  </si>
  <si>
    <t>APP0862-Gestió Actius</t>
  </si>
  <si>
    <t>APP0373-INFOLEX</t>
  </si>
  <si>
    <t>APP0865-Infolex de consulta</t>
  </si>
  <si>
    <t>APP0169-Consums energetics</t>
  </si>
  <si>
    <t>APP0421-Manteniment Edificis</t>
  </si>
  <si>
    <t>BKM</t>
  </si>
  <si>
    <t>APP0478-Organismes Municipals</t>
  </si>
  <si>
    <t>APP0860-SAP Subvencions</t>
  </si>
  <si>
    <t>APP0861-SAP Convenis</t>
  </si>
  <si>
    <t>APP0943-Expedient bustia etica</t>
  </si>
  <si>
    <t>APP0867-Recepció factura electrònica</t>
  </si>
  <si>
    <t>APP0864-Emissio factura electrònica</t>
  </si>
  <si>
    <t>APP0866-FENS</t>
  </si>
  <si>
    <t>APP0896-Gestió de bestretes</t>
  </si>
  <si>
    <t>APP0895-Expedients economics(core)</t>
  </si>
  <si>
    <t>APP0150-Compres</t>
  </si>
  <si>
    <t>APP0898-Autorització de viatges</t>
  </si>
  <si>
    <t>APP0176-COPERNICO</t>
  </si>
  <si>
    <t>APP0719-Digitalització actes del plenari</t>
  </si>
  <si>
    <t>APP0295-GASETA</t>
  </si>
  <si>
    <t>APP0668-Tauler d'Edictes</t>
  </si>
  <si>
    <t>APP0591-RIS Unions civils</t>
  </si>
  <si>
    <t>APP0233-eDecrets</t>
  </si>
  <si>
    <t>APP0942-eDecretIns</t>
  </si>
  <si>
    <t>APP0340-GPD</t>
  </si>
  <si>
    <t>APP0571-RecGUB</t>
  </si>
  <si>
    <t>APP0579-RIS centralitzat</t>
  </si>
  <si>
    <t>APP0341-GRA</t>
  </si>
  <si>
    <t>APP0702-VIPS</t>
  </si>
  <si>
    <t>APP0900 - ORGA</t>
  </si>
  <si>
    <t>APP0899 SIAP</t>
  </si>
  <si>
    <t>APP0896 VERDI</t>
  </si>
  <si>
    <t>APP0294-GALIOT consulta històric</t>
  </si>
  <si>
    <t>APP0592-RISPLUS</t>
  </si>
  <si>
    <t>APP0071-Autorització comissió de servei</t>
  </si>
  <si>
    <t>APP0102-CALIMA</t>
  </si>
  <si>
    <t>Governança de serveis i projectes</t>
  </si>
  <si>
    <t>Governança de gestió d'actius</t>
  </si>
  <si>
    <t>Bustia etica</t>
  </si>
  <si>
    <t>G0389</t>
  </si>
  <si>
    <t>G0080</t>
  </si>
  <si>
    <t>G0079</t>
  </si>
  <si>
    <t>G0024</t>
  </si>
  <si>
    <t>No</t>
  </si>
  <si>
    <t>Contrato a parte</t>
  </si>
  <si>
    <t>Producte</t>
  </si>
  <si>
    <t>INCLOURE PROCUCTE O LLICENCIA. Marca</t>
  </si>
  <si>
    <t>Queden fora els següents manteniments:</t>
  </si>
  <si>
    <t>Quden fora d'abast:</t>
  </si>
  <si>
    <t>Nou sistema d'alcaldia</t>
  </si>
  <si>
    <t>Nou registre d'interessos</t>
  </si>
  <si>
    <t>H0094</t>
  </si>
  <si>
    <t>G0519</t>
  </si>
  <si>
    <t>Projecte nou</t>
  </si>
  <si>
    <t>Nou expedient de bustia etica</t>
  </si>
  <si>
    <t>Nou organismes municipals</t>
  </si>
  <si>
    <t>Nou GRA</t>
  </si>
  <si>
    <t>2 lots!!</t>
  </si>
  <si>
    <t>Varia de molt poc</t>
  </si>
  <si>
    <t>GERÈNCIA DE RECURSOS (GR) LOT1 J2EE</t>
  </si>
  <si>
    <t>Glòria Santamaria</t>
  </si>
  <si>
    <t>S</t>
  </si>
  <si>
    <t>GERÈNCIA DE RECURSOS (GR) LOT2 SAP</t>
  </si>
  <si>
    <t>Preu/hora</t>
  </si>
  <si>
    <t>A partir de 16/05/2018</t>
  </si>
  <si>
    <t>h A partir 16/05/2018</t>
  </si>
  <si>
    <t>LOT 1</t>
  </si>
  <si>
    <t>CORR-RECU-OT</t>
  </si>
  <si>
    <t>TRANS</t>
  </si>
  <si>
    <t>LOT 2</t>
  </si>
  <si>
    <t>Data inici contracte</t>
  </si>
  <si>
    <t>Total</t>
  </si>
  <si>
    <t>Preu perfil tipus</t>
  </si>
  <si>
    <t>Any</t>
  </si>
  <si>
    <t>IVA</t>
  </si>
  <si>
    <t>IT Manteniment correctiu</t>
  </si>
  <si>
    <t>Import total licitació</t>
  </si>
  <si>
    <t>Data inici servei</t>
  </si>
  <si>
    <t>Nom Servei</t>
  </si>
  <si>
    <t>PT  Manteniment recurrent</t>
  </si>
  <si>
    <t>Data inici transició</t>
  </si>
  <si>
    <t>Data fi del contracte</t>
  </si>
  <si>
    <t>Preu/hora IVA exclòs</t>
  </si>
  <si>
    <t>Import €/hora amb IVA</t>
  </si>
  <si>
    <t xml:space="preserve">  - Llicències</t>
  </si>
  <si>
    <t>€ Llicències</t>
  </si>
  <si>
    <t>Preu perfil IVA inclòs</t>
  </si>
  <si>
    <t>Preu perfil IVA exclòs</t>
  </si>
  <si>
    <t>Import Total IVA exclòs</t>
  </si>
  <si>
    <t>Import Total IVA inclòs</t>
  </si>
  <si>
    <t>Preu / hora /perfil  IVA inclòs</t>
  </si>
  <si>
    <t xml:space="preserve">TT Serveis Transversals de Manteniment </t>
  </si>
  <si>
    <t>€ STM</t>
  </si>
  <si>
    <t xml:space="preserve">Serveis Transversals de Manteniment </t>
  </si>
  <si>
    <t>Analista</t>
  </si>
  <si>
    <t>Coordinador del contracte</t>
  </si>
  <si>
    <t>Llicències</t>
  </si>
  <si>
    <t>Codi Servei</t>
  </si>
  <si>
    <t>SER0073</t>
  </si>
  <si>
    <t>Inspeccions</t>
  </si>
  <si>
    <t>SER0075</t>
  </si>
  <si>
    <t>Expedient Electrònic - Obres</t>
  </si>
  <si>
    <t>SER0084</t>
  </si>
  <si>
    <t>Paisatge Urbà i Publicitat</t>
  </si>
  <si>
    <t>SER0086</t>
  </si>
  <si>
    <t>SER0087</t>
  </si>
  <si>
    <t>SER0090</t>
  </si>
  <si>
    <t>Natura Inversions</t>
  </si>
  <si>
    <t>SER0091</t>
  </si>
  <si>
    <t>Catàleg Patrimoni, Monuments i Certificacions</t>
  </si>
  <si>
    <t>SER0092</t>
  </si>
  <si>
    <t>Gestió, Informació i Publicació d'obres municipals</t>
  </si>
  <si>
    <t>SER0093</t>
  </si>
  <si>
    <t>CIEP Autoritat</t>
  </si>
  <si>
    <t>SER0099</t>
  </si>
  <si>
    <t>Planejament i GIPU</t>
  </si>
  <si>
    <t>SER0155</t>
  </si>
  <si>
    <t>Expedients OEP de Districtes</t>
  </si>
  <si>
    <t>SER0158</t>
  </si>
  <si>
    <t>Mòdul comú d'Informes</t>
  </si>
  <si>
    <t>SER0183</t>
  </si>
  <si>
    <t>Llicències d'Activitat</t>
  </si>
  <si>
    <t>SER0202</t>
  </si>
  <si>
    <t>ParkGüell</t>
  </si>
  <si>
    <t>SER0282</t>
  </si>
  <si>
    <t>SER0396</t>
  </si>
  <si>
    <t>Portal d'Informació Urbanística</t>
  </si>
  <si>
    <t>SER0486</t>
  </si>
  <si>
    <t>Aplicacions corporatives Parcs i Jardins</t>
  </si>
  <si>
    <t>SER0531</t>
  </si>
  <si>
    <t>Registre de temes de Mobilitat</t>
  </si>
  <si>
    <t>SER0585</t>
  </si>
  <si>
    <t>Seguiment Temes EU</t>
  </si>
  <si>
    <t>SER0603</t>
  </si>
  <si>
    <t>Ocupació de l'espai públic St Jordi (DRAC)</t>
  </si>
  <si>
    <t>SER9999</t>
  </si>
  <si>
    <t>SER0479</t>
  </si>
  <si>
    <t xml:space="preserve">INCA URBANO.Inventari senyalització vial  </t>
  </si>
  <si>
    <t>Gestor Integral d'Actuacions (GIAT)</t>
  </si>
  <si>
    <t>Data fi transició</t>
  </si>
  <si>
    <t>ONADA 1</t>
  </si>
  <si>
    <t>ONADA 2</t>
  </si>
  <si>
    <t>ONADA 3</t>
  </si>
  <si>
    <t>ONADA 4</t>
  </si>
  <si>
    <t>€ Transició (import màxim)</t>
  </si>
  <si>
    <t>AM_MISUUH_(4+1)</t>
  </si>
  <si>
    <t>Data inici possible pròrroga</t>
  </si>
  <si>
    <t>Data inici devolució si no hi ha pròrrogues</t>
  </si>
  <si>
    <t>Treball fet real en incidència. Es paga al final</t>
  </si>
  <si>
    <t>Treball valorat i acceptat. Es paga al final</t>
  </si>
  <si>
    <t>Tarifa plana</t>
  </si>
  <si>
    <t>Servei d'evolutius recurrents</t>
  </si>
  <si>
    <t>Import 2025</t>
  </si>
  <si>
    <t>Import 2026</t>
  </si>
  <si>
    <t>Import 2027</t>
  </si>
  <si>
    <t>Import 2028</t>
  </si>
  <si>
    <t>PRESSUPOST BASE 2025</t>
  </si>
  <si>
    <t>PRESSUPOST BASE 2026</t>
  </si>
  <si>
    <t>PRESSUPOST BASE 2027</t>
  </si>
  <si>
    <t>PRESSUPOST BASE 2028</t>
  </si>
  <si>
    <t>IT  Manteniment recurrent</t>
  </si>
  <si>
    <t>€ Evolutius recurrents</t>
  </si>
  <si>
    <t>€ Import TOTAL</t>
  </si>
  <si>
    <t>SER0721</t>
  </si>
  <si>
    <t>Zones regulades d'accés de transit</t>
  </si>
  <si>
    <t>SER0666</t>
  </si>
  <si>
    <t>SER0715</t>
  </si>
  <si>
    <t>Recollida i tractament de dades de canvi climàtic i sostenibilitat</t>
  </si>
  <si>
    <t>SER0562</t>
  </si>
  <si>
    <r>
      <t xml:space="preserve">Portal del Coneixement EU </t>
    </r>
    <r>
      <rPr>
        <i/>
        <sz val="11"/>
        <color theme="1"/>
        <rFont val="Calibri"/>
        <family val="2"/>
        <scheme val="minor"/>
      </rPr>
      <t>(inclou llicències CartoDB)</t>
    </r>
  </si>
  <si>
    <r>
      <t xml:space="preserve">Avaluació i Gestió Ambiental </t>
    </r>
    <r>
      <rPr>
        <i/>
        <sz val="11"/>
        <color theme="1"/>
        <rFont val="Calibri"/>
        <family val="2"/>
        <scheme val="minor"/>
      </rPr>
      <t>(inclou Mapa Qualitat Ambiental)</t>
    </r>
  </si>
  <si>
    <r>
      <t xml:space="preserve">Natura Espais Verds </t>
    </r>
    <r>
      <rPr>
        <i/>
        <sz val="11"/>
        <color theme="1"/>
        <rFont val="Calibri"/>
        <family val="2"/>
        <scheme val="minor"/>
      </rPr>
      <t>(inclou Protecció del Verd)</t>
    </r>
  </si>
  <si>
    <r>
      <t>VIGIA</t>
    </r>
    <r>
      <rPr>
        <i/>
        <sz val="11"/>
        <color theme="1"/>
        <rFont val="Calibri"/>
        <family val="2"/>
        <scheme val="minor"/>
      </rPr>
      <t xml:space="preserve"> (inclou GIS Vigia)</t>
    </r>
  </si>
  <si>
    <t>Cens de locals i activitats (Nou CELIA)</t>
  </si>
  <si>
    <t>Nous serveis pla mandat</t>
  </si>
  <si>
    <t>SERMANDAT</t>
  </si>
  <si>
    <t>SERCELIA</t>
  </si>
  <si>
    <t>Import total</t>
  </si>
  <si>
    <t>€ Evolutiu recurrent</t>
  </si>
  <si>
    <t>SERVEIS 2026</t>
  </si>
  <si>
    <t>SERVEIS 2027</t>
  </si>
  <si>
    <t>SERVEIS 2028</t>
  </si>
  <si>
    <t>SERVEIS 2025</t>
  </si>
  <si>
    <t>Distribució de pressupost per any i per servei</t>
  </si>
  <si>
    <t>Serveis</t>
  </si>
  <si>
    <t>Import net</t>
  </si>
  <si>
    <t>IVA 21%</t>
  </si>
  <si>
    <t>Total import net</t>
  </si>
  <si>
    <t>Total IVA 21%</t>
  </si>
  <si>
    <t>Total import contracte</t>
  </si>
  <si>
    <t>Serveis d’evolutius recurrents</t>
  </si>
  <si>
    <t>Distribució de pressupost per any</t>
  </si>
  <si>
    <t xml:space="preserve"> </t>
  </si>
  <si>
    <t>TOTAL</t>
  </si>
  <si>
    <t>Pressupost net</t>
  </si>
  <si>
    <t>Període</t>
  </si>
  <si>
    <t>Capítol</t>
  </si>
  <si>
    <t>C2</t>
  </si>
  <si>
    <t>C6</t>
  </si>
  <si>
    <t>II</t>
  </si>
  <si>
    <t>de l'1-1 al 31-12</t>
  </si>
  <si>
    <t>VI</t>
  </si>
  <si>
    <t>  </t>
  </si>
  <si>
    <t>Modificacions de contracte: ampliació / disminució</t>
  </si>
  <si>
    <t>Causes previstes de modificació</t>
  </si>
  <si>
    <t>Import contracte (IVA inclòs)</t>
  </si>
  <si>
    <t>% Ampliació sobre import del contracte</t>
  </si>
  <si>
    <t>Import màxim ampliació (amb IVA)</t>
  </si>
  <si>
    <t>% Disminució sobre import del contracte</t>
  </si>
  <si>
    <t>Import màxim disminució (amb IVA)</t>
  </si>
  <si>
    <t xml:space="preserve">Modificacions per augment o disminució de volumetries en Serveis/Aplicacions </t>
  </si>
  <si>
    <t> TOTAL</t>
  </si>
  <si>
    <t>IVA EXCLÒS</t>
  </si>
  <si>
    <t>VEC</t>
  </si>
  <si>
    <t>VE prestació</t>
  </si>
  <si>
    <t>VE eventuals pròrrogues</t>
  </si>
  <si>
    <t>VE modificacions contracte amb increment de cost previstes</t>
  </si>
  <si>
    <t>VE modificacions contracte amb disminució de cost previstes</t>
  </si>
  <si>
    <t>SUMA</t>
  </si>
  <si>
    <t>Marges possibles solvènvia</t>
  </si>
  <si>
    <t>Solvència económica</t>
  </si>
  <si>
    <t>Solvència tècnica</t>
  </si>
  <si>
    <t>Anys de contracte</t>
  </si>
  <si>
    <t>ACONSELLABLE</t>
  </si>
  <si>
    <t>MÀXIM</t>
  </si>
  <si>
    <t>MÍNIM</t>
  </si>
  <si>
    <t>1,5 x VEC / anys de contracte</t>
  </si>
  <si>
    <t>1,5 x VEC</t>
  </si>
  <si>
    <t>2/3 VEC / anys de contracte</t>
  </si>
  <si>
    <t>CÀLCUL COSTOS DIRECTES I INDIRECTES PEL PROJECTE</t>
  </si>
  <si>
    <t>Salari 
Brut</t>
  </si>
  <si>
    <t>Costos directes:</t>
  </si>
  <si>
    <t>Costos salarials - Salari Brut</t>
  </si>
  <si>
    <t>TOTAL (Suma costos directes)</t>
  </si>
  <si>
    <t>Costos indirectes:</t>
  </si>
  <si>
    <t>Serveis Transversals AM</t>
  </si>
  <si>
    <t>Pròrroga</t>
  </si>
  <si>
    <t>Cap de projecte</t>
  </si>
  <si>
    <t>Analista programador/a</t>
  </si>
  <si>
    <t>Arquitecte/a</t>
  </si>
  <si>
    <t>Consultor</t>
  </si>
  <si>
    <t>Responsable de servei</t>
  </si>
  <si>
    <t>Evolutius recurrents</t>
  </si>
  <si>
    <t>Gerència d'Urbanisme</t>
  </si>
  <si>
    <t>SER0574</t>
  </si>
  <si>
    <t>Registre de sol·licitants d’habitatge</t>
  </si>
  <si>
    <t>Inclòs manteniment recurrent</t>
  </si>
  <si>
    <t>SER0522</t>
  </si>
  <si>
    <t>Gestió del Centre Acollida Animals de Companyia (CAACB)</t>
  </si>
  <si>
    <t>SER0668</t>
  </si>
  <si>
    <t>Gestor Estàndard de Projectes - Project Monitor MISU-UH</t>
  </si>
  <si>
    <t>PRESSUPOST BASE 2029</t>
  </si>
  <si>
    <t>SERVEIS 2029</t>
  </si>
  <si>
    <t>Import 2029</t>
  </si>
  <si>
    <t>Data màxim possible pròrroga</t>
  </si>
  <si>
    <t>Data inici devolució si max pròrroga</t>
  </si>
  <si>
    <t>Abril</t>
  </si>
  <si>
    <t>Maig</t>
  </si>
  <si>
    <t>NOU EN AM</t>
  </si>
  <si>
    <t>Veure fulla Transició</t>
  </si>
  <si>
    <t>Llicència</t>
  </si>
  <si>
    <t>AREA GOVERN</t>
  </si>
  <si>
    <t>GERÈNCIA</t>
  </si>
  <si>
    <t>CODI TRACTAMENT</t>
  </si>
  <si>
    <t>NOM TRACTAMENT</t>
  </si>
  <si>
    <t>FINALITAT TRACTAMENT</t>
  </si>
  <si>
    <t>CESSIONS</t>
  </si>
  <si>
    <t>TRANSF INTERNACIONALS</t>
  </si>
  <si>
    <t>PERSONES AFECTADES</t>
  </si>
  <si>
    <t>LEGITIMACIÓ</t>
  </si>
  <si>
    <t>TIPOLOGIA DE DADES</t>
  </si>
  <si>
    <t>PROCEDÈNCIA</t>
  </si>
  <si>
    <t>TERMINI DE CONSERVACIÓ</t>
  </si>
  <si>
    <t>SEGURETAT</t>
  </si>
  <si>
    <t>1a Tin. ALCALDIA
Urbanisme, Transició Ecològica, Serveis Urbans i Habitatge</t>
  </si>
  <si>
    <t>Gerència d'Àrea de Mobilitat, Infraestructures i Serveis Urbans</t>
  </si>
  <si>
    <t>Gestió del Centre d'Acollida d'Animals de Companyia (CAAC)</t>
  </si>
  <si>
    <t>Prestar servei d'assistència als animals de companyia (gats, gossos i fures) perduts i abandonats a la via pública o comissats pels cossos de seguretat. Fomentar les adopcions dels animals de companyia, localitzar els propietaris dels animals perduts, fomentar el  voluntariat amb animals de companyia.</t>
  </si>
  <si>
    <t>Les establertes obligatòriament a la legislació vigent (Jutjats i tribunals i cossos i forces de seguretat)</t>
  </si>
  <si>
    <t>Propietaris dels animals intervinguts, perduts, potencials adoptants, els adoptants i les persones adscrites als Acords de Voluntariat</t>
  </si>
  <si>
    <t>Obligació legal del Responsable, Articles 12 i 20 de l'Ordenança Protecció Tinença i Venda d'animals de 2014;  Llei 25/2015, del voluntariat i de foment de l'associacionisme.</t>
  </si>
  <si>
    <t>Dades identificatives, dades personals, dades socials, imatges, veu, dades salut, dades violència de gènere, dades menors d'edat, dades altres tipus de  persones vulnerables</t>
  </si>
  <si>
    <t>Procedència dades de la persona afectada, Procedència dades d'administracions públiques, Procedència dades de registres públics, Procedència dades de sistemes automàtics de captura, Agents de la Guàrdia Urbana, Inspectors municipals i mitjans de captació de dades (microxips,.....) i altres administracions</t>
  </si>
  <si>
    <t>Les vostres dades seran eliminades un cop complert el termini d'arxiu corresponent en cada cas.</t>
  </si>
  <si>
    <t>Les mesures de seguretat implantades es corresponen amb les previstes a l’Annex II del Reial Decret 311/2022, de 3 de maig, pel que es regula l’Esquema Nacional de Seguretat (ENS) per a garantir la seguretat dels sistemes d’informació que donen suport als diferents tractaments de dades duts a terme per l’Ajuntament de Barcelona</t>
  </si>
  <si>
    <t>Infracció a ordenances municipals de l'Àrea d'Ecologia Urbana</t>
  </si>
  <si>
    <t>Gestió del procediment de disciplina per infracció i sancions a les ordenances municipals competència de Medi Ambient i Serveis Urbans, Mobilitat, Obres i Serveis a la via pública.</t>
  </si>
  <si>
    <t>Comunicacions de dades a entitats de dret públic, Agència de Residus de Catalunya, Agencia Estatal de la Administración Tributaria, Agència Tributària de Catalunya i les establertes obligatòriament a la legislació vigent (Jutjats i tribunals i cossos i forces de seguretat)</t>
  </si>
  <si>
    <t>Persones subjectes a procediment sancionador derivat d'ordenances municipals</t>
  </si>
  <si>
    <t>Missió d'interès públic - exercici de poders públics, Art. 25.2 LRBRL, art. 66.2 del TR de la Llei municipal i de règim local de Catalunya; art. 102 de la Llei de la Carta municipal de Barcelona; Llei estatal 7/2022, de residus i sòls contaminats per una economia circular; TR de la Llei reguladora dels residus (Decret Legislatiu 1/2009). I les següents ordenances municipals: (i) del medi ambient de Barcelona, (ii) d'obres i instal·lacions de serveis en el domini públic municipal, (iii) d'ús de les vies i els espais públics de Barcelona i (iv) reguladora del procediment sancionador</t>
  </si>
  <si>
    <t>Dades identificatives, dades personals, dades comercials</t>
  </si>
  <si>
    <t>Procedència dades de la persona afectada, Procedència dades de registres públics, Llicències i altres resolucions del propi Ajuntament</t>
  </si>
  <si>
    <t>Les dades s'han de conservar mentre l'expedient no s'hagi finalitzat, també en fase de recaptació. El termini de conservació dels expedients sancionadors abreujats és de 10 anys, els expedients sancionadors ordinaris són de conservació permanent.</t>
  </si>
  <si>
    <t>Accés a zones restringides a la circulació i/o aparcament</t>
  </si>
  <si>
    <t>Plataforma de gestió dels permisos d'accés a zones de circulació restringida (pilones d'accés i altres sistemes)</t>
  </si>
  <si>
    <t>Persones amb autorització d’aparcament o accés en zones d’horari limitat o regulat</t>
  </si>
  <si>
    <t>Missió d'interès públic - exercici de poders públics, Art. 25.2.g de la Llei 7/1985, Reguladora de les Bases de Règim Local</t>
  </si>
  <si>
    <t>Dades identificatives, dades personals</t>
  </si>
  <si>
    <t>Procedència dades de la persona afectada</t>
  </si>
  <si>
    <t>Mentre el/la sol·licitant compleixi els criteris d'accés a les zones d'accés restringit</t>
  </si>
  <si>
    <t>Règims d'intervenció administrativa (llicències i comunicats)</t>
  </si>
  <si>
    <t>Gestió de llicències d'obres i activitats o d'ocupació d'espai públic</t>
  </si>
  <si>
    <t>Comunicacions de dades a entitats de dret públic, Generalitat de Catalunya, Agencia Tributaria, Agència Tributària de Catalunya i les establertes obligatòriament a la legislació vigent (Jutjats i tribunals i cossos i forces de seguretat)</t>
  </si>
  <si>
    <t>Persones que demanen llicències d'obres i activitats o d'ocupació d'espai públic</t>
  </si>
  <si>
    <t>Consentiment informat, específic i explícit, Obligació legal del Responsable, Art. 234, 235 i 236 Llei Municipal de Règim Local de Catalunya; Art. 70, 88 i 90 Text Refós en matèria de Règim Local; Art. 84, 84bis i 84ter Llei Reguladora de les Bases de Règim Local i Art. 71 Carta Municipal de Barcelona</t>
  </si>
  <si>
    <t>Dades identificatives, dades socials, dades professionals, dades comercials, dades econòmiques</t>
  </si>
  <si>
    <t>Procedència dades de la persona afectada, Procedència dades d'administracions públiques, Procedència dades de registres públics, Amb els departaments de Generalitat de Catalunya amb competències en Turisme i Medi Ambient</t>
  </si>
  <si>
    <t>Les vostres dades seran eliminades en funció dels expedients i de la normativa aplicable.</t>
  </si>
  <si>
    <t>Gestió de consultes a Pla de la Ciutat</t>
  </si>
  <si>
    <t>Gestionar les peticions i consultes cartogràfiques realitzades a Pla de la Ciutat.</t>
  </si>
  <si>
    <t>Persones que demanen informacions o accions de Pla de la Ciutat</t>
  </si>
  <si>
    <t>Consentiment informat, específic i explícit, Missió d'interès públic - exercici de poders públics, Article 3 de l'Ordenança sobre l'ús de les vies i els espais públics de Barcelona</t>
  </si>
  <si>
    <t>Dades identificatives, dades professionals</t>
  </si>
  <si>
    <t>Cinc anys</t>
  </si>
  <si>
    <t>Informes i Certificats Urbanístics</t>
  </si>
  <si>
    <t>Emetre informe/certificat sobre el règim urbanístic de les finques i el planejament aplicable</t>
  </si>
  <si>
    <t>Persones que demanen certificats o informes urbanístics</t>
  </si>
  <si>
    <t>Obligació legal del Responsable, Text Refós de la Llei d’Urbanisme 1/2010 i Reglament 305/2006</t>
  </si>
  <si>
    <t>Dades identificatives</t>
  </si>
  <si>
    <t>Per informes i alineacions, 5 anys, i per certificats, 15 anys.</t>
  </si>
  <si>
    <t>Actuacions de Planejament urbanístic</t>
  </si>
  <si>
    <t>Subministrament d’informació urbanística a la ciutadania en la tramitació de nou planejament o la seva modificació, així com la resolució de les possibles al·legacions que es presentin o l' execució de les sentències que se'n derivin.</t>
  </si>
  <si>
    <t>Al Dep de Territori de la Generalitat, com a obligació legal en el procés de tramitació del planejament d'acord al TRLUC i les establertes obligatòriament a la legislació vigent (Jutjats i tribunals i cossos i forces de seguretat)</t>
  </si>
  <si>
    <t>Persones afectades pel planejament urbanístic en curs.</t>
  </si>
  <si>
    <t>Obligació legal del Responsable, Art. 25.2 d) L7/1985, Llei Reguladora de les Bases de Règim Local; Art. 66.3 d) DL 2/2003, Text refós de la Llei municipal i de règim local de Catalunya</t>
  </si>
  <si>
    <t>Procedència dades de la persona afectada, Procedència dades d'altres no afectats, Procedència dades de registres públics, Promotors de planejament privat d'acord al TRLUC.</t>
  </si>
  <si>
    <t>Mentre sigui vigent el planejament objecte del tractament de dades personals</t>
  </si>
  <si>
    <t>Gestió dels expedients de disciplina urbanística</t>
  </si>
  <si>
    <t>Gestió dels expedients de disciplina urbanística, d’activitats i via pública i d’expedients sancionadors</t>
  </si>
  <si>
    <t>Persones físiques que sol·liciten o front a les quals s'obren expedients administratius de disciplina urbanística.</t>
  </si>
  <si>
    <t>Obligació legal del Responsable, Art. 25.2 L7/1985 Llei Reguladora de les Bases de Règim Local + Art. 66.3 del TR de la Llei Municipal i de Règim Local de Catalunya i Carta Municipal de Barcelona (preceptes referits a la potestat sancionadora)</t>
  </si>
  <si>
    <t>Procedència dades de la persona afectada, Procedència dades d'altres no afectats, Procedència dades de registres públics, Registre de la propietat, HUT, mercantil</t>
  </si>
  <si>
    <t>En funció dels expedients i de la normativa aplicable.</t>
  </si>
  <si>
    <t>Institut Municipal de l'Habitatge i la Rehabilitació de Barcelona</t>
  </si>
  <si>
    <t>Gestió dels serveis públics vinculats a l'habitatge a la ciutat de Barcelona</t>
  </si>
  <si>
    <t>Gestionar els serveis d’habitatge de Barcelona que inclouen donar informació i assistència a la ciutadania i cercar possibles solucions a les diferents demandes que pugui plantejar, facilitar l’accés a un habitatge digne i assequible mitjançant les borses d'habitatge de lloguer privat així com les promocions d'habitatge amb protecció oficial públiques i privades, especialment als col·lectius més vulnerables, atorgar prestacions econòmiques per al pagament del lloguer o deutes de rendes o per obres de rehabilitació i assessorar i mediar per a solucionar conflictes entre propietaris i inquilins o per situacions de pèrdua d’habitatge i ocupacions. Realitzar estudis i/o enquestes en relació a l'àmbit d'habitatge.</t>
  </si>
  <si>
    <t>Comunicacions de dades a entitats de dret públic, Comunicacions de dades a entitats privades, Es comuniquen dades a diferents administracions (Agència de l'Habitatge de Catalunya, Serveis Socials, jutjats, etc...), a promotors públic i privats, a entitats i persones privades i les establertes obligatòriament a la legislació vigent (Jutjats i tribunals i cossos i forces de seguretat)</t>
  </si>
  <si>
    <t>* Ciutadania i usuaris/àries que requereixen dels serveis del Consorci de l'Habitatge de Barcelona. 
* Persones propietàries i promotors públics i privats que intervenen i/o requereixen dels serveis d'habitatge</t>
  </si>
  <si>
    <t>Consentiment informat, específic i explícit, Obligació legal del Responsable, Missió d'interès públic - exercici de poders públics, Llei 18/2007, del 28 de desembre, del dret a l'habitatge; Llei 22/1998, de 30 de desembre, de la Carta Municipal de Barcelona; Estatuts del Consorci de l'Habitatge de Barcelona, del 31 d'agost del 2009; Decret 75/2014, del 27 de maig, del Pla del Dret a l'Habitatge i tota aquella altra legislació i normativa en matèria d'habitatge  que sigui d'aplicació.</t>
  </si>
  <si>
    <t>Dades identificatives, dades personals, dades socials, dades ocupació laboral, dades econòmiques, dades salut, dades violència de gènere, dades menors d'edat, dades altres tipus de  persones vulnerables</t>
  </si>
  <si>
    <t>Procedència dades de la persona afectada, Procedència dades d'administracions públiques, Procedència dades de registres públics, Administracions públiques, de Registres públics (Registre de la propietat, Registre Civil, etc…) i de serveis socials</t>
  </si>
  <si>
    <t>Les vostres dades seran eliminades un cop complertes les obligacions legals derivades de la gestió de l'activitat</t>
  </si>
  <si>
    <t>Institut Municipal de Parcs i Jardins</t>
  </si>
  <si>
    <t>Gestor d'Expedients de Protecció del Verd</t>
  </si>
  <si>
    <t>Gestió d'expedients d'informes i valoracions del verd, tant públic com privat, per llicències, reclamacions de danys, autoritzacions amb afectació al verd, i pressupostos comercials</t>
  </si>
  <si>
    <t>Comunicacions de dades a entitats de dret públic, Les establertes obligatòriament a la legislació vigent (Jutjats i tribunals i cossos i forces de seguretat)</t>
  </si>
  <si>
    <t>Ciutadans que demanen llicències o informes per intervencions en verd, o valoracions de desperfectes instats per Jutjat o Ajuntament</t>
  </si>
  <si>
    <t>Contracte entre l'Ajuntament de Barcelona i l'afectat, Obligació legal del Responsable, Missió d'interès públic - exercici de poders públics, Llei 7/1985, Reguladora de Bases de Règim Local i Carta Municipal de Barcelona</t>
  </si>
  <si>
    <t>Dades identificatives, dades personals, dades socials, dades professionals, imatges, dades infraccions penals, geoposicionament</t>
  </si>
  <si>
    <t>Procedència dades de la persona afectada, Procedència dades d'administracions públiques, Procedència dades de registres públics, Jutjats i altres departaments de l'Ajuntament, o consulta a padró.</t>
  </si>
  <si>
    <t>Un cop tancat l'expedient, es guardaran 4 anys més quan hi ha contingut econòmic.</t>
  </si>
  <si>
    <t>IT  Evolutius recurrents</t>
  </si>
  <si>
    <t>Responsable de servei / Consultor</t>
  </si>
  <si>
    <t>Altres</t>
  </si>
  <si>
    <t>Costos salarials - Seguretat Social (34%)</t>
  </si>
  <si>
    <t>Costos formació i prevenció (1%)</t>
  </si>
  <si>
    <t>Despeses generals d’estructura (15%)</t>
  </si>
  <si>
    <t>TOTAL (Suma costos directes + indirectes)</t>
  </si>
  <si>
    <t>Benefici industrial (10%)</t>
  </si>
  <si>
    <t>TOTAL DE COSTOS CONTRACTE</t>
  </si>
  <si>
    <t>IVA (21%)</t>
  </si>
  <si>
    <t>VE increment 10%</t>
  </si>
  <si>
    <t>Juny</t>
  </si>
  <si>
    <t>Juliol</t>
  </si>
  <si>
    <t>de l'14-4 al 31-12</t>
  </si>
  <si>
    <t>de l'1-1 al 13-4</t>
  </si>
  <si>
    <t>Data inici tots serveis</t>
  </si>
  <si>
    <t>(*) L'import total de l'IVA correspon al sumatori dels imports individuals detallats a la taula anterior (fila 11, columnes C, F, I, L, O) i no a l'aplicació directa de l'IVA actual del 21% sobre el pressupost net totalitzat (files 17 a 21 columna B).</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</si>
</sst>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8" formatCode="#,##0.00\ &quot;€&quot;;[Red]\-#,##0.00\ &quot;€&quot;"/>
    <numFmt numFmtId="44" formatCode="_-* #,##0.00\ &quot;€&quot;_-;\-* #,##0.00\ &quot;€&quot;_-;_-* &quot;-&quot;??\ &quot;€&quot;_-;_-@_-"/>
    <numFmt numFmtId="43" formatCode="_-* #,##0.00\ _€_-;\-* #,##0.00\ _€_-;_-* &quot;-&quot;??\ _€_-;_-@_-"/>
    <numFmt numFmtId="164" formatCode="#,##0.00\ &quot;€&quot;"/>
    <numFmt numFmtId="165" formatCode="_-* #,##0.00\ [$€-403]_-;\-* #,##0.00\ [$€-403]_-;_-* &quot;-&quot;??\ [$€-403]_-;_-@_-"/>
    <numFmt numFmtId="166" formatCode="#,##0.00_ ;[Red]\-#,##0.00\ "/>
    <numFmt numFmtId="167" formatCode="#,##0.0000"/>
    <numFmt numFmtId="168" formatCode="_-* #,##0.00&quot; €&quot;_-;\-* #,##0.00&quot; €&quot;_-;_-* \-??&quot; €&quot;_-;_-@_-"/>
    <numFmt numFmtId="169" formatCode="0.0000%"/>
    <numFmt numFmtId="170" formatCode="0.0000"/>
    <numFmt numFmtId="171" formatCode="#,##0.00&quot;€&quot;"/>
  </numFmts>
  <fonts count="50">
    <font>
      <sz val="11"/>
      <color theme="1"/>
      <name val="Calibri"/>
      <family val="2"/>
      <scheme val="minor"/>
    </font>
    <font>
      <b/>
      <sz val="11"/>
      <color theme="1"/>
      <name val="Calibri"/>
      <family val="2"/>
      <scheme val="minor"/>
    </font>
    <font>
      <sz val="12"/>
      <color theme="0"/>
      <name val="Calibri"/>
      <family val="2"/>
      <scheme val="minor"/>
    </font>
    <font>
      <sz val="11"/>
      <color theme="1"/>
      <name val="Calibri"/>
      <family val="2"/>
      <scheme val="minor"/>
    </font>
    <font>
      <sz val="11"/>
      <color theme="1"/>
      <name val="Calibri"/>
      <family val="2"/>
    </font>
    <font>
      <b/>
      <sz val="12"/>
      <color theme="1"/>
      <name val="Calibri"/>
      <family val="2"/>
      <scheme val="minor"/>
    </font>
    <font>
      <b/>
      <sz val="11"/>
      <color theme="0"/>
      <name val="Calibri"/>
      <family val="2"/>
      <scheme val="minor"/>
    </font>
    <font>
      <sz val="11"/>
      <color theme="0"/>
      <name val="Calibri"/>
      <family val="2"/>
      <scheme val="minor"/>
    </font>
    <font>
      <b/>
      <sz val="12"/>
      <color theme="0"/>
      <name val="Calibri"/>
      <family val="2"/>
      <scheme val="minor"/>
    </font>
    <font>
      <sz val="11"/>
      <color theme="1"/>
      <name val="Calibri"/>
      <family val="2"/>
      <scheme val="minor"/>
    </font>
    <font>
      <b/>
      <sz val="11"/>
      <color theme="1"/>
      <name val="Calibri"/>
      <family val="2"/>
      <scheme val="minor"/>
    </font>
    <font>
      <b/>
      <sz val="11"/>
      <name val="Calibri"/>
      <family val="2"/>
      <scheme val="minor"/>
    </font>
    <font>
      <b/>
      <sz val="14"/>
      <color theme="0"/>
      <name val="Calibri"/>
      <family val="2"/>
      <scheme val="minor"/>
    </font>
    <font>
      <sz val="11"/>
      <color rgb="FF000000"/>
      <name val="Calibri"/>
      <family val="2"/>
    </font>
    <font>
      <b/>
      <sz val="10"/>
      <color rgb="FFFFFFFF"/>
      <name val="Calibri"/>
      <family val="2"/>
    </font>
    <font>
      <sz val="10"/>
      <color rgb="FF000000"/>
      <name val="Calibri"/>
      <family val="2"/>
    </font>
    <font>
      <sz val="11"/>
      <name val="Calibri"/>
      <family val="2"/>
      <scheme val="minor"/>
    </font>
    <font>
      <sz val="10"/>
      <color rgb="FF000000"/>
      <name val="Arial"/>
      <family val="2"/>
    </font>
    <font>
      <sz val="11"/>
      <color rgb="FF000000"/>
      <name val="Calibri"/>
      <family val="2"/>
      <charset val="1"/>
    </font>
    <font>
      <sz val="10"/>
      <color theme="1"/>
      <name val="Times New Roman"/>
      <family val="1"/>
    </font>
    <font>
      <b/>
      <sz val="10"/>
      <color rgb="FF000000"/>
      <name val="Calibri"/>
      <family val="2"/>
    </font>
    <font>
      <sz val="8"/>
      <color theme="1"/>
      <name val="Times New Roman"/>
      <family val="1"/>
    </font>
    <font>
      <b/>
      <sz val="12"/>
      <color theme="0"/>
      <name val="Calibri"/>
      <family val="2"/>
    </font>
    <font>
      <sz val="11"/>
      <color rgb="FFFF0000"/>
      <name val="Calibri"/>
      <family val="2"/>
      <scheme val="minor"/>
    </font>
    <font>
      <i/>
      <sz val="11"/>
      <color theme="1"/>
      <name val="Calibri"/>
      <family val="2"/>
      <scheme val="minor"/>
    </font>
    <font>
      <b/>
      <sz val="11"/>
      <color rgb="FFFF0000"/>
      <name val="Calibri"/>
      <family val="2"/>
      <scheme val="minor"/>
    </font>
    <font>
      <b/>
      <sz val="10"/>
      <color theme="1"/>
      <name val="Calibri"/>
      <family val="2"/>
      <scheme val="minor"/>
    </font>
    <font>
      <sz val="10"/>
      <color theme="1"/>
      <name val="Calibri"/>
      <family val="2"/>
      <scheme val="minor"/>
    </font>
    <font>
      <b/>
      <sz val="10"/>
      <color theme="0"/>
      <name val="Calibri"/>
      <family val="2"/>
      <scheme val="minor"/>
    </font>
    <font>
      <b/>
      <sz val="10"/>
      <color rgb="FFFFFFFF"/>
      <name val="Calibri"/>
      <family val="2"/>
      <scheme val="minor"/>
    </font>
    <font>
      <b/>
      <sz val="10"/>
      <color rgb="FF000000"/>
      <name val="Calibri"/>
      <family val="2"/>
      <scheme val="minor"/>
    </font>
    <font>
      <sz val="10"/>
      <color rgb="FF000000"/>
      <name val="Calibri"/>
      <family val="2"/>
      <scheme val="minor"/>
    </font>
    <font>
      <i/>
      <sz val="10"/>
      <color rgb="FF000000"/>
      <name val="Calibri"/>
      <family val="2"/>
    </font>
    <font>
      <i/>
      <sz val="10"/>
      <color theme="1"/>
      <name val="Calibri"/>
      <family val="2"/>
      <scheme val="minor"/>
    </font>
    <font>
      <sz val="10"/>
      <color theme="1"/>
      <name val="Calibri"/>
      <family val="2"/>
    </font>
    <font>
      <b/>
      <sz val="10"/>
      <color theme="1"/>
      <name val="Calibri"/>
      <family val="2"/>
    </font>
    <font>
      <b/>
      <sz val="10"/>
      <color theme="0"/>
      <name val="Calibri"/>
      <family val="2"/>
    </font>
    <font>
      <b/>
      <sz val="10"/>
      <name val="Calibri"/>
      <family val="2"/>
    </font>
    <font>
      <b/>
      <sz val="10"/>
      <color rgb="FFFF0000"/>
      <name val="Calibri"/>
      <family val="2"/>
    </font>
    <font>
      <sz val="11"/>
      <color rgb="FF1F497D"/>
      <name val="Calibri"/>
      <family val="2"/>
      <scheme val="minor"/>
    </font>
    <font>
      <b/>
      <sz val="11"/>
      <color rgb="FF1F497D"/>
      <name val="Calibri"/>
      <family val="2"/>
      <scheme val="minor"/>
    </font>
    <font>
      <b/>
      <sz val="11"/>
      <color theme="0"/>
      <name val="Calibri"/>
      <family val="2"/>
    </font>
    <font>
      <b/>
      <sz val="10"/>
      <color rgb="FFFF0000"/>
      <name val="Calibri"/>
      <family val="2"/>
      <scheme val="minor"/>
    </font>
    <font>
      <sz val="11"/>
      <name val="Calibri"/>
      <family val="2"/>
    </font>
    <font>
      <b/>
      <sz val="11"/>
      <color rgb="FF0000FF"/>
      <name val="Calibri"/>
      <family val="2"/>
    </font>
    <font>
      <sz val="11"/>
      <color rgb="FF0000FF"/>
      <name val="Calibri"/>
      <family val="2"/>
    </font>
    <font>
      <sz val="9"/>
      <color theme="1"/>
      <name val="Arial"/>
      <family val="2"/>
    </font>
    <font>
      <b/>
      <sz val="11"/>
      <color rgb="FF000000"/>
      <name val="&quot;Calibri&quot;"/>
    </font>
    <font>
      <sz val="11"/>
      <name val="&quot;Calibri&quot;"/>
    </font>
    <font>
      <b/>
      <sz val="11"/>
      <name val="&quot;Calibri&quot;"/>
    </font>
  </fonts>
  <fills count="26">
    <fill>
      <patternFill patternType="none"/>
    </fill>
    <fill>
      <patternFill patternType="gray125"/>
    </fill>
    <fill>
      <patternFill patternType="solid">
        <fgColor theme="8"/>
        <bgColor indexed="64"/>
      </patternFill>
    </fill>
    <fill>
      <patternFill patternType="solid">
        <fgColor theme="0" tint="-4.9989318521683403E-2"/>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5" tint="0.39997558519241921"/>
        <bgColor indexed="64"/>
      </patternFill>
    </fill>
    <fill>
      <patternFill patternType="solid">
        <fgColor theme="9" tint="0.59999389629810485"/>
        <bgColor indexed="64"/>
      </patternFill>
    </fill>
    <fill>
      <patternFill patternType="solid">
        <fgColor theme="7" tint="0.59999389629810485"/>
        <bgColor indexed="64"/>
      </patternFill>
    </fill>
    <fill>
      <patternFill patternType="solid">
        <fgColor theme="6" tint="0.39997558519241921"/>
        <bgColor indexed="64"/>
      </patternFill>
    </fill>
    <fill>
      <patternFill patternType="solid">
        <fgColor theme="7" tint="0.39997558519241921"/>
        <bgColor indexed="64"/>
      </patternFill>
    </fill>
    <fill>
      <patternFill patternType="solid">
        <fgColor theme="2"/>
        <bgColor indexed="64"/>
      </patternFill>
    </fill>
    <fill>
      <patternFill patternType="solid">
        <fgColor rgb="FF00B0F0"/>
        <bgColor indexed="64"/>
      </patternFill>
    </fill>
    <fill>
      <patternFill patternType="solid">
        <fgColor theme="1"/>
        <bgColor indexed="64"/>
      </patternFill>
    </fill>
    <fill>
      <patternFill patternType="solid">
        <fgColor rgb="FFC00000"/>
        <bgColor indexed="64"/>
      </patternFill>
    </fill>
    <fill>
      <patternFill patternType="solid">
        <fgColor theme="1" tint="0.34998626667073579"/>
        <bgColor indexed="64"/>
      </patternFill>
    </fill>
    <fill>
      <patternFill patternType="solid">
        <fgColor rgb="FFFFFF00"/>
        <bgColor indexed="64"/>
      </patternFill>
    </fill>
    <fill>
      <patternFill patternType="solid">
        <fgColor theme="2" tint="-0.499984740745262"/>
        <bgColor indexed="64"/>
      </patternFill>
    </fill>
    <fill>
      <patternFill patternType="solid">
        <fgColor theme="0" tint="-0.14999847407452621"/>
        <bgColor indexed="64"/>
      </patternFill>
    </fill>
    <fill>
      <patternFill patternType="solid">
        <fgColor theme="0"/>
        <bgColor indexed="64"/>
      </patternFill>
    </fill>
    <fill>
      <patternFill patternType="solid">
        <fgColor theme="4" tint="0.79998168889431442"/>
        <bgColor indexed="64"/>
      </patternFill>
    </fill>
    <fill>
      <patternFill patternType="solid">
        <fgColor theme="2" tint="-0.249977111117893"/>
        <bgColor indexed="64"/>
      </patternFill>
    </fill>
    <fill>
      <patternFill patternType="solid">
        <fgColor rgb="FFC0504D"/>
        <bgColor indexed="64"/>
      </patternFill>
    </fill>
    <fill>
      <patternFill patternType="solid">
        <fgColor rgb="FFDDEBF7"/>
        <bgColor rgb="FFDDEBF7"/>
      </patternFill>
    </fill>
    <fill>
      <patternFill patternType="solid">
        <fgColor rgb="FFE6B8B7"/>
        <bgColor indexed="64"/>
      </patternFill>
    </fill>
    <fill>
      <patternFill patternType="solid">
        <fgColor rgb="FFD9D9D9"/>
        <bgColor rgb="FFD9D9D9"/>
      </patternFill>
    </fill>
  </fills>
  <borders count="31">
    <border>
      <left/>
      <right/>
      <top/>
      <bottom/>
      <diagonal/>
    </border>
    <border>
      <left style="thin">
        <color theme="2" tint="-9.9978637043366805E-2"/>
      </left>
      <right style="thin">
        <color theme="2" tint="-9.9978637043366805E-2"/>
      </right>
      <top style="thin">
        <color theme="2" tint="-9.9978637043366805E-2"/>
      </top>
      <bottom style="thin">
        <color theme="2" tint="-9.9978637043366805E-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theme="2"/>
      </left>
      <right style="thin">
        <color theme="2"/>
      </right>
      <top style="thin">
        <color theme="2"/>
      </top>
      <bottom style="thin">
        <color theme="2"/>
      </bottom>
      <diagonal/>
    </border>
    <border>
      <left/>
      <right style="thin">
        <color theme="2" tint="-9.9978637043366805E-2"/>
      </right>
      <top style="thin">
        <color theme="2" tint="-9.9978637043366805E-2"/>
      </top>
      <bottom style="thin">
        <color theme="2" tint="-9.9978637043366805E-2"/>
      </bottom>
      <diagonal/>
    </border>
    <border>
      <left style="thin">
        <color theme="2" tint="-9.9978637043366805E-2"/>
      </left>
      <right/>
      <top style="thin">
        <color theme="2" tint="-9.9978637043366805E-2"/>
      </top>
      <bottom style="thin">
        <color theme="2" tint="-9.9978637043366805E-2"/>
      </bottom>
      <diagonal/>
    </border>
    <border>
      <left style="medium">
        <color indexed="64"/>
      </left>
      <right style="medium">
        <color indexed="64"/>
      </right>
      <top style="medium">
        <color indexed="64"/>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style="thin">
        <color theme="2"/>
      </left>
      <right style="thin">
        <color theme="2"/>
      </right>
      <top style="thin">
        <color theme="2"/>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rgb="FF000000"/>
      </left>
      <right style="thin">
        <color rgb="FF000000"/>
      </right>
      <top style="thin">
        <color rgb="FF000000"/>
      </top>
      <bottom style="thin">
        <color rgb="FF000000"/>
      </bottom>
      <diagonal/>
    </border>
    <border>
      <left/>
      <right style="thin">
        <color rgb="FF000000"/>
      </right>
      <top/>
      <bottom style="thin">
        <color rgb="FF000000"/>
      </bottom>
      <diagonal/>
    </border>
    <border>
      <left/>
      <right/>
      <top/>
      <bottom style="thin">
        <color rgb="FF000000"/>
      </bottom>
      <diagonal/>
    </border>
    <border>
      <left/>
      <right style="thin">
        <color rgb="FF000000"/>
      </right>
      <top style="thin">
        <color rgb="FF000000"/>
      </top>
      <bottom style="thin">
        <color rgb="FF000000"/>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thin">
        <color indexed="64"/>
      </top>
      <bottom style="thin">
        <color indexed="64"/>
      </bottom>
      <diagonal/>
    </border>
    <border>
      <left style="thin">
        <color rgb="FF000000"/>
      </left>
      <right/>
      <top style="thin">
        <color rgb="FF000000"/>
      </top>
      <bottom style="thin">
        <color rgb="FF000000"/>
      </bottom>
      <diagonal/>
    </border>
  </borders>
  <cellStyleXfs count="11">
    <xf numFmtId="0" fontId="0" fillId="0" borderId="0"/>
    <xf numFmtId="44" fontId="3" fillId="0" borderId="0" applyFont="0" applyFill="0" applyBorder="0" applyAlignment="0" applyProtection="0"/>
    <xf numFmtId="9" fontId="3" fillId="0" borderId="0" applyFont="0" applyFill="0" applyBorder="0" applyAlignment="0" applyProtection="0"/>
    <xf numFmtId="0" fontId="17" fillId="0" borderId="0"/>
    <xf numFmtId="0" fontId="18" fillId="0" borderId="0"/>
    <xf numFmtId="43" fontId="18" fillId="0" borderId="0" applyFont="0" applyFill="0" applyBorder="0" applyAlignment="0" applyProtection="0"/>
    <xf numFmtId="168" fontId="18" fillId="0" borderId="0" applyBorder="0" applyProtection="0"/>
    <xf numFmtId="43" fontId="3" fillId="0" borderId="0" applyFont="0" applyFill="0" applyBorder="0" applyAlignment="0" applyProtection="0"/>
    <xf numFmtId="0" fontId="3" fillId="0" borderId="0"/>
    <xf numFmtId="0" fontId="3" fillId="0" borderId="0"/>
    <xf numFmtId="44" fontId="3" fillId="0" borderId="0" applyFont="0" applyFill="0" applyBorder="0" applyAlignment="0" applyProtection="0"/>
  </cellStyleXfs>
  <cellXfs count="288">
    <xf numFmtId="0" fontId="0" fillId="0" borderId="0" xfId="0"/>
    <xf numFmtId="0" fontId="1" fillId="3" borderId="0" xfId="0" applyFont="1" applyFill="1"/>
    <xf numFmtId="0" fontId="0" fillId="0" borderId="1" xfId="0" applyBorder="1" applyAlignment="1">
      <alignment horizontal="center" vertical="center"/>
    </xf>
    <xf numFmtId="0" fontId="0" fillId="0" borderId="0" xfId="0" applyAlignment="1">
      <alignment horizontal="center" vertical="center"/>
    </xf>
    <xf numFmtId="0" fontId="2" fillId="2" borderId="0" xfId="0" applyFont="1" applyFill="1" applyAlignment="1">
      <alignment horizontal="center" vertical="center" wrapText="1"/>
    </xf>
    <xf numFmtId="0" fontId="1" fillId="3" borderId="0" xfId="0" applyFont="1" applyFill="1" applyAlignment="1">
      <alignment vertical="center" wrapText="1"/>
    </xf>
    <xf numFmtId="0" fontId="2" fillId="2" borderId="0" xfId="0" applyFont="1" applyFill="1" applyAlignment="1">
      <alignment horizontal="center"/>
    </xf>
    <xf numFmtId="44" fontId="0" fillId="4" borderId="1" xfId="1" applyFont="1" applyFill="1" applyBorder="1" applyAlignment="1">
      <alignment horizontal="center" vertical="center"/>
    </xf>
    <xf numFmtId="0" fontId="0" fillId="5" borderId="0" xfId="0" applyNumberFormat="1" applyFill="1" applyBorder="1" applyProtection="1">
      <protection hidden="1"/>
    </xf>
    <xf numFmtId="0" fontId="0" fillId="0" borderId="0" xfId="0" applyNumberFormat="1" applyFill="1" applyBorder="1" applyProtection="1">
      <protection hidden="1"/>
    </xf>
    <xf numFmtId="0" fontId="0" fillId="6" borderId="0" xfId="0" applyFill="1" applyBorder="1"/>
    <xf numFmtId="0" fontId="0" fillId="6" borderId="0" xfId="0" applyNumberFormat="1" applyFill="1" applyBorder="1" applyProtection="1">
      <protection hidden="1"/>
    </xf>
    <xf numFmtId="0" fontId="0" fillId="6" borderId="0" xfId="0" applyFill="1"/>
    <xf numFmtId="44" fontId="0" fillId="6" borderId="0" xfId="1" applyFont="1" applyFill="1"/>
    <xf numFmtId="0" fontId="0" fillId="8" borderId="0" xfId="0" applyNumberFormat="1" applyFill="1" applyBorder="1" applyProtection="1">
      <protection hidden="1"/>
    </xf>
    <xf numFmtId="0" fontId="0" fillId="9" borderId="0" xfId="0" applyNumberFormat="1" applyFill="1" applyBorder="1" applyProtection="1">
      <protection hidden="1"/>
    </xf>
    <xf numFmtId="0" fontId="4" fillId="9" borderId="0" xfId="0" applyFont="1" applyFill="1" applyBorder="1"/>
    <xf numFmtId="0" fontId="0" fillId="9" borderId="0" xfId="0" applyFill="1"/>
    <xf numFmtId="0" fontId="0" fillId="9" borderId="0" xfId="0" applyFill="1" applyBorder="1"/>
    <xf numFmtId="0" fontId="4" fillId="5" borderId="0" xfId="0" applyFont="1" applyFill="1" applyBorder="1"/>
    <xf numFmtId="0" fontId="0" fillId="5" borderId="0" xfId="0" applyFill="1"/>
    <xf numFmtId="0" fontId="0" fillId="7" borderId="0" xfId="0" applyFill="1"/>
    <xf numFmtId="0" fontId="0" fillId="7" borderId="0" xfId="0" applyFill="1" applyBorder="1"/>
    <xf numFmtId="0" fontId="0" fillId="0" borderId="0" xfId="0" applyFill="1" applyBorder="1"/>
    <xf numFmtId="0" fontId="0" fillId="8" borderId="0" xfId="0" applyFill="1" applyBorder="1"/>
    <xf numFmtId="0" fontId="0" fillId="0" borderId="0" xfId="0" applyBorder="1"/>
    <xf numFmtId="4" fontId="0" fillId="0" borderId="1" xfId="0" applyNumberFormat="1" applyBorder="1" applyAlignment="1">
      <alignment horizontal="center" vertical="center"/>
    </xf>
    <xf numFmtId="14" fontId="0" fillId="0" borderId="1" xfId="0" applyNumberFormat="1" applyBorder="1" applyAlignment="1">
      <alignment horizontal="center" vertical="center"/>
    </xf>
    <xf numFmtId="44" fontId="0" fillId="0" borderId="0" xfId="0" applyNumberFormat="1"/>
    <xf numFmtId="4" fontId="0" fillId="0" borderId="0" xfId="0" applyNumberFormat="1" applyBorder="1" applyAlignment="1">
      <alignment horizontal="center" vertical="center"/>
    </xf>
    <xf numFmtId="0" fontId="0" fillId="0" borderId="2" xfId="0" applyBorder="1"/>
    <xf numFmtId="165" fontId="0" fillId="0" borderId="2" xfId="0" applyNumberFormat="1" applyBorder="1"/>
    <xf numFmtId="165" fontId="5" fillId="0" borderId="2" xfId="0" applyNumberFormat="1" applyFont="1" applyBorder="1"/>
    <xf numFmtId="165" fontId="0" fillId="0" borderId="2" xfId="0" applyNumberFormat="1" applyBorder="1" applyAlignment="1">
      <alignment horizontal="center"/>
    </xf>
    <xf numFmtId="0" fontId="0" fillId="0" borderId="2" xfId="0" applyNumberFormat="1" applyBorder="1" applyAlignment="1">
      <alignment horizontal="center"/>
    </xf>
    <xf numFmtId="14" fontId="0" fillId="0" borderId="2" xfId="0" applyNumberFormat="1" applyBorder="1" applyAlignment="1">
      <alignment horizontal="center"/>
    </xf>
    <xf numFmtId="14" fontId="1" fillId="0" borderId="2" xfId="0" applyNumberFormat="1" applyFont="1" applyBorder="1" applyAlignment="1">
      <alignment horizontal="center"/>
    </xf>
    <xf numFmtId="165" fontId="0" fillId="0" borderId="2" xfId="0" applyNumberFormat="1" applyBorder="1" applyAlignment="1">
      <alignment horizontal="left" wrapText="1"/>
    </xf>
    <xf numFmtId="4" fontId="1" fillId="0" borderId="0" xfId="0" applyNumberFormat="1" applyFont="1" applyAlignment="1">
      <alignment horizontal="center"/>
    </xf>
    <xf numFmtId="0" fontId="1" fillId="0" borderId="0" xfId="0" applyFont="1" applyAlignment="1">
      <alignment horizontal="center"/>
    </xf>
    <xf numFmtId="44" fontId="1" fillId="0" borderId="0" xfId="0" applyNumberFormat="1" applyFont="1" applyAlignment="1">
      <alignment horizontal="center"/>
    </xf>
    <xf numFmtId="44" fontId="1" fillId="4" borderId="1" xfId="1" applyFont="1" applyFill="1" applyBorder="1" applyAlignment="1">
      <alignment horizontal="center" vertical="center"/>
    </xf>
    <xf numFmtId="165" fontId="0" fillId="0" borderId="0" xfId="0" applyNumberFormat="1" applyBorder="1"/>
    <xf numFmtId="165" fontId="5" fillId="0" borderId="0" xfId="0" applyNumberFormat="1" applyFont="1" applyBorder="1"/>
    <xf numFmtId="165" fontId="0" fillId="0" borderId="0" xfId="0" applyNumberFormat="1" applyBorder="1" applyAlignment="1">
      <alignment horizontal="center"/>
    </xf>
    <xf numFmtId="0" fontId="0" fillId="0" borderId="0" xfId="0" applyNumberFormat="1" applyBorder="1" applyAlignment="1">
      <alignment horizontal="center"/>
    </xf>
    <xf numFmtId="14" fontId="0" fillId="0" borderId="0" xfId="0" applyNumberFormat="1" applyBorder="1" applyAlignment="1">
      <alignment horizontal="center"/>
    </xf>
    <xf numFmtId="14" fontId="1" fillId="0" borderId="0" xfId="0" applyNumberFormat="1" applyFont="1" applyBorder="1" applyAlignment="1">
      <alignment horizontal="center"/>
    </xf>
    <xf numFmtId="165" fontId="0" fillId="0" borderId="0" xfId="0" applyNumberFormat="1" applyBorder="1" applyAlignment="1">
      <alignment horizontal="left" wrapText="1"/>
    </xf>
    <xf numFmtId="44" fontId="1" fillId="0" borderId="0" xfId="1" applyFont="1" applyAlignment="1">
      <alignment horizontal="center"/>
    </xf>
    <xf numFmtId="0" fontId="0" fillId="10" borderId="0" xfId="0" applyFill="1"/>
    <xf numFmtId="0" fontId="1" fillId="10" borderId="0" xfId="0" applyFont="1" applyFill="1" applyAlignment="1">
      <alignment horizontal="center"/>
    </xf>
    <xf numFmtId="166" fontId="0" fillId="0" borderId="0" xfId="0" applyNumberFormat="1"/>
    <xf numFmtId="166" fontId="0" fillId="11" borderId="0" xfId="0" applyNumberFormat="1" applyFill="1"/>
    <xf numFmtId="44" fontId="1" fillId="12" borderId="0" xfId="1" applyFont="1" applyFill="1"/>
    <xf numFmtId="167" fontId="1" fillId="0" borderId="0" xfId="0" applyNumberFormat="1" applyFont="1" applyAlignment="1">
      <alignment horizontal="center"/>
    </xf>
    <xf numFmtId="2" fontId="0" fillId="0" borderId="0" xfId="0" applyNumberFormat="1"/>
    <xf numFmtId="0" fontId="6" fillId="14" borderId="0" xfId="0" applyFont="1" applyFill="1" applyAlignment="1">
      <alignment horizontal="center" vertical="center"/>
    </xf>
    <xf numFmtId="0" fontId="9" fillId="0" borderId="0" xfId="0" applyFont="1" applyProtection="1">
      <protection locked="0"/>
    </xf>
    <xf numFmtId="0" fontId="9" fillId="0" borderId="0" xfId="0" applyFont="1" applyAlignment="1" applyProtection="1">
      <alignment wrapText="1"/>
      <protection locked="0"/>
    </xf>
    <xf numFmtId="0" fontId="9" fillId="0" borderId="0" xfId="0" applyFont="1"/>
    <xf numFmtId="0" fontId="9" fillId="0" borderId="0" xfId="0" applyFont="1" applyFill="1"/>
    <xf numFmtId="0" fontId="11" fillId="0" borderId="0" xfId="0" applyNumberFormat="1" applyFont="1" applyFill="1" applyBorder="1" applyProtection="1">
      <protection hidden="1"/>
    </xf>
    <xf numFmtId="14" fontId="9" fillId="0" borderId="0" xfId="0" applyNumberFormat="1" applyFont="1" applyFill="1"/>
    <xf numFmtId="0" fontId="9" fillId="0" borderId="0" xfId="0" applyFont="1" applyFill="1" applyAlignment="1">
      <alignment horizontal="right"/>
    </xf>
    <xf numFmtId="0" fontId="1" fillId="0" borderId="0" xfId="0" applyFont="1"/>
    <xf numFmtId="0" fontId="12" fillId="13" borderId="0" xfId="0" applyNumberFormat="1" applyFont="1" applyFill="1" applyBorder="1" applyAlignment="1" applyProtection="1">
      <alignment horizontal="left" vertical="center"/>
      <protection hidden="1"/>
    </xf>
    <xf numFmtId="0" fontId="8" fillId="15" borderId="0" xfId="0" applyFont="1" applyFill="1" applyAlignment="1">
      <alignment horizontal="center" vertical="center" wrapText="1"/>
    </xf>
    <xf numFmtId="0" fontId="8" fillId="14" borderId="0" xfId="0" applyFont="1" applyFill="1" applyAlignment="1">
      <alignment horizontal="center" vertical="center" wrapText="1"/>
    </xf>
    <xf numFmtId="164" fontId="9" fillId="0" borderId="0" xfId="0" applyNumberFormat="1" applyFont="1" applyFill="1" applyAlignment="1">
      <alignment vertical="center"/>
    </xf>
    <xf numFmtId="164" fontId="9" fillId="0" borderId="0" xfId="0" applyNumberFormat="1" applyFont="1"/>
    <xf numFmtId="0" fontId="3" fillId="0" borderId="0" xfId="0" applyFont="1"/>
    <xf numFmtId="14" fontId="9" fillId="0" borderId="0" xfId="0" applyNumberFormat="1" applyFont="1"/>
    <xf numFmtId="0" fontId="0" fillId="0" borderId="1" xfId="0" applyBorder="1" applyAlignment="1">
      <alignment wrapText="1"/>
    </xf>
    <xf numFmtId="14" fontId="1" fillId="0" borderId="0" xfId="0" applyNumberFormat="1" applyFont="1"/>
    <xf numFmtId="14" fontId="0" fillId="0" borderId="0" xfId="0" applyNumberFormat="1" applyFont="1"/>
    <xf numFmtId="0" fontId="0" fillId="0" borderId="0" xfId="0" applyFont="1" applyFill="1"/>
    <xf numFmtId="0" fontId="9" fillId="13" borderId="0" xfId="0" applyFont="1" applyFill="1" applyAlignment="1">
      <alignment wrapText="1"/>
    </xf>
    <xf numFmtId="0" fontId="9" fillId="0" borderId="0" xfId="0" applyFont="1" applyAlignment="1">
      <alignment wrapText="1"/>
    </xf>
    <xf numFmtId="0" fontId="6" fillId="14" borderId="0" xfId="0" applyFont="1" applyFill="1" applyAlignment="1">
      <alignment horizontal="center" vertical="center" wrapText="1"/>
    </xf>
    <xf numFmtId="4" fontId="10" fillId="0" borderId="0" xfId="0" applyNumberFormat="1" applyFont="1" applyAlignment="1">
      <alignment horizontal="left" wrapText="1"/>
    </xf>
    <xf numFmtId="4" fontId="1" fillId="0" borderId="0" xfId="0" applyNumberFormat="1" applyFont="1" applyAlignment="1">
      <alignment horizontal="left" wrapText="1"/>
    </xf>
    <xf numFmtId="4" fontId="10" fillId="11" borderId="0" xfId="0" applyNumberFormat="1" applyFont="1" applyFill="1" applyAlignment="1">
      <alignment horizontal="left" wrapText="1"/>
    </xf>
    <xf numFmtId="0" fontId="0" fillId="0" borderId="9" xfId="0" applyBorder="1" applyAlignment="1">
      <alignment wrapText="1"/>
    </xf>
    <xf numFmtId="4" fontId="16" fillId="0" borderId="0" xfId="0" applyNumberFormat="1" applyFont="1" applyBorder="1" applyAlignment="1">
      <alignment horizontal="center" vertical="center"/>
    </xf>
    <xf numFmtId="164" fontId="16" fillId="0" borderId="0" xfId="0" applyNumberFormat="1" applyFont="1" applyBorder="1" applyAlignment="1">
      <alignment horizontal="right" vertical="center"/>
    </xf>
    <xf numFmtId="4" fontId="16" fillId="0" borderId="0" xfId="0" applyNumberFormat="1" applyFont="1" applyFill="1" applyBorder="1" applyAlignment="1">
      <alignment horizontal="center" vertical="center"/>
    </xf>
    <xf numFmtId="10" fontId="0" fillId="0" borderId="0" xfId="0" applyNumberFormat="1"/>
    <xf numFmtId="14" fontId="16" fillId="0" borderId="7" xfId="0" applyNumberFormat="1" applyFont="1" applyFill="1" applyBorder="1" applyAlignment="1">
      <alignment horizontal="center"/>
    </xf>
    <xf numFmtId="44" fontId="16" fillId="0" borderId="8" xfId="1" applyFont="1" applyFill="1" applyBorder="1" applyAlignment="1">
      <alignment horizontal="center" vertical="center"/>
    </xf>
    <xf numFmtId="0" fontId="14" fillId="14" borderId="10" xfId="0" applyFont="1" applyFill="1" applyBorder="1" applyAlignment="1">
      <alignment horizontal="center" vertical="center" wrapText="1"/>
    </xf>
    <xf numFmtId="0" fontId="15" fillId="0" borderId="0" xfId="0" applyFont="1" applyAlignment="1">
      <alignment horizontal="center" vertical="center" wrapText="1"/>
    </xf>
    <xf numFmtId="0" fontId="15" fillId="0" borderId="11" xfId="0" applyFont="1" applyBorder="1" applyAlignment="1">
      <alignment horizontal="center" vertical="center" wrapText="1"/>
    </xf>
    <xf numFmtId="0" fontId="19" fillId="0" borderId="11" xfId="0" applyFont="1" applyBorder="1" applyAlignment="1">
      <alignment vertical="center"/>
    </xf>
    <xf numFmtId="0" fontId="19" fillId="0" borderId="0" xfId="0" applyFont="1" applyAlignment="1">
      <alignment vertical="center"/>
    </xf>
    <xf numFmtId="0" fontId="14" fillId="14" borderId="12" xfId="0" applyFont="1" applyFill="1" applyBorder="1" applyAlignment="1">
      <alignment horizontal="center" vertical="center" wrapText="1"/>
    </xf>
    <xf numFmtId="0" fontId="14" fillId="14" borderId="13" xfId="0" applyFont="1" applyFill="1" applyBorder="1" applyAlignment="1">
      <alignment horizontal="center" vertical="center" wrapText="1"/>
    </xf>
    <xf numFmtId="0" fontId="14" fillId="14" borderId="14" xfId="0" applyFont="1" applyFill="1" applyBorder="1" applyAlignment="1">
      <alignment horizontal="center" vertical="center" wrapText="1"/>
    </xf>
    <xf numFmtId="0" fontId="20" fillId="0" borderId="12" xfId="0" applyFont="1" applyBorder="1" applyAlignment="1">
      <alignment horizontal="center" vertical="center" wrapText="1"/>
    </xf>
    <xf numFmtId="0" fontId="15" fillId="0" borderId="14" xfId="0" applyFont="1" applyBorder="1" applyAlignment="1">
      <alignment horizontal="center" vertical="center" wrapText="1"/>
    </xf>
    <xf numFmtId="8" fontId="0" fillId="0" borderId="0" xfId="0" applyNumberFormat="1"/>
    <xf numFmtId="8" fontId="15" fillId="0" borderId="14" xfId="0" applyNumberFormat="1" applyFont="1" applyBorder="1" applyAlignment="1">
      <alignment horizontal="center" vertical="center" wrapText="1"/>
    </xf>
    <xf numFmtId="0" fontId="20" fillId="0" borderId="0" xfId="0" applyFont="1" applyAlignment="1">
      <alignment horizontal="center" vertical="center" wrapText="1"/>
    </xf>
    <xf numFmtId="8" fontId="20" fillId="0" borderId="12" xfId="0" applyNumberFormat="1" applyFont="1" applyBorder="1" applyAlignment="1">
      <alignment horizontal="center" vertical="center" wrapText="1"/>
    </xf>
    <xf numFmtId="8" fontId="20" fillId="0" borderId="14" xfId="0" applyNumberFormat="1" applyFont="1" applyBorder="1" applyAlignment="1">
      <alignment horizontal="center" vertical="center" wrapText="1"/>
    </xf>
    <xf numFmtId="0" fontId="20" fillId="0" borderId="14" xfId="0" applyFont="1" applyBorder="1" applyAlignment="1">
      <alignment horizontal="center" vertical="center" wrapText="1"/>
    </xf>
    <xf numFmtId="0" fontId="21" fillId="0" borderId="0" xfId="0" applyFont="1" applyAlignment="1">
      <alignment horizontal="justify" vertical="center"/>
    </xf>
    <xf numFmtId="169" fontId="9" fillId="0" borderId="0" xfId="2" applyNumberFormat="1" applyFont="1"/>
    <xf numFmtId="0" fontId="0" fillId="0" borderId="1" xfId="0" applyFill="1" applyBorder="1" applyAlignment="1">
      <alignment horizontal="left"/>
    </xf>
    <xf numFmtId="0" fontId="6" fillId="13" borderId="0" xfId="0" applyFont="1" applyFill="1"/>
    <xf numFmtId="4" fontId="11" fillId="11" borderId="0" xfId="0" applyNumberFormat="1" applyFont="1" applyFill="1" applyBorder="1" applyAlignment="1">
      <alignment horizontal="center" vertical="center"/>
    </xf>
    <xf numFmtId="164" fontId="11" fillId="11" borderId="0" xfId="0" applyNumberFormat="1" applyFont="1" applyFill="1" applyAlignment="1"/>
    <xf numFmtId="0" fontId="0" fillId="11" borderId="1" xfId="0" applyFill="1" applyBorder="1" applyAlignment="1">
      <alignment wrapText="1"/>
    </xf>
    <xf numFmtId="0" fontId="6" fillId="15" borderId="0" xfId="0" applyFont="1" applyFill="1" applyAlignment="1">
      <alignment horizontal="center" vertical="center" wrapText="1"/>
    </xf>
    <xf numFmtId="164" fontId="3" fillId="0" borderId="0" xfId="0" applyNumberFormat="1" applyFont="1" applyFill="1" applyAlignment="1">
      <alignment vertical="center"/>
    </xf>
    <xf numFmtId="14" fontId="0" fillId="0" borderId="0" xfId="0" applyNumberFormat="1" applyFont="1" applyFill="1"/>
    <xf numFmtId="0" fontId="0" fillId="0" borderId="0" xfId="0" applyFont="1"/>
    <xf numFmtId="164" fontId="1" fillId="0" borderId="0" xfId="0" applyNumberFormat="1" applyFont="1"/>
    <xf numFmtId="0" fontId="1" fillId="0" borderId="0" xfId="0" applyFont="1" applyFill="1"/>
    <xf numFmtId="14" fontId="16" fillId="18" borderId="7" xfId="0" applyNumberFormat="1" applyFont="1" applyFill="1" applyBorder="1" applyAlignment="1">
      <alignment horizontal="center"/>
    </xf>
    <xf numFmtId="2" fontId="0" fillId="0" borderId="2" xfId="0" applyNumberFormat="1" applyBorder="1"/>
    <xf numFmtId="0" fontId="6" fillId="14" borderId="2" xfId="0" applyFont="1" applyFill="1" applyBorder="1" applyAlignment="1">
      <alignment horizontal="center" vertical="center" wrapText="1"/>
    </xf>
    <xf numFmtId="2" fontId="1" fillId="0" borderId="2" xfId="0" applyNumberFormat="1" applyFont="1" applyBorder="1"/>
    <xf numFmtId="0" fontId="6" fillId="14" borderId="15" xfId="0" applyFont="1" applyFill="1" applyBorder="1" applyAlignment="1">
      <alignment horizontal="center" vertical="center"/>
    </xf>
    <xf numFmtId="0" fontId="6" fillId="14" borderId="15" xfId="0" applyFont="1" applyFill="1" applyBorder="1" applyAlignment="1">
      <alignment horizontal="center" vertical="center" wrapText="1"/>
    </xf>
    <xf numFmtId="2" fontId="1" fillId="11" borderId="2" xfId="0" applyNumberFormat="1" applyFont="1" applyFill="1" applyBorder="1" applyAlignment="1">
      <alignment horizontal="right"/>
    </xf>
    <xf numFmtId="44" fontId="3" fillId="18" borderId="0" xfId="1" applyFont="1" applyFill="1"/>
    <xf numFmtId="44" fontId="16" fillId="18" borderId="8" xfId="1" applyFont="1" applyFill="1" applyBorder="1" applyAlignment="1">
      <alignment horizontal="center" vertical="center"/>
    </xf>
    <xf numFmtId="167" fontId="16" fillId="19" borderId="0" xfId="0" applyNumberFormat="1" applyFont="1" applyFill="1" applyBorder="1" applyAlignment="1">
      <alignment horizontal="center" vertical="center"/>
    </xf>
    <xf numFmtId="4" fontId="16" fillId="19" borderId="0" xfId="0" applyNumberFormat="1" applyFont="1" applyFill="1" applyBorder="1" applyAlignment="1">
      <alignment horizontal="center" vertical="center"/>
    </xf>
    <xf numFmtId="164" fontId="16" fillId="19" borderId="0" xfId="0" applyNumberFormat="1" applyFont="1" applyFill="1" applyBorder="1" applyAlignment="1">
      <alignment horizontal="right" vertical="center"/>
    </xf>
    <xf numFmtId="167" fontId="11" fillId="11" borderId="0" xfId="0" applyNumberFormat="1" applyFont="1" applyFill="1" applyBorder="1" applyAlignment="1">
      <alignment horizontal="center" vertical="center"/>
    </xf>
    <xf numFmtId="2" fontId="1" fillId="0" borderId="2" xfId="0" applyNumberFormat="1" applyFont="1" applyBorder="1" applyAlignment="1">
      <alignment horizontal="center"/>
    </xf>
    <xf numFmtId="44" fontId="1" fillId="0" borderId="0" xfId="0" applyNumberFormat="1" applyFont="1"/>
    <xf numFmtId="0" fontId="0" fillId="0" borderId="0" xfId="0" applyAlignment="1">
      <alignment horizontal="center"/>
    </xf>
    <xf numFmtId="14" fontId="0" fillId="18" borderId="2" xfId="0" applyNumberFormat="1" applyFill="1" applyBorder="1" applyAlignment="1">
      <alignment horizontal="center"/>
    </xf>
    <xf numFmtId="44" fontId="9" fillId="0" borderId="0" xfId="0" applyNumberFormat="1" applyFont="1"/>
    <xf numFmtId="2" fontId="1" fillId="0" borderId="0" xfId="0" applyNumberFormat="1" applyFont="1"/>
    <xf numFmtId="0" fontId="0" fillId="18" borderId="2" xfId="0" applyFill="1" applyBorder="1"/>
    <xf numFmtId="0" fontId="23" fillId="0" borderId="0" xfId="0" applyFont="1"/>
    <xf numFmtId="0" fontId="0" fillId="0" borderId="0" xfId="0" applyFont="1" applyAlignment="1" applyProtection="1">
      <alignment horizontal="left" vertical="center"/>
      <protection locked="0"/>
    </xf>
    <xf numFmtId="14" fontId="16" fillId="0" borderId="0" xfId="0" applyNumberFormat="1" applyFont="1" applyFill="1" applyBorder="1" applyAlignment="1">
      <alignment horizontal="center"/>
    </xf>
    <xf numFmtId="14" fontId="16" fillId="18" borderId="0" xfId="0" applyNumberFormat="1" applyFont="1" applyFill="1" applyBorder="1" applyAlignment="1">
      <alignment horizontal="center"/>
    </xf>
    <xf numFmtId="44" fontId="11" fillId="11" borderId="0" xfId="1" applyFont="1" applyFill="1" applyBorder="1" applyAlignment="1">
      <alignment horizontal="center" vertical="center"/>
    </xf>
    <xf numFmtId="164" fontId="11" fillId="11" borderId="0" xfId="1" applyNumberFormat="1" applyFont="1" applyFill="1" applyBorder="1" applyAlignment="1">
      <alignment horizontal="center" vertical="center"/>
    </xf>
    <xf numFmtId="164" fontId="3" fillId="18" borderId="0" xfId="1" applyNumberFormat="1" applyFont="1" applyFill="1"/>
    <xf numFmtId="0" fontId="26" fillId="0" borderId="0" xfId="0" applyFont="1" applyFill="1" applyAlignment="1">
      <alignment horizontal="left"/>
    </xf>
    <xf numFmtId="0" fontId="27" fillId="0" borderId="0" xfId="0" applyFont="1"/>
    <xf numFmtId="0" fontId="27" fillId="0" borderId="0" xfId="0" applyFont="1" applyBorder="1"/>
    <xf numFmtId="0" fontId="26" fillId="21" borderId="2" xfId="0" applyFont="1" applyFill="1" applyBorder="1" applyAlignment="1">
      <alignment vertical="center" wrapText="1"/>
    </xf>
    <xf numFmtId="0" fontId="28" fillId="14" borderId="4" xfId="0" applyFont="1" applyFill="1" applyBorder="1" applyAlignment="1">
      <alignment horizontal="center" vertical="center" wrapText="1"/>
    </xf>
    <xf numFmtId="0" fontId="28" fillId="14" borderId="2" xfId="0" applyFont="1" applyFill="1" applyBorder="1" applyAlignment="1">
      <alignment horizontal="center" vertical="center" wrapText="1"/>
    </xf>
    <xf numFmtId="0" fontId="27" fillId="0" borderId="0" xfId="0" applyFont="1" applyAlignment="1">
      <alignment wrapText="1"/>
    </xf>
    <xf numFmtId="0" fontId="26" fillId="0" borderId="2" xfId="0" applyFont="1" applyFill="1" applyBorder="1" applyAlignment="1">
      <alignment vertical="center" wrapText="1"/>
    </xf>
    <xf numFmtId="44" fontId="27" fillId="0" borderId="2" xfId="0" applyNumberFormat="1" applyFont="1" applyFill="1" applyBorder="1" applyAlignment="1">
      <alignment horizontal="center" vertical="center"/>
    </xf>
    <xf numFmtId="0" fontId="26" fillId="0" borderId="2" xfId="0" applyFont="1" applyFill="1" applyBorder="1" applyAlignment="1">
      <alignment horizontal="left" vertical="center" wrapText="1"/>
    </xf>
    <xf numFmtId="44" fontId="27" fillId="11" borderId="2" xfId="0" applyNumberFormat="1" applyFont="1" applyFill="1" applyBorder="1" applyAlignment="1">
      <alignment horizontal="center" vertical="center"/>
    </xf>
    <xf numFmtId="44" fontId="27" fillId="0" borderId="0" xfId="0" applyNumberFormat="1" applyFont="1"/>
    <xf numFmtId="0" fontId="26" fillId="0" borderId="0" xfId="0" applyFont="1"/>
    <xf numFmtId="0" fontId="29" fillId="14" borderId="2" xfId="0" applyFont="1" applyFill="1" applyBorder="1" applyAlignment="1">
      <alignment horizontal="center" vertical="center" wrapText="1"/>
    </xf>
    <xf numFmtId="0" fontId="30" fillId="0" borderId="2" xfId="0" applyFont="1" applyBorder="1" applyAlignment="1">
      <alignment horizontal="center" vertical="center" wrapText="1"/>
    </xf>
    <xf numFmtId="44" fontId="31" fillId="0" borderId="2" xfId="0" applyNumberFormat="1" applyFont="1" applyBorder="1" applyAlignment="1">
      <alignment horizontal="center" vertical="center" wrapText="1"/>
    </xf>
    <xf numFmtId="44" fontId="30" fillId="0" borderId="2" xfId="0" applyNumberFormat="1" applyFont="1" applyBorder="1" applyAlignment="1">
      <alignment horizontal="center" vertical="center" wrapText="1"/>
    </xf>
    <xf numFmtId="0" fontId="27" fillId="0" borderId="0" xfId="0" applyFont="1" applyAlignment="1">
      <alignment horizontal="center" vertical="center" wrapText="1"/>
    </xf>
    <xf numFmtId="10" fontId="27" fillId="0" borderId="0" xfId="0" applyNumberFormat="1" applyFont="1"/>
    <xf numFmtId="164" fontId="27" fillId="0" borderId="0" xfId="0" applyNumberFormat="1" applyFont="1"/>
    <xf numFmtId="0" fontId="14" fillId="22" borderId="10" xfId="0" applyFont="1" applyFill="1" applyBorder="1" applyAlignment="1">
      <alignment horizontal="center" vertical="center" wrapText="1"/>
    </xf>
    <xf numFmtId="0" fontId="14" fillId="22" borderId="13" xfId="0" applyFont="1" applyFill="1" applyBorder="1" applyAlignment="1">
      <alignment horizontal="center" vertical="center" wrapText="1"/>
    </xf>
    <xf numFmtId="0" fontId="15" fillId="0" borderId="12" xfId="0" applyFont="1" applyBorder="1" applyAlignment="1">
      <alignment horizontal="center" vertical="center"/>
    </xf>
    <xf numFmtId="0" fontId="15" fillId="0" borderId="14" xfId="0" applyFont="1" applyBorder="1" applyAlignment="1">
      <alignment horizontal="center" vertical="center"/>
    </xf>
    <xf numFmtId="44" fontId="15" fillId="0" borderId="14" xfId="0" applyNumberFormat="1" applyFont="1" applyBorder="1" applyAlignment="1">
      <alignment horizontal="right" vertical="center"/>
    </xf>
    <xf numFmtId="44" fontId="15" fillId="0" borderId="12" xfId="0" applyNumberFormat="1" applyFont="1" applyBorder="1" applyAlignment="1">
      <alignment horizontal="right" vertical="center" wrapText="1"/>
    </xf>
    <xf numFmtId="44" fontId="15" fillId="0" borderId="2" xfId="0" applyNumberFormat="1" applyFont="1" applyBorder="1" applyAlignment="1">
      <alignment horizontal="right" vertical="center" wrapText="1"/>
    </xf>
    <xf numFmtId="8" fontId="15" fillId="0" borderId="0" xfId="0" applyNumberFormat="1" applyFont="1" applyBorder="1" applyAlignment="1">
      <alignment horizontal="right" vertical="center" wrapText="1"/>
    </xf>
    <xf numFmtId="164" fontId="26" fillId="11" borderId="2" xfId="0" applyNumberFormat="1" applyFont="1" applyFill="1" applyBorder="1" applyAlignment="1">
      <alignment horizontal="center" vertical="center"/>
    </xf>
    <xf numFmtId="44" fontId="15" fillId="0" borderId="0" xfId="1" applyFont="1" applyBorder="1" applyAlignment="1">
      <alignment horizontal="right" vertical="center" wrapText="1"/>
    </xf>
    <xf numFmtId="44" fontId="32" fillId="0" borderId="0" xfId="0" applyNumberFormat="1" applyFont="1" applyBorder="1" applyAlignment="1">
      <alignment horizontal="right" vertical="center" wrapText="1"/>
    </xf>
    <xf numFmtId="44" fontId="15" fillId="0" borderId="0" xfId="0" applyNumberFormat="1" applyFont="1" applyBorder="1" applyAlignment="1">
      <alignment horizontal="right" vertical="center" wrapText="1"/>
    </xf>
    <xf numFmtId="44" fontId="33" fillId="0" borderId="0" xfId="0" applyNumberFormat="1" applyFont="1"/>
    <xf numFmtId="44" fontId="31" fillId="0" borderId="0" xfId="0" applyNumberFormat="1" applyFont="1" applyBorder="1" applyAlignment="1">
      <alignment horizontal="center" vertical="center" wrapText="1"/>
    </xf>
    <xf numFmtId="0" fontId="14" fillId="14" borderId="2" xfId="0" applyFont="1" applyFill="1" applyBorder="1" applyAlignment="1">
      <alignment horizontal="center" vertical="center" wrapText="1"/>
    </xf>
    <xf numFmtId="0" fontId="15" fillId="0" borderId="2" xfId="0" applyFont="1" applyFill="1" applyBorder="1" applyAlignment="1">
      <alignment horizontal="left" vertical="center" wrapText="1"/>
    </xf>
    <xf numFmtId="164" fontId="34" fillId="0" borderId="2" xfId="0" applyNumberFormat="1" applyFont="1" applyBorder="1" applyAlignment="1">
      <alignment horizontal="right" vertical="center" wrapText="1"/>
    </xf>
    <xf numFmtId="10" fontId="34" fillId="0" borderId="2" xfId="0" applyNumberFormat="1" applyFont="1" applyFill="1" applyBorder="1" applyAlignment="1">
      <alignment horizontal="center" vertical="center" wrapText="1"/>
    </xf>
    <xf numFmtId="8" fontId="34" fillId="0" borderId="2" xfId="0" applyNumberFormat="1" applyFont="1" applyBorder="1" applyAlignment="1">
      <alignment horizontal="right" vertical="center"/>
    </xf>
    <xf numFmtId="0" fontId="15" fillId="11" borderId="2" xfId="0" applyFont="1" applyFill="1" applyBorder="1" applyAlignment="1">
      <alignment horizontal="left" vertical="center"/>
    </xf>
    <xf numFmtId="164" fontId="35" fillId="11" borderId="2" xfId="0" applyNumberFormat="1" applyFont="1" applyFill="1" applyBorder="1" applyAlignment="1">
      <alignment horizontal="right" vertical="center" wrapText="1"/>
    </xf>
    <xf numFmtId="10" fontId="35" fillId="11" borderId="2" xfId="0" applyNumberFormat="1" applyFont="1" applyFill="1" applyBorder="1" applyAlignment="1">
      <alignment horizontal="center" vertical="center" wrapText="1"/>
    </xf>
    <xf numFmtId="8" fontId="35" fillId="11" borderId="2" xfId="0" applyNumberFormat="1" applyFont="1" applyFill="1" applyBorder="1" applyAlignment="1">
      <alignment horizontal="right" vertical="center"/>
    </xf>
    <xf numFmtId="8" fontId="34" fillId="4" borderId="2" xfId="0" applyNumberFormat="1" applyFont="1" applyFill="1" applyBorder="1" applyAlignment="1">
      <alignment horizontal="right" vertical="center"/>
    </xf>
    <xf numFmtId="0" fontId="27" fillId="4" borderId="2" xfId="0" applyFont="1" applyFill="1" applyBorder="1" applyAlignment="1">
      <alignment horizontal="right"/>
    </xf>
    <xf numFmtId="0" fontId="36" fillId="14" borderId="3" xfId="0" applyFont="1" applyFill="1" applyBorder="1" applyAlignment="1">
      <alignment horizontal="center" vertical="center"/>
    </xf>
    <xf numFmtId="0" fontId="36" fillId="14" borderId="3" xfId="0" applyFont="1" applyFill="1" applyBorder="1" applyAlignment="1">
      <alignment horizontal="center" vertical="center" wrapText="1"/>
    </xf>
    <xf numFmtId="44" fontId="34" fillId="0" borderId="2" xfId="0" applyNumberFormat="1" applyFont="1" applyBorder="1" applyAlignment="1">
      <alignment horizontal="right" vertical="center"/>
    </xf>
    <xf numFmtId="44" fontId="34" fillId="0" borderId="2" xfId="0" applyNumberFormat="1" applyFont="1" applyFill="1" applyBorder="1" applyAlignment="1">
      <alignment horizontal="right" vertical="center"/>
    </xf>
    <xf numFmtId="165" fontId="27" fillId="0" borderId="0" xfId="0" applyNumberFormat="1" applyFont="1"/>
    <xf numFmtId="0" fontId="37" fillId="11" borderId="2" xfId="0" applyFont="1" applyFill="1" applyBorder="1" applyAlignment="1">
      <alignment horizontal="center" vertical="center"/>
    </xf>
    <xf numFmtId="44" fontId="35" fillId="11" borderId="2" xfId="0" applyNumberFormat="1" applyFont="1" applyFill="1" applyBorder="1" applyAlignment="1">
      <alignment horizontal="right" vertical="center"/>
    </xf>
    <xf numFmtId="44" fontId="38" fillId="11" borderId="2" xfId="0" applyNumberFormat="1" applyFont="1" applyFill="1" applyBorder="1" applyAlignment="1">
      <alignment horizontal="right" vertical="center"/>
    </xf>
    <xf numFmtId="8" fontId="27" fillId="0" borderId="0" xfId="0" applyNumberFormat="1" applyFont="1"/>
    <xf numFmtId="0" fontId="39" fillId="0" borderId="0" xfId="0" applyFont="1" applyAlignment="1">
      <alignment wrapText="1"/>
    </xf>
    <xf numFmtId="0" fontId="40" fillId="0" borderId="2" xfId="0" applyFont="1" applyBorder="1" applyAlignment="1">
      <alignment horizontal="center" wrapText="1"/>
    </xf>
    <xf numFmtId="8" fontId="27" fillId="16" borderId="0" xfId="0" applyNumberFormat="1" applyFont="1" applyFill="1"/>
    <xf numFmtId="0" fontId="27" fillId="16" borderId="0" xfId="0" applyFont="1" applyFill="1" applyAlignment="1">
      <alignment horizontal="center"/>
    </xf>
    <xf numFmtId="0" fontId="42" fillId="0" borderId="0" xfId="0" applyFont="1"/>
    <xf numFmtId="0" fontId="27" fillId="0" borderId="0" xfId="0" quotePrefix="1" applyFont="1" applyAlignment="1">
      <alignment horizontal="center"/>
    </xf>
    <xf numFmtId="0" fontId="27" fillId="0" borderId="0" xfId="0" quotePrefix="1" applyFont="1"/>
    <xf numFmtId="4" fontId="27" fillId="0" borderId="0" xfId="0" applyNumberFormat="1" applyFont="1"/>
    <xf numFmtId="44" fontId="27" fillId="0" borderId="0" xfId="1" applyFont="1"/>
    <xf numFmtId="9" fontId="27" fillId="0" borderId="0" xfId="2" applyFont="1"/>
    <xf numFmtId="0" fontId="1" fillId="11" borderId="2" xfId="0" applyFont="1" applyFill="1" applyBorder="1" applyAlignment="1">
      <alignment horizontal="left"/>
    </xf>
    <xf numFmtId="4" fontId="0" fillId="16" borderId="2" xfId="0" applyNumberFormat="1" applyFill="1" applyBorder="1"/>
    <xf numFmtId="0" fontId="0" fillId="16" borderId="2" xfId="0" applyFill="1" applyBorder="1"/>
    <xf numFmtId="2" fontId="1" fillId="0" borderId="0" xfId="0" applyNumberFormat="1" applyFont="1" applyFill="1"/>
    <xf numFmtId="0" fontId="0" fillId="0" borderId="2" xfId="0" applyFont="1" applyBorder="1"/>
    <xf numFmtId="0" fontId="0" fillId="0" borderId="2" xfId="0" applyFill="1" applyBorder="1"/>
    <xf numFmtId="0" fontId="0" fillId="0" borderId="0" xfId="0" applyFill="1"/>
    <xf numFmtId="0" fontId="0" fillId="0" borderId="0" xfId="0" applyAlignment="1">
      <alignment horizontal="left" vertical="center"/>
    </xf>
    <xf numFmtId="2" fontId="0" fillId="0" borderId="0" xfId="0" applyNumberFormat="1" applyFont="1" applyAlignment="1">
      <alignment horizontal="center" vertical="center"/>
    </xf>
    <xf numFmtId="164" fontId="26" fillId="11" borderId="2" xfId="0" applyNumberFormat="1" applyFont="1" applyFill="1" applyBorder="1" applyAlignment="1">
      <alignment horizontal="right" vertical="center"/>
    </xf>
    <xf numFmtId="0" fontId="23" fillId="0" borderId="0" xfId="0" applyFont="1" applyFill="1"/>
    <xf numFmtId="44" fontId="23" fillId="0" borderId="0" xfId="1" applyFont="1" applyFill="1"/>
    <xf numFmtId="2" fontId="23" fillId="0" borderId="0" xfId="1" applyNumberFormat="1" applyFont="1" applyFill="1"/>
    <xf numFmtId="0" fontId="0" fillId="20" borderId="2" xfId="0" applyFill="1" applyBorder="1"/>
    <xf numFmtId="2" fontId="0" fillId="0" borderId="2" xfId="0" applyNumberFormat="1" applyFont="1" applyBorder="1"/>
    <xf numFmtId="0" fontId="46" fillId="24" borderId="24" xfId="0" applyFont="1" applyFill="1" applyBorder="1" applyAlignment="1">
      <alignment horizontal="center" vertical="center" wrapText="1"/>
    </xf>
    <xf numFmtId="0" fontId="46" fillId="24" borderId="25" xfId="0" applyFont="1" applyFill="1" applyBorder="1" applyAlignment="1">
      <alignment horizontal="center" vertical="center" wrapText="1"/>
    </xf>
    <xf numFmtId="0" fontId="46" fillId="0" borderId="26" xfId="0" applyFont="1" applyBorder="1" applyAlignment="1">
      <alignment horizontal="center" vertical="center" wrapText="1"/>
    </xf>
    <xf numFmtId="0" fontId="46" fillId="0" borderId="23" xfId="0" applyFont="1" applyBorder="1" applyAlignment="1">
      <alignment horizontal="center" vertical="center" wrapText="1"/>
    </xf>
    <xf numFmtId="0" fontId="46" fillId="0" borderId="27" xfId="0" applyFont="1" applyBorder="1" applyAlignment="1">
      <alignment horizontal="center" vertical="center" wrapText="1"/>
    </xf>
    <xf numFmtId="0" fontId="46" fillId="0" borderId="28" xfId="0" applyFont="1" applyBorder="1" applyAlignment="1">
      <alignment horizontal="center" vertical="center" wrapText="1"/>
    </xf>
    <xf numFmtId="0" fontId="46" fillId="0" borderId="29" xfId="0" applyFont="1" applyBorder="1" applyAlignment="1">
      <alignment horizontal="center" vertical="center" wrapText="1"/>
    </xf>
    <xf numFmtId="0" fontId="46" fillId="0" borderId="2" xfId="0" applyFont="1" applyBorder="1" applyAlignment="1">
      <alignment horizontal="center" vertical="center" wrapText="1"/>
    </xf>
    <xf numFmtId="0" fontId="46" fillId="0" borderId="24" xfId="0" applyFont="1" applyFill="1" applyBorder="1" applyAlignment="1">
      <alignment horizontal="center" vertical="center" wrapText="1"/>
    </xf>
    <xf numFmtId="0" fontId="46" fillId="0" borderId="25" xfId="0" applyFont="1" applyFill="1" applyBorder="1" applyAlignment="1">
      <alignment horizontal="center" vertical="center" wrapText="1"/>
    </xf>
    <xf numFmtId="0" fontId="46" fillId="0" borderId="29" xfId="0" applyFont="1" applyFill="1" applyBorder="1" applyAlignment="1">
      <alignment horizontal="center" vertical="center" wrapText="1"/>
    </xf>
    <xf numFmtId="0" fontId="46" fillId="0" borderId="2" xfId="0" applyFont="1" applyFill="1" applyBorder="1" applyAlignment="1">
      <alignment horizontal="center" vertical="center" wrapText="1"/>
    </xf>
    <xf numFmtId="0" fontId="0" fillId="0" borderId="0" xfId="0" applyProtection="1">
      <protection locked="0"/>
    </xf>
    <xf numFmtId="0" fontId="44" fillId="23" borderId="19" xfId="0" applyFont="1" applyFill="1" applyBorder="1" applyAlignment="1" applyProtection="1">
      <alignment horizontal="center"/>
      <protection locked="0"/>
    </xf>
    <xf numFmtId="171" fontId="45" fillId="23" borderId="19" xfId="0" applyNumberFormat="1" applyFont="1" applyFill="1" applyBorder="1" applyAlignment="1" applyProtection="1">
      <alignment horizontal="center"/>
      <protection locked="0"/>
    </xf>
    <xf numFmtId="0" fontId="47" fillId="25" borderId="19" xfId="0" applyFont="1" applyFill="1" applyBorder="1" applyAlignment="1" applyProtection="1">
      <alignment horizontal="left" vertical="top"/>
      <protection locked="0"/>
    </xf>
    <xf numFmtId="0" fontId="43" fillId="25" borderId="19" xfId="0" applyFont="1" applyFill="1" applyBorder="1" applyAlignment="1" applyProtection="1">
      <alignment vertical="top"/>
      <protection locked="0"/>
    </xf>
    <xf numFmtId="0" fontId="48" fillId="0" borderId="19" xfId="0" applyFont="1" applyBorder="1" applyAlignment="1" applyProtection="1">
      <alignment vertical="top"/>
      <protection locked="0"/>
    </xf>
    <xf numFmtId="164" fontId="48" fillId="0" borderId="20" xfId="0" applyNumberFormat="1" applyFont="1" applyBorder="1" applyAlignment="1" applyProtection="1">
      <alignment horizontal="right" vertical="top"/>
      <protection locked="0"/>
    </xf>
    <xf numFmtId="0" fontId="48" fillId="0" borderId="19" xfId="0" applyFont="1" applyBorder="1" applyAlignment="1" applyProtection="1">
      <alignment horizontal="right" vertical="top"/>
      <protection locked="0"/>
    </xf>
    <xf numFmtId="164" fontId="49" fillId="0" borderId="20" xfId="0" applyNumberFormat="1" applyFont="1" applyBorder="1" applyAlignment="1" applyProtection="1">
      <alignment horizontal="right" vertical="top"/>
      <protection locked="0"/>
    </xf>
    <xf numFmtId="0" fontId="43" fillId="0" borderId="21" xfId="0" applyFont="1" applyBorder="1" applyAlignment="1" applyProtection="1">
      <alignment vertical="top"/>
      <protection locked="0"/>
    </xf>
    <xf numFmtId="164" fontId="43" fillId="0" borderId="21" xfId="0" applyNumberFormat="1" applyFont="1" applyBorder="1" applyAlignment="1" applyProtection="1">
      <alignment vertical="top"/>
      <protection locked="0"/>
    </xf>
    <xf numFmtId="0" fontId="49" fillId="25" borderId="19" xfId="0" applyFont="1" applyFill="1" applyBorder="1" applyAlignment="1" applyProtection="1">
      <alignment vertical="top"/>
      <protection locked="0"/>
    </xf>
    <xf numFmtId="164" fontId="43" fillId="25" borderId="20" xfId="0" applyNumberFormat="1" applyFont="1" applyFill="1" applyBorder="1" applyAlignment="1" applyProtection="1">
      <alignment vertical="top"/>
      <protection locked="0"/>
    </xf>
    <xf numFmtId="0" fontId="48" fillId="0" borderId="19" xfId="0" applyFont="1" applyBorder="1" applyAlignment="1" applyProtection="1">
      <alignment horizontal="left" vertical="top"/>
      <protection locked="0"/>
    </xf>
    <xf numFmtId="164" fontId="49" fillId="0" borderId="22" xfId="0" applyNumberFormat="1" applyFont="1" applyBorder="1" applyAlignment="1" applyProtection="1">
      <alignment horizontal="right" vertical="top"/>
      <protection locked="0"/>
    </xf>
    <xf numFmtId="0" fontId="49" fillId="25" borderId="19" xfId="0" applyFont="1" applyFill="1" applyBorder="1" applyAlignment="1" applyProtection="1">
      <alignment horizontal="right" vertical="top"/>
      <protection locked="0"/>
    </xf>
    <xf numFmtId="164" fontId="49" fillId="25" borderId="22" xfId="0" applyNumberFormat="1" applyFont="1" applyFill="1" applyBorder="1" applyAlignment="1" applyProtection="1">
      <alignment horizontal="right" vertical="top"/>
      <protection locked="0"/>
    </xf>
    <xf numFmtId="0" fontId="0" fillId="19" borderId="2" xfId="0" applyFill="1" applyBorder="1"/>
    <xf numFmtId="164" fontId="1" fillId="0" borderId="0" xfId="0" applyNumberFormat="1" applyFont="1" applyFill="1" applyAlignment="1">
      <alignment vertical="center"/>
    </xf>
    <xf numFmtId="164" fontId="0" fillId="0" borderId="0" xfId="0" applyNumberFormat="1" applyFont="1"/>
    <xf numFmtId="14" fontId="0" fillId="0" borderId="0" xfId="0" applyNumberFormat="1" applyFill="1" applyAlignment="1">
      <alignment wrapText="1"/>
    </xf>
    <xf numFmtId="0" fontId="1" fillId="0" borderId="0" xfId="0" applyFont="1" applyFill="1" applyAlignment="1">
      <alignment horizontal="center" vertical="center" wrapText="1"/>
    </xf>
    <xf numFmtId="0" fontId="25" fillId="0" borderId="0" xfId="0" applyFont="1" applyFill="1" applyAlignment="1">
      <alignment horizontal="center" vertical="center" wrapText="1"/>
    </xf>
    <xf numFmtId="170" fontId="0" fillId="0" borderId="0" xfId="0" applyNumberFormat="1" applyFont="1" applyFill="1"/>
    <xf numFmtId="2" fontId="0" fillId="0" borderId="0" xfId="0" applyNumberFormat="1" applyFont="1" applyFill="1"/>
    <xf numFmtId="170" fontId="23" fillId="0" borderId="0" xfId="0" applyNumberFormat="1" applyFont="1" applyFill="1"/>
    <xf numFmtId="2" fontId="23" fillId="0" borderId="0" xfId="0" applyNumberFormat="1" applyFont="1" applyFill="1" applyAlignment="1"/>
    <xf numFmtId="1" fontId="23" fillId="0" borderId="0" xfId="0" applyNumberFormat="1" applyFont="1" applyFill="1"/>
    <xf numFmtId="2" fontId="11" fillId="0" borderId="0" xfId="0" applyNumberFormat="1" applyFont="1" applyFill="1" applyAlignment="1"/>
    <xf numFmtId="2" fontId="25" fillId="0" borderId="0" xfId="0" applyNumberFormat="1" applyFont="1" applyFill="1" applyAlignment="1"/>
    <xf numFmtId="14" fontId="0" fillId="0" borderId="0" xfId="0" applyNumberFormat="1" applyFill="1" applyAlignment="1">
      <alignment horizontal="center"/>
    </xf>
    <xf numFmtId="0" fontId="13" fillId="3" borderId="2" xfId="0" applyFont="1" applyFill="1" applyBorder="1" applyAlignment="1">
      <alignment vertical="center"/>
    </xf>
    <xf numFmtId="10" fontId="0" fillId="3" borderId="2" xfId="0" applyNumberFormat="1" applyFill="1" applyBorder="1"/>
    <xf numFmtId="2" fontId="0" fillId="3" borderId="2" xfId="0" applyNumberFormat="1" applyFill="1" applyBorder="1"/>
    <xf numFmtId="164" fontId="48" fillId="16" borderId="20" xfId="0" applyNumberFormat="1" applyFont="1" applyFill="1" applyBorder="1" applyAlignment="1" applyProtection="1">
      <alignment horizontal="right" vertical="top"/>
      <protection locked="0"/>
    </xf>
    <xf numFmtId="0" fontId="13" fillId="0" borderId="2" xfId="0" applyFont="1" applyBorder="1" applyAlignment="1">
      <alignment horizontal="left" vertical="center"/>
    </xf>
    <xf numFmtId="0" fontId="7" fillId="17" borderId="2" xfId="0" applyFont="1" applyFill="1" applyBorder="1" applyAlignment="1">
      <alignment horizontal="center" vertical="center" wrapText="1"/>
    </xf>
    <xf numFmtId="0" fontId="1" fillId="11" borderId="2" xfId="0" applyFont="1" applyFill="1" applyBorder="1" applyAlignment="1">
      <alignment horizontal="left"/>
    </xf>
    <xf numFmtId="0" fontId="7" fillId="17" borderId="2" xfId="0" applyFont="1" applyFill="1" applyBorder="1" applyAlignment="1">
      <alignment horizontal="center" vertical="center"/>
    </xf>
    <xf numFmtId="0" fontId="28" fillId="14" borderId="3" xfId="0" applyFont="1" applyFill="1" applyBorder="1" applyAlignment="1">
      <alignment horizontal="center" vertical="center"/>
    </xf>
    <xf numFmtId="0" fontId="28" fillId="14" borderId="5" xfId="0" applyFont="1" applyFill="1" applyBorder="1" applyAlignment="1">
      <alignment horizontal="center" vertical="center"/>
    </xf>
    <xf numFmtId="0" fontId="28" fillId="14" borderId="6" xfId="0" applyFont="1" applyFill="1" applyBorder="1" applyAlignment="1">
      <alignment horizontal="center" vertical="center"/>
    </xf>
    <xf numFmtId="0" fontId="27" fillId="0" borderId="16" xfId="0" applyFont="1" applyBorder="1" applyAlignment="1">
      <alignment horizontal="center" vertical="center" wrapText="1"/>
    </xf>
    <xf numFmtId="0" fontId="27" fillId="0" borderId="0" xfId="0" applyFont="1" applyAlignment="1">
      <alignment horizontal="center" vertical="center" wrapText="1"/>
    </xf>
    <xf numFmtId="0" fontId="22" fillId="14" borderId="17" xfId="0" applyFont="1" applyFill="1" applyBorder="1" applyAlignment="1">
      <alignment horizontal="center" vertical="center" wrapText="1"/>
    </xf>
    <xf numFmtId="0" fontId="22" fillId="14" borderId="18" xfId="0" applyFont="1" applyFill="1" applyBorder="1" applyAlignment="1">
      <alignment horizontal="center" vertical="center" wrapText="1"/>
    </xf>
    <xf numFmtId="0" fontId="41" fillId="14" borderId="3" xfId="0" applyFont="1" applyFill="1" applyBorder="1" applyAlignment="1">
      <alignment horizontal="center" vertical="center" wrapText="1"/>
    </xf>
    <xf numFmtId="0" fontId="41" fillId="14" borderId="6" xfId="0" applyFont="1" applyFill="1" applyBorder="1" applyAlignment="1">
      <alignment horizontal="center" vertical="center" wrapText="1"/>
    </xf>
    <xf numFmtId="0" fontId="44" fillId="0" borderId="30" xfId="0" applyFont="1" applyBorder="1" applyAlignment="1" applyProtection="1">
      <alignment horizontal="center"/>
      <protection locked="0"/>
    </xf>
    <xf numFmtId="0" fontId="44" fillId="0" borderId="22" xfId="0" applyFont="1" applyBorder="1" applyAlignment="1" applyProtection="1">
      <alignment horizontal="center"/>
      <protection locked="0"/>
    </xf>
    <xf numFmtId="0" fontId="1" fillId="0" borderId="2" xfId="0" applyFont="1" applyBorder="1" applyAlignment="1">
      <alignment horizontal="center"/>
    </xf>
  </cellXfs>
  <cellStyles count="11">
    <cellStyle name="Coma 2" xfId="5"/>
    <cellStyle name="Millares 2" xfId="7"/>
    <cellStyle name="Moneda" xfId="1" builtinId="4"/>
    <cellStyle name="Moneda 2" xfId="6"/>
    <cellStyle name="Moneda 2 2" xfId="10"/>
    <cellStyle name="Normal" xfId="0" builtinId="0"/>
    <cellStyle name="Normal 2" xfId="4"/>
    <cellStyle name="Normal 3" xfId="3"/>
    <cellStyle name="Normal 4" xfId="8"/>
    <cellStyle name="Normal 5" xfId="9"/>
    <cellStyle name="Percentatge" xfId="2" builtinId="5"/>
  </cellStyles>
  <dxfs count="0"/>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activeX1.xml><?xml version="1.0" encoding="utf-8"?>
<ax:ocx xmlns:ax="http://schemas.microsoft.com/office/2006/activeX" xmlns:r="http://schemas.openxmlformats.org/officeDocument/2006/relationships" ax:classid="{5512D11C-5CC6-11CF-8D67-00AA00BDCE1D}" ax:persistence="persistStream" r:id="rId1"/>
</file>

<file path=xl/activeX/activeX2.xml><?xml version="1.0" encoding="utf-8"?>
<ax:ocx xmlns:ax="http://schemas.microsoft.com/office/2006/activeX" xmlns:r="http://schemas.openxmlformats.org/officeDocument/2006/relationships" ax:classid="{5512D11C-5CC6-11CF-8D67-00AA00BDCE1D}" ax:persistence="persistStream" r:id="rId1"/>
</file>

<file path=xl/activeX/activeX3.xml><?xml version="1.0" encoding="utf-8"?>
<ax:ocx xmlns:ax="http://schemas.microsoft.com/office/2006/activeX" xmlns:r="http://schemas.openxmlformats.org/officeDocument/2006/relationships" ax:classid="{5512D11C-5CC6-11CF-8D67-00AA00BDCE1D}" ax:persistence="persistStream" r:id="rId1"/>
</file>

<file path=xl/activeX/activeX4.xml><?xml version="1.0" encoding="utf-8"?>
<ax:ocx xmlns:ax="http://schemas.microsoft.com/office/2006/activeX" xmlns:r="http://schemas.openxmlformats.org/officeDocument/2006/relationships" ax:classid="{5512D11C-5CC6-11CF-8D67-00AA00BDCE1D}" ax:persistence="persistStream" r:id="rId1"/>
</file>

<file path=xl/activeX/activeX5.xml><?xml version="1.0" encoding="utf-8"?>
<ax:ocx xmlns:ax="http://schemas.microsoft.com/office/2006/activeX" xmlns:r="http://schemas.openxmlformats.org/officeDocument/2006/relationships" ax:classid="{5512D11C-5CC6-11CF-8D67-00AA00BDCE1D}" ax:persistence="persistStream" r:id="rId1"/>
</file>

<file path=xl/drawings/_rels/vmlDrawing1.v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4.emf"/><Relationship Id="rId1" Type="http://schemas.openxmlformats.org/officeDocument/2006/relationships/image" Target="../media/image5.emf"/><Relationship Id="rId5" Type="http://schemas.openxmlformats.org/officeDocument/2006/relationships/image" Target="../media/image1.emf"/><Relationship Id="rId4"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165100</xdr:colOff>
          <xdr:row>49</xdr:row>
          <xdr:rowOff>55995</xdr:rowOff>
        </xdr:from>
        <xdr:to>
          <xdr:col>0</xdr:col>
          <xdr:colOff>666750</xdr:colOff>
          <xdr:row>49</xdr:row>
          <xdr:rowOff>182995</xdr:rowOff>
        </xdr:to>
        <xdr:sp macro="" textlink="">
          <xdr:nvSpPr>
            <xdr:cNvPr id="1030" name="Control 6" hidden="1">
              <a:extLst>
                <a:ext uri="{63B3BB69-23CF-44E3-9099-C40C66FF867C}">
                  <a14:compatExt spid="_x0000_s10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165100</xdr:colOff>
          <xdr:row>49</xdr:row>
          <xdr:rowOff>55995</xdr:rowOff>
        </xdr:from>
        <xdr:to>
          <xdr:col>0</xdr:col>
          <xdr:colOff>666750</xdr:colOff>
          <xdr:row>49</xdr:row>
          <xdr:rowOff>182995</xdr:rowOff>
        </xdr:to>
        <xdr:sp macro="" textlink="">
          <xdr:nvSpPr>
            <xdr:cNvPr id="1034" name="Control 10" hidden="1">
              <a:extLst>
                <a:ext uri="{63B3BB69-23CF-44E3-9099-C40C66FF867C}">
                  <a14:compatExt spid="_x0000_s10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165100</xdr:colOff>
          <xdr:row>49</xdr:row>
          <xdr:rowOff>55995</xdr:rowOff>
        </xdr:from>
        <xdr:to>
          <xdr:col>0</xdr:col>
          <xdr:colOff>666750</xdr:colOff>
          <xdr:row>49</xdr:row>
          <xdr:rowOff>182995</xdr:rowOff>
        </xdr:to>
        <xdr:sp macro="" textlink="">
          <xdr:nvSpPr>
            <xdr:cNvPr id="1038" name="Control 14" hidden="1">
              <a:extLst>
                <a:ext uri="{63B3BB69-23CF-44E3-9099-C40C66FF867C}">
                  <a14:compatExt spid="_x0000_s10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165100</xdr:colOff>
          <xdr:row>49</xdr:row>
          <xdr:rowOff>55995</xdr:rowOff>
        </xdr:from>
        <xdr:to>
          <xdr:col>0</xdr:col>
          <xdr:colOff>666750</xdr:colOff>
          <xdr:row>49</xdr:row>
          <xdr:rowOff>182995</xdr:rowOff>
        </xdr:to>
        <xdr:sp macro="" textlink="">
          <xdr:nvSpPr>
            <xdr:cNvPr id="1042" name="Control 18" hidden="1">
              <a:extLst>
                <a:ext uri="{63B3BB69-23CF-44E3-9099-C40C66FF867C}">
                  <a14:compatExt spid="_x0000_s10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165100</xdr:colOff>
          <xdr:row>49</xdr:row>
          <xdr:rowOff>55995</xdr:rowOff>
        </xdr:from>
        <xdr:to>
          <xdr:col>0</xdr:col>
          <xdr:colOff>666750</xdr:colOff>
          <xdr:row>49</xdr:row>
          <xdr:rowOff>182995</xdr:rowOff>
        </xdr:to>
        <xdr:sp macro="" textlink="">
          <xdr:nvSpPr>
            <xdr:cNvPr id="1046" name="Control 22" hidden="1">
              <a:extLst>
                <a:ext uri="{63B3BB69-23CF-44E3-9099-C40C66FF867C}">
                  <a14:compatExt spid="_x0000_s1046"/>
                </a:ext>
              </a:extLst>
            </xdr:cNvPr>
            <xdr:cNvSpPr/>
          </xdr:nvSpPr>
          <xdr:spPr>
            <a:xfrm>
              <a:off x="0" y="0"/>
              <a:ext cx="0" cy="0"/>
            </a:xfrm>
            <a:prstGeom prst="rect">
              <a:avLst/>
            </a:prstGeom>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U:\QUOTA\Documents_Serveis_IMI\Serveis%20Aplicacions\2017%20Pressupost\Pressupostos%20serveis%20Aplicacions%202017%20Actual.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U:\QUOTA\Documents_Serveis_IMI\Serveis%20Aplicacions\2016%20Serveis%20Aplicacions\2016%20Pressupost%20aplicacions\Pressupostos%20serveis%20Aplicacions%202016%20Actu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D 2017 PER TIPUS I CONTRACTE"/>
      <sheetName val="Baixa lic no actu. a Agost"/>
      <sheetName val="TD just 2017 a 20160625"/>
      <sheetName val="JUSTIFICACIO 2017 A 20160625"/>
      <sheetName val="TD pressupost 2017 vs 2016 SERV"/>
      <sheetName val="TD pressupost 2017 vs 2016"/>
      <sheetName val="Justificacio 2017 a 15 6 16"/>
      <sheetName val="Situació contractació 2017"/>
      <sheetName val="Situació contractació 2016"/>
      <sheetName val="Serveis Aplicacions"/>
      <sheetName val="Informe Contractació GPIC"/>
      <sheetName val="TD 2017 c2 per sector"/>
      <sheetName val="2017 Adjudicats c2"/>
      <sheetName val="2017 Formalitzats c2"/>
      <sheetName val="Cat Serveis"/>
      <sheetName val="Dades auxiliars"/>
      <sheetName val="Hoja1"/>
    </sheetNames>
    <sheetDataSet>
      <sheetData sheetId="0"/>
      <sheetData sheetId="1"/>
      <sheetData sheetId="2"/>
      <sheetData sheetId="3"/>
      <sheetData sheetId="4"/>
      <sheetData sheetId="5"/>
      <sheetData sheetId="6"/>
      <sheetData sheetId="7"/>
      <sheetData sheetId="8"/>
      <sheetData sheetId="9"/>
      <sheetData sheetId="10">
        <row r="1">
          <cell r="A1" t="str">
            <v>Codi Contracte</v>
          </cell>
        </row>
      </sheetData>
      <sheetData sheetId="11"/>
      <sheetData sheetId="12"/>
      <sheetData sheetId="13"/>
      <sheetData sheetId="14"/>
      <sheetData sheetId="15">
        <row r="1">
          <cell r="A1" t="str">
            <v>Codi Servei</v>
          </cell>
          <cell r="M1" t="str">
            <v>Tipus despesa</v>
          </cell>
          <cell r="N1" t="str">
            <v>Conceptes despesa</v>
          </cell>
        </row>
        <row r="2">
          <cell r="M2" t="str">
            <v>1. Continuïtat: Manteniment i suport</v>
          </cell>
          <cell r="N2" t="str">
            <v>1.1. Suport usuari</v>
          </cell>
        </row>
        <row r="3">
          <cell r="M3" t="str">
            <v>2. Evolutiu: Evolutiu recurrent</v>
          </cell>
          <cell r="N3" t="str">
            <v>1.2. Suport al servei</v>
          </cell>
        </row>
        <row r="4">
          <cell r="M4" t="str">
            <v>3. Projecte de millora: Evolutiu Identificat</v>
          </cell>
          <cell r="N4" t="str">
            <v>1.3. Correctiu imprescindible</v>
          </cell>
        </row>
        <row r="5">
          <cell r="M5" t="str">
            <v>4. Projecte</v>
          </cell>
          <cell r="N5" t="str">
            <v>1.4. Llicències</v>
          </cell>
        </row>
        <row r="6">
          <cell r="N6" t="str">
            <v>2.1. Imperatiu legal</v>
          </cell>
        </row>
        <row r="7">
          <cell r="N7" t="str">
            <v>2.2. Millores funcionalitats existents</v>
          </cell>
        </row>
        <row r="8">
          <cell r="N8" t="str">
            <v>3.1. Noves funcionalitats</v>
          </cell>
        </row>
        <row r="9">
          <cell r="N9" t="str">
            <v>4.1. Nou Projecte</v>
          </cell>
        </row>
      </sheetData>
      <sheetData sheetId="16"/>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supost C6 aprovat a 26- 01"/>
      <sheetName val="Pressupost C2 aprovat a 26-01"/>
      <sheetName val="TD pressupost 2017 vs 2016 US"/>
      <sheetName val="TD pressupost 2017 vs 2016 (2)"/>
      <sheetName val="TD pressupost 2017 vs 2016"/>
      <sheetName val="Serveis Aplicacions"/>
      <sheetName val="Informe Contractació GPIC"/>
      <sheetName val="TD 2017 DSV Estat tramiT"/>
      <sheetName val="TD 2016 DSV Estat tramit"/>
      <sheetName val="TD SECTOR I SERVE"/>
      <sheetName val="TD Contractes 2016"/>
      <sheetName val="TD UNITAT SERVEI"/>
      <sheetName val="SERVEIS SENSE CONTRACTE 2016"/>
      <sheetName val="Pdte contractar 2016 c6"/>
      <sheetName val="Pdte contractar 2016 c2"/>
      <sheetName val="Pluris i Prorrogues 2016"/>
      <sheetName val="TD C6 2016 1er trim  Prorroga"/>
      <sheetName val="SERVEIS SENSE CONTRAC 2016 US"/>
      <sheetName val="TD C6 2016 1er trim "/>
      <sheetName val="TD Pressupost 2016 VS 2015"/>
      <sheetName val="TD Pressupost 2016 (2)"/>
      <sheetName val="TD Pressupost 2016"/>
      <sheetName val="TD F0518 I PONTS"/>
      <sheetName val="TD F0016 I MENORS"/>
      <sheetName val="PRESSUPOST C2 2016 DEMANDA"/>
      <sheetName val="PRESSUPOST C2 2016 adic. a CP"/>
      <sheetName val="TD empreses amb serveis emer"/>
      <sheetName val="Pròrrogas"/>
      <sheetName val="Cat Serveis"/>
      <sheetName val="Dades auxiliars"/>
      <sheetName val="Cat Serveis ol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row r="1">
          <cell r="A1" t="str">
            <v>Codi Servei</v>
          </cell>
          <cell r="B1" t="str">
            <v>Nom del Servei</v>
          </cell>
          <cell r="C1" t="str">
            <v>Referent</v>
          </cell>
          <cell r="D1" t="str">
            <v>Supervisor</v>
          </cell>
          <cell r="E1" t="str">
            <v>Supervisor 2016</v>
          </cell>
          <cell r="F1" t="str">
            <v>Sector</v>
          </cell>
          <cell r="G1" t="str">
            <v>Sector 2016</v>
          </cell>
          <cell r="H1" t="str">
            <v>Unitat de servei</v>
          </cell>
          <cell r="I1" t="str">
            <v>Unitat servei 2016 cat apli</v>
          </cell>
          <cell r="J1" t="str">
            <v>Unitat de servei 2016</v>
          </cell>
        </row>
        <row r="2">
          <cell r="A2" t="str">
            <v>SER0001</v>
          </cell>
          <cell r="B2" t="str">
            <v>Quadre de comandament de la gerència Municipal</v>
          </cell>
          <cell r="C2" t="str">
            <v>LLUCH LOPEZ, JAIME</v>
          </cell>
          <cell r="D2" t="str">
            <v>LLUCH LOPEZ, JAIME</v>
          </cell>
          <cell r="E2" t="str">
            <v>LLUCH LOPEZ, JAIME</v>
          </cell>
          <cell r="F2" t="str">
            <v>Gerència Municipal</v>
          </cell>
          <cell r="G2" t="str">
            <v>Gerència Municipal</v>
          </cell>
          <cell r="H2" t="str">
            <v>Anàlisi de dades i Reporting</v>
          </cell>
          <cell r="I2" t="str">
            <v>ANÀLISI DE DADES I REPORTING</v>
          </cell>
          <cell r="J2" t="str">
            <v>ANÀLISI DE DADES I REPORTING</v>
          </cell>
        </row>
        <row r="3">
          <cell r="A3" t="str">
            <v>SER0003</v>
          </cell>
          <cell r="B3" t="str">
            <v>Servei d'Assistència a la Dona</v>
          </cell>
          <cell r="C3" t="str">
            <v>Luis Díaz, Maria Trinidad</v>
          </cell>
          <cell r="D3" t="str">
            <v>BOIX RODRIGUEZ, JORDI</v>
          </cell>
          <cell r="E3" t="str">
            <v>BOIX RODRIGUEZ, JORDI</v>
          </cell>
          <cell r="F3" t="str">
            <v>Gerència de Qualitat de Vida, Igualtat i Esports</v>
          </cell>
          <cell r="G3" t="str">
            <v>Gerència de Drets Socials</v>
          </cell>
          <cell r="H3" t="str">
            <v>Atenció a les Persones</v>
          </cell>
          <cell r="I3" t="str">
            <v>DRETS SOCIALS</v>
          </cell>
          <cell r="J3" t="str">
            <v>DRETS SOCIALS</v>
          </cell>
        </row>
        <row r="4">
          <cell r="A4" t="str">
            <v>SER0004</v>
          </cell>
          <cell r="B4" t="str">
            <v>Ajuts econòmics Serveis Socials</v>
          </cell>
          <cell r="C4" t="str">
            <v>Luis Díaz, Maria Trinidad</v>
          </cell>
          <cell r="D4" t="str">
            <v>BOIX RODRIGUEZ, JORDI</v>
          </cell>
          <cell r="E4" t="str">
            <v>BOIX RODRIGUEZ, JORDI</v>
          </cell>
          <cell r="F4" t="str">
            <v>Gerència de Qualitat de Vida, Igualtat i Esports</v>
          </cell>
          <cell r="G4" t="str">
            <v>Gerència de Drets Socials</v>
          </cell>
          <cell r="H4" t="str">
            <v>Atenció a les Persones</v>
          </cell>
          <cell r="I4" t="str">
            <v>DRETS SOCIALS</v>
          </cell>
          <cell r="J4" t="str">
            <v>DRETS SOCIALS</v>
          </cell>
        </row>
        <row r="5">
          <cell r="A5" t="str">
            <v>SER0005</v>
          </cell>
          <cell r="B5" t="str">
            <v>Renda mínima d'inserció</v>
          </cell>
          <cell r="C5" t="str">
            <v>FONTANALS POU, MIGUEL</v>
          </cell>
          <cell r="D5" t="str">
            <v>BOIX RODRIGUEZ, JORDI</v>
          </cell>
          <cell r="E5" t="str">
            <v>BOIX RODRIGUEZ, JORDI</v>
          </cell>
          <cell r="F5" t="str">
            <v>Gerència de Qualitat de Vida, Igualtat i Esports</v>
          </cell>
          <cell r="G5" t="str">
            <v>Gerència de Drets Socials</v>
          </cell>
          <cell r="H5" t="str">
            <v>Atenció a les Persones</v>
          </cell>
          <cell r="I5" t="str">
            <v>DRETS SOCIALS</v>
          </cell>
          <cell r="J5" t="str">
            <v>DRETS SOCIALS</v>
          </cell>
        </row>
        <row r="6">
          <cell r="A6" t="str">
            <v>SER0006</v>
          </cell>
          <cell r="B6" t="str">
            <v>Beques vacances estiu per nens i joves</v>
          </cell>
          <cell r="C6" t="str">
            <v>Luis Díaz, Maria Trinidad</v>
          </cell>
          <cell r="D6" t="str">
            <v>BOIX RODRIGUEZ, JORDI</v>
          </cell>
          <cell r="E6" t="str">
            <v>BOIX RODRIGUEZ, JORDI</v>
          </cell>
          <cell r="F6" t="str">
            <v>Gerència de Qualitat de Vida, Igualtat i Esports</v>
          </cell>
          <cell r="G6" t="str">
            <v>Gerència de Drets Socials</v>
          </cell>
          <cell r="H6" t="str">
            <v>Atenció a les Persones</v>
          </cell>
          <cell r="I6" t="str">
            <v>DRETS SOCIALS</v>
          </cell>
          <cell r="J6" t="str">
            <v>DRETS SOCIALS</v>
          </cell>
        </row>
        <row r="7">
          <cell r="A7" t="str">
            <v>SER0007</v>
          </cell>
          <cell r="B7" t="str">
            <v>Viatges Gent gran</v>
          </cell>
          <cell r="C7" t="str">
            <v>Luis Díaz, Maria Trinidad</v>
          </cell>
          <cell r="D7" t="str">
            <v>TRIAS JUNCOSA, JAUME</v>
          </cell>
          <cell r="E7" t="str">
            <v>BOIX RODRIGUEZ, JORDI</v>
          </cell>
          <cell r="F7" t="str">
            <v>Gerència de Qualitat de Vida, Igualtat i Esports</v>
          </cell>
          <cell r="G7" t="str">
            <v>Gerència de Drets Socials</v>
          </cell>
          <cell r="H7" t="str">
            <v>Atenció al Ciutadà</v>
          </cell>
          <cell r="I7" t="str">
            <v>DRETS SOCIALS</v>
          </cell>
          <cell r="J7" t="str">
            <v>DRETS SOCIALS</v>
          </cell>
        </row>
        <row r="8">
          <cell r="A8" t="str">
            <v>SER0007/2</v>
          </cell>
          <cell r="B8" t="str">
            <v>Viatges Gent gran Nou</v>
          </cell>
          <cell r="C8" t="str">
            <v>Luis Díaz, Maria Trinidad</v>
          </cell>
          <cell r="D8" t="str">
            <v>BOIX RODRIGUEZ, JORDI</v>
          </cell>
          <cell r="E8" t="str">
            <v>BOIX RODRIGUEZ, JORDI</v>
          </cell>
          <cell r="F8" t="str">
            <v>Gerència de Qualitat de Vida, Igualtat i Esports</v>
          </cell>
          <cell r="G8" t="str">
            <v>Gerència de Drets Socials</v>
          </cell>
          <cell r="H8" t="str">
            <v>Atenció a les Persones</v>
          </cell>
          <cell r="I8" t="str">
            <v>DRETS SOCIALS</v>
          </cell>
          <cell r="J8" t="str">
            <v>DRETS SOCIALS</v>
          </cell>
        </row>
        <row r="9">
          <cell r="A9" t="str">
            <v>SER0008</v>
          </cell>
          <cell r="B9" t="str">
            <v>Cites Serveis Socials i Agenda del Professional</v>
          </cell>
          <cell r="C9" t="str">
            <v>Luis Díaz, Maria Trinidad</v>
          </cell>
          <cell r="D9" t="str">
            <v>BOIX RODRIGUEZ, JORDI</v>
          </cell>
          <cell r="E9" t="str">
            <v>BOIX RODRIGUEZ, JORDI</v>
          </cell>
          <cell r="F9" t="str">
            <v>Gerència de Qualitat de Vida, Igualtat i Esports</v>
          </cell>
          <cell r="G9" t="str">
            <v>Gerència de Drets Socials</v>
          </cell>
          <cell r="H9" t="str">
            <v>Atenció a les Persones</v>
          </cell>
          <cell r="I9" t="str">
            <v>DRETS SOCIALS</v>
          </cell>
          <cell r="J9" t="str">
            <v>DRETS SOCIALS</v>
          </cell>
        </row>
        <row r="10">
          <cell r="A10" t="str">
            <v>SER0009</v>
          </cell>
          <cell r="B10" t="str">
            <v>Expedients Serveis Socials</v>
          </cell>
          <cell r="C10" t="str">
            <v>Camuñez Luengo, Marià</v>
          </cell>
          <cell r="D10" t="str">
            <v>BOIX RODRIGUEZ, JORDI</v>
          </cell>
          <cell r="E10" t="str">
            <v>BOIX RODRIGUEZ, JORDI</v>
          </cell>
          <cell r="F10" t="str">
            <v>Gerència de Qualitat de Vida, Igualtat i Esports</v>
          </cell>
          <cell r="G10" t="str">
            <v>Gerència de Drets Socials</v>
          </cell>
          <cell r="H10" t="str">
            <v>Atenció a les Persones</v>
          </cell>
          <cell r="I10" t="str">
            <v>DRETS SOCIALS</v>
          </cell>
          <cell r="J10" t="str">
            <v>DRETS SOCIALS</v>
          </cell>
        </row>
        <row r="11">
          <cell r="A11" t="str">
            <v>SER0010</v>
          </cell>
          <cell r="B11" t="str">
            <v>Portal del professional de serveis socials</v>
          </cell>
          <cell r="C11" t="str">
            <v>Santamaria Ortin, Carlos</v>
          </cell>
          <cell r="D11" t="str">
            <v>BOIX RODRIGUEZ, JORDI</v>
          </cell>
          <cell r="E11" t="str">
            <v>BOIX RODRIGUEZ, JORDI</v>
          </cell>
          <cell r="F11" t="str">
            <v>Gerència de Qualitat de Vida, Igualtat i Esports</v>
          </cell>
          <cell r="G11" t="str">
            <v>Gerència de Drets Socials</v>
          </cell>
          <cell r="H11" t="str">
            <v>Atenció a les Persones</v>
          </cell>
          <cell r="I11" t="str">
            <v>DRETS SOCIALS</v>
          </cell>
          <cell r="J11" t="str">
            <v>DRETS SOCIALS</v>
          </cell>
        </row>
        <row r="12">
          <cell r="A12" t="str">
            <v>SER0011</v>
          </cell>
          <cell r="B12" t="str">
            <v>Serveis d'assistència a la immigració</v>
          </cell>
          <cell r="C12" t="str">
            <v>FONTANALS POU, MIGUEL</v>
          </cell>
          <cell r="D12" t="str">
            <v>BOIX RODRIGUEZ, JORDI</v>
          </cell>
          <cell r="E12" t="str">
            <v>BOIX RODRIGUEZ, JORDI</v>
          </cell>
          <cell r="F12" t="str">
            <v>Gerència de Qualitat de Vida, Igualtat i Esports</v>
          </cell>
          <cell r="G12" t="str">
            <v>Gerència de Drets Socials</v>
          </cell>
          <cell r="H12" t="str">
            <v>Atenció a les Persones</v>
          </cell>
          <cell r="I12" t="str">
            <v>DRETS SOCIALS</v>
          </cell>
          <cell r="J12" t="str">
            <v>DRETS SOCIALS</v>
          </cell>
        </row>
        <row r="13">
          <cell r="A13" t="str">
            <v>SER0012</v>
          </cell>
          <cell r="B13" t="str">
            <v>Menjadors Socials</v>
          </cell>
          <cell r="C13" t="str">
            <v>Santamaria Ortin, Carlos</v>
          </cell>
          <cell r="D13" t="str">
            <v>BOIX RODRIGUEZ, JORDI</v>
          </cell>
          <cell r="E13" t="str">
            <v>BOIX RODRIGUEZ, JORDI</v>
          </cell>
          <cell r="F13" t="str">
            <v>Gerència de Qualitat de Vida, Igualtat i Esports</v>
          </cell>
          <cell r="G13" t="str">
            <v>Gerència de Drets Socials</v>
          </cell>
          <cell r="H13" t="str">
            <v>Atenció a les Persones</v>
          </cell>
          <cell r="I13" t="str">
            <v>DRETS SOCIALS</v>
          </cell>
          <cell r="J13" t="str">
            <v>DRETS SOCIALS</v>
          </cell>
        </row>
        <row r="14">
          <cell r="A14" t="str">
            <v>SER0013</v>
          </cell>
          <cell r="B14" t="str">
            <v>Equipaments i altres recursos Persones vulnerables</v>
          </cell>
          <cell r="C14" t="str">
            <v>Santamaria Ortin, Carlos</v>
          </cell>
          <cell r="D14" t="str">
            <v>BOIX RODRIGUEZ, JORDI</v>
          </cell>
          <cell r="E14" t="str">
            <v>BOIX RODRIGUEZ, JORDI</v>
          </cell>
          <cell r="F14" t="str">
            <v>Gerència de Qualitat de Vida, Igualtat i Esports</v>
          </cell>
          <cell r="G14" t="str">
            <v>Gerència de Drets Socials</v>
          </cell>
          <cell r="H14" t="str">
            <v>Atenció a les Persones</v>
          </cell>
          <cell r="I14" t="str">
            <v>DRETS SOCIALS</v>
          </cell>
          <cell r="J14" t="str">
            <v>DRETS SOCIALS</v>
          </cell>
        </row>
        <row r="15">
          <cell r="A15" t="str">
            <v>SER0014</v>
          </cell>
          <cell r="B15" t="str">
            <v>Llei de la Dependència</v>
          </cell>
          <cell r="C15" t="str">
            <v>Camuñez Luengo, Marià</v>
          </cell>
          <cell r="D15" t="str">
            <v>BOIX RODRIGUEZ, JORDI</v>
          </cell>
          <cell r="E15" t="str">
            <v>BOIX RODRIGUEZ, JORDI</v>
          </cell>
          <cell r="F15" t="str">
            <v>Gerència de Qualitat de Vida, Igualtat i Esports</v>
          </cell>
          <cell r="G15" t="str">
            <v>Gerència de Drets Socials</v>
          </cell>
          <cell r="H15" t="str">
            <v>Atenció a les Persones</v>
          </cell>
          <cell r="I15" t="str">
            <v>DRETS SOCIALS</v>
          </cell>
          <cell r="J15" t="str">
            <v>DRETS SOCIALS</v>
          </cell>
        </row>
        <row r="16">
          <cell r="A16" t="str">
            <v>SER0015</v>
          </cell>
          <cell r="B16" t="str">
            <v>Servei d'Atenció Domiciliària</v>
          </cell>
          <cell r="C16" t="str">
            <v>Camuñez Luengo, Marià</v>
          </cell>
          <cell r="D16" t="str">
            <v>BOIX RODRIGUEZ, JORDI</v>
          </cell>
          <cell r="E16" t="str">
            <v>BOIX RODRIGUEZ, JORDI</v>
          </cell>
          <cell r="F16" t="str">
            <v>Gerència de Qualitat de Vida, Igualtat i Esports</v>
          </cell>
          <cell r="G16" t="str">
            <v>Gerència de Drets Socials</v>
          </cell>
          <cell r="H16" t="str">
            <v>Atenció a les Persones</v>
          </cell>
          <cell r="I16" t="str">
            <v>DRETS SOCIALS</v>
          </cell>
          <cell r="J16" t="str">
            <v>DRETS SOCIALS</v>
          </cell>
        </row>
        <row r="17">
          <cell r="A17" t="str">
            <v>SER0016</v>
          </cell>
          <cell r="B17" t="str">
            <v>Teleassistència Domiciliària</v>
          </cell>
          <cell r="C17" t="str">
            <v>FONTANALS POU, MIGUEL</v>
          </cell>
          <cell r="D17" t="str">
            <v>BOIX RODRIGUEZ, JORDI</v>
          </cell>
          <cell r="E17" t="str">
            <v>BOIX RODRIGUEZ, JORDI</v>
          </cell>
          <cell r="F17" t="str">
            <v>Gerència de Qualitat de Vida, Igualtat i Esports</v>
          </cell>
          <cell r="G17" t="str">
            <v>Gerència de Drets Socials</v>
          </cell>
          <cell r="H17" t="str">
            <v>Atenció a les Persones</v>
          </cell>
          <cell r="I17" t="str">
            <v>DRETS SOCIALS</v>
          </cell>
          <cell r="J17" t="str">
            <v>DRETS SOCIALS</v>
          </cell>
        </row>
        <row r="18">
          <cell r="A18" t="str">
            <v>SER0017</v>
          </cell>
          <cell r="B18" t="str">
            <v>Servei indicadors i explotació de dades de QVIE</v>
          </cell>
          <cell r="C18" t="str">
            <v>Santamaria Ortin, Carlos</v>
          </cell>
          <cell r="D18" t="str">
            <v>BOIX RODRIGUEZ, JORDI</v>
          </cell>
          <cell r="E18" t="str">
            <v>BOIX RODRIGUEZ, JORDI</v>
          </cell>
          <cell r="F18" t="str">
            <v>Gerència de Qualitat de Vida, Igualtat i Esports</v>
          </cell>
          <cell r="G18" t="str">
            <v>Gerència de Drets Socials</v>
          </cell>
          <cell r="H18" t="str">
            <v>Atenció a les Persones</v>
          </cell>
          <cell r="I18" t="str">
            <v>DRETS SOCIALS</v>
          </cell>
          <cell r="J18" t="str">
            <v>DRETS SOCIALS</v>
          </cell>
        </row>
        <row r="19">
          <cell r="A19" t="str">
            <v>SER0018</v>
          </cell>
          <cell r="B19" t="str">
            <v>Servei d'asistencia persones amb discapacitat: Assesorament laboral IMPD i promoció i suport IMPD</v>
          </cell>
          <cell r="C19" t="str">
            <v>FONTANALS POU, MIGUEL</v>
          </cell>
          <cell r="D19" t="str">
            <v>BOIX RODRIGUEZ, JORDI</v>
          </cell>
          <cell r="E19" t="str">
            <v>BOIX RODRIGUEZ, JORDI</v>
          </cell>
          <cell r="F19" t="str">
            <v>Gerència de Qualitat de Vida, Igualtat i Esports</v>
          </cell>
          <cell r="G19" t="str">
            <v>Gerència de Drets Socials</v>
          </cell>
          <cell r="H19" t="str">
            <v>Atenció a les Persones</v>
          </cell>
          <cell r="I19" t="str">
            <v>DRETS SOCIALS</v>
          </cell>
          <cell r="J19" t="str">
            <v>DRETS SOCIALS</v>
          </cell>
        </row>
        <row r="20">
          <cell r="A20" t="str">
            <v>SER0019</v>
          </cell>
          <cell r="B20" t="str">
            <v>Guia de Barcelona. Agenda i Equipaments</v>
          </cell>
          <cell r="C20" t="str">
            <v>COMAPOSADA MARTI, MONTSERRAT</v>
          </cell>
          <cell r="D20" t="str">
            <v>ROCA VILALTA, XAVIER</v>
          </cell>
          <cell r="E20" t="str">
            <v>COMAPOSADA MARTI, MONTSERRAT</v>
          </cell>
          <cell r="F20" t="str">
            <v>Gerència de Recursos</v>
          </cell>
          <cell r="G20" t="str">
            <v>Gerència de Recursos</v>
          </cell>
          <cell r="H20" t="str">
            <v>DTI</v>
          </cell>
          <cell r="I20" t="str">
            <v>INTERNET I CANALS</v>
          </cell>
          <cell r="J20" t="str">
            <v>DTI</v>
          </cell>
        </row>
        <row r="21">
          <cell r="A21" t="str">
            <v>SER0020</v>
          </cell>
          <cell r="B21" t="str">
            <v>Carpetes de tramitació</v>
          </cell>
          <cell r="C21" t="str">
            <v>CARMONA RUIZ, JUAN CARLO</v>
          </cell>
          <cell r="D21" t="str">
            <v>TRIAS JUNCOSA, JAUME</v>
          </cell>
          <cell r="E21" t="str">
            <v>TRIAS JUNCOSA, JAUME</v>
          </cell>
          <cell r="F21" t="str">
            <v>Gerència de Recursos</v>
          </cell>
          <cell r="G21" t="str">
            <v>Gerència de Recursos</v>
          </cell>
          <cell r="H21" t="str">
            <v>Atenció al Ciutadà</v>
          </cell>
          <cell r="I21" t="str">
            <v>SERVEIS COMUNS ADMINISTRACIÓ ELECTRÓNICA</v>
          </cell>
          <cell r="J21" t="str">
            <v>TRAMITACIÓ, PORTAL I CARPETES</v>
          </cell>
        </row>
        <row r="22">
          <cell r="A22" t="str">
            <v>SER0021</v>
          </cell>
          <cell r="B22" t="str">
            <v>Plataforma de tramitació per 010 i OACs (SATEC)</v>
          </cell>
          <cell r="C22">
            <v>0</v>
          </cell>
          <cell r="D22" t="str">
            <v>TRIAS JUNCOSA, JAUME</v>
          </cell>
          <cell r="E22" t="str">
            <v>TRIAS JUNCOSA, JAUME</v>
          </cell>
          <cell r="F22" t="str">
            <v>Gerència de Recursos</v>
          </cell>
          <cell r="G22" t="str">
            <v>Gerència de Drets de Ciutadania, Participació i Transpàrencia</v>
          </cell>
          <cell r="H22" t="str">
            <v>Atenció al Ciutadà</v>
          </cell>
          <cell r="I22" t="str">
            <v>DRETS CIUTADANIA, PARTICIPACIÓ I TRANSPARÈNCIA</v>
          </cell>
          <cell r="J22" t="str">
            <v>DRETS CIUTADANIA, PARTICIPACIÓ I TRANSPARÈNCIA</v>
          </cell>
        </row>
        <row r="23">
          <cell r="A23" t="str">
            <v>SER0022</v>
          </cell>
          <cell r="B23" t="str">
            <v>Queixes i suggeriments ciutadans</v>
          </cell>
          <cell r="C23" t="str">
            <v>Boya García, Eva</v>
          </cell>
          <cell r="D23" t="str">
            <v>TRIAS JUNCOSA, JAUME</v>
          </cell>
          <cell r="E23" t="str">
            <v>TRIAS JUNCOSA, JAUME</v>
          </cell>
          <cell r="F23" t="str">
            <v>Gerència de Recursos</v>
          </cell>
          <cell r="G23" t="str">
            <v>Gerència de Drets de Ciutadania, Participació i Transpàrencia</v>
          </cell>
          <cell r="H23" t="str">
            <v>Atenció al Ciutadà</v>
          </cell>
          <cell r="I23" t="str">
            <v>DRETS CIUTADANIA, PARTICIPACIÓ I TRANSPARÈNCIA</v>
          </cell>
          <cell r="J23" t="str">
            <v>DRETS CIUTADANIA, PARTICIPACIÓ I TRANSPARÈNCIA</v>
          </cell>
        </row>
        <row r="24">
          <cell r="A24" t="str">
            <v>SER0023</v>
          </cell>
          <cell r="B24" t="str">
            <v>Padró de la Població</v>
          </cell>
          <cell r="C24" t="str">
            <v>ALEMANY SERRA, FRANCESC</v>
          </cell>
          <cell r="D24" t="str">
            <v>TRIAS JUNCOSA, JAUME</v>
          </cell>
          <cell r="E24" t="str">
            <v>TRIAS JUNCOSA, JAUME</v>
          </cell>
          <cell r="F24" t="str">
            <v>IMI-IDB</v>
          </cell>
          <cell r="G24" t="str">
            <v>IMI-IDB</v>
          </cell>
          <cell r="H24" t="str">
            <v>Atenció al Ciutadà</v>
          </cell>
          <cell r="I24" t="str">
            <v>DRETS CIUTADANIA, PARTICIPACIÓ I TRANSPARÈNCIA</v>
          </cell>
          <cell r="J24" t="str">
            <v>DRETS CIUTADANIA, PARTICIPACIÓ I TRANSPARÈNCIA</v>
          </cell>
        </row>
        <row r="25">
          <cell r="A25" t="str">
            <v>SER0024</v>
          </cell>
          <cell r="B25" t="str">
            <v>Model d'Informació de Base</v>
          </cell>
          <cell r="C25" t="str">
            <v>ALEMANY SERRA, FRANCESC</v>
          </cell>
          <cell r="D25" t="str">
            <v>TRIAS JUNCOSA, JAUME</v>
          </cell>
          <cell r="E25" t="str">
            <v>TRIAS JUNCOSA, JAUME</v>
          </cell>
          <cell r="F25" t="str">
            <v>IMI-IDB</v>
          </cell>
          <cell r="G25" t="str">
            <v>IMI-IDB</v>
          </cell>
          <cell r="H25" t="str">
            <v>Atenció al Ciutadà</v>
          </cell>
          <cell r="I25" t="str">
            <v>SERVEIS COMUNS ADMINISTRACIÓ ELECTRÓNICA</v>
          </cell>
          <cell r="J25" t="str">
            <v>TRAMITACIÓ, PORTAL I CARPETES</v>
          </cell>
        </row>
        <row r="26">
          <cell r="A26" t="str">
            <v>SER0025</v>
          </cell>
          <cell r="B26" t="str">
            <v>Targeta Rosa</v>
          </cell>
          <cell r="C26" t="str">
            <v>GONZALEZ GARCIA, SUSANA</v>
          </cell>
          <cell r="D26" t="str">
            <v>TRIAS JUNCOSA, JAUME</v>
          </cell>
          <cell r="E26" t="str">
            <v>TRIAS JUNCOSA, JAUME</v>
          </cell>
          <cell r="F26" t="str">
            <v>Gerència de Recursos</v>
          </cell>
          <cell r="G26" t="str">
            <v>Gerència de Drets de Ciutadania, Participació i Transpàrencia</v>
          </cell>
          <cell r="H26" t="str">
            <v>Atenció al Ciutadà</v>
          </cell>
          <cell r="I26" t="str">
            <v>DRETS CIUTADANIA, PARTICIPACIÓ I TRANSPARÈNCIA</v>
          </cell>
          <cell r="J26" t="str">
            <v>DRETS CIUTADANIA, PARTICIPACIÓ I TRANSPARÈNCIA</v>
          </cell>
        </row>
        <row r="27">
          <cell r="A27" t="str">
            <v>SER0026</v>
          </cell>
          <cell r="B27" t="str">
            <v>Troballes</v>
          </cell>
          <cell r="C27" t="str">
            <v>ALEMANY SERRA, FRANCESC</v>
          </cell>
          <cell r="D27" t="str">
            <v>TRIAS JUNCOSA, JAUME</v>
          </cell>
          <cell r="E27" t="str">
            <v>TRIAS JUNCOSA, JAUME</v>
          </cell>
          <cell r="F27" t="str">
            <v>Gerència de Recursos</v>
          </cell>
          <cell r="G27" t="str">
            <v>Gerència de Drets de Ciutadania, Participació i Transpàrencia</v>
          </cell>
          <cell r="H27" t="str">
            <v>Atenció al Ciutadà</v>
          </cell>
          <cell r="I27" t="str">
            <v>DRETS CIUTADANIA, PARTICIPACIÓ I TRANSPARÈNCIA</v>
          </cell>
          <cell r="J27" t="str">
            <v>DRETS CIUTADANIA, PARTICIPACIÓ I TRANSPARÈNCIA</v>
          </cell>
        </row>
        <row r="28">
          <cell r="A28" t="str">
            <v>SER0027</v>
          </cell>
          <cell r="B28" t="str">
            <v>Registre i Seguiment de temes</v>
          </cell>
          <cell r="C28" t="str">
            <v>DOMINGUEZ MANCERA, MIGUEL</v>
          </cell>
          <cell r="D28" t="str">
            <v>CAPELLA MINGUELL, ROSA M.</v>
          </cell>
          <cell r="E28" t="str">
            <v>SANTAMARIA PEREZ, GLORIA</v>
          </cell>
          <cell r="F28" t="str">
            <v>Gerència de Recursos</v>
          </cell>
          <cell r="G28" t="str">
            <v>Gerència de Recursos</v>
          </cell>
          <cell r="H28" t="str">
            <v>Secretaria, Administració General i Gestió Documental</v>
          </cell>
          <cell r="I28" t="str">
            <v>RECURSOS</v>
          </cell>
          <cell r="J28" t="str">
            <v>REGISTRE, ARXIU I GESTIÓ DOCUMENTAL</v>
          </cell>
        </row>
        <row r="29">
          <cell r="A29" t="str">
            <v>SER0028</v>
          </cell>
          <cell r="B29" t="str">
            <v>Gestió biblioteques, fons documental, arxius</v>
          </cell>
          <cell r="C29" t="str">
            <v>LILLO ESPINOSA, ENRIQUE</v>
          </cell>
          <cell r="D29" t="str">
            <v>SANTAMARIA PEREZ, GLORIA</v>
          </cell>
          <cell r="E29" t="str">
            <v>SANTAMARIA PEREZ, GLORIA</v>
          </cell>
          <cell r="F29" t="str">
            <v>Gerència de Recursos</v>
          </cell>
          <cell r="G29" t="str">
            <v>Gerència de Recursos</v>
          </cell>
          <cell r="H29" t="str">
            <v>Secretaria, Administració General i Gestió Documental</v>
          </cell>
          <cell r="I29" t="str">
            <v>RECURSOS</v>
          </cell>
          <cell r="J29" t="str">
            <v>RECURSOS I ALCALDIA</v>
          </cell>
        </row>
        <row r="30">
          <cell r="A30" t="str">
            <v>SER0030</v>
          </cell>
          <cell r="B30" t="str">
            <v>Serveis a escoles</v>
          </cell>
          <cell r="C30" t="str">
            <v>GARCIA RAMON, MARTA</v>
          </cell>
          <cell r="D30" t="str">
            <v>BOIX RODRIGUEZ, JORDI</v>
          </cell>
          <cell r="E30" t="str">
            <v>BOIX RODRIGUEZ, JORDI</v>
          </cell>
          <cell r="F30" t="str">
            <v>Gerència de Cultura, Coneixement, Creativitat i Innovació</v>
          </cell>
          <cell r="G30" t="str">
            <v>Gerència de Drets Socials</v>
          </cell>
          <cell r="H30" t="str">
            <v>Secretaria, Administració General i Gestió Documental</v>
          </cell>
          <cell r="I30" t="str">
            <v>DRETS SOCIALS. IMEB</v>
          </cell>
          <cell r="J30" t="str">
            <v>DRETS SOCIALS. IMEB</v>
          </cell>
        </row>
        <row r="31">
          <cell r="A31" t="str">
            <v>SER0031</v>
          </cell>
          <cell r="B31" t="str">
            <v>Gestió òrgans de govern municipals</v>
          </cell>
          <cell r="C31" t="str">
            <v>GONZALEZ GARCIA, SUSANA</v>
          </cell>
          <cell r="D31" t="str">
            <v>SANTAMARIA PEREZ, GLORIA</v>
          </cell>
          <cell r="E31" t="str">
            <v>SANTAMARIA PEREZ, GLORIA</v>
          </cell>
          <cell r="F31" t="str">
            <v>Gerència de Recursos</v>
          </cell>
          <cell r="G31" t="str">
            <v>Gerència de Recursos</v>
          </cell>
          <cell r="H31" t="str">
            <v>Secretaria, Administració General i Gestió Documental</v>
          </cell>
          <cell r="I31" t="str">
            <v>RECURSOS</v>
          </cell>
          <cell r="J31" t="str">
            <v>RECURSOS I ALCALDIA</v>
          </cell>
        </row>
        <row r="32">
          <cell r="A32" t="str">
            <v>SER0032</v>
          </cell>
          <cell r="B32" t="str">
            <v>SERVEIS JURIDICS</v>
          </cell>
          <cell r="C32" t="str">
            <v>DOMINGUEZ MANCERA, MIGUEL</v>
          </cell>
          <cell r="D32" t="str">
            <v>SANTAMARIA PEREZ, GLORIA</v>
          </cell>
          <cell r="E32" t="str">
            <v>SANTAMARIA PEREZ, GLORIA</v>
          </cell>
          <cell r="F32" t="str">
            <v>Gerència de Recursos</v>
          </cell>
          <cell r="G32" t="str">
            <v>Gerència de Recursos</v>
          </cell>
          <cell r="H32" t="str">
            <v>Secretaria, Administració General i Gestió Documental</v>
          </cell>
          <cell r="I32" t="str">
            <v>REGISTRE, ARXIU I GESTIÓ DOCUMENTAL</v>
          </cell>
          <cell r="J32" t="str">
            <v>RECURSOS I ALCALDIA</v>
          </cell>
        </row>
        <row r="33">
          <cell r="A33" t="str">
            <v>SER0033</v>
          </cell>
          <cell r="B33" t="str">
            <v>Registre general d'E/S</v>
          </cell>
          <cell r="C33" t="str">
            <v>CAPELLA MINGUELL, ROSA M.</v>
          </cell>
          <cell r="D33" t="str">
            <v>CAPELLA MINGUELL, ROSA M.</v>
          </cell>
          <cell r="E33" t="str">
            <v>CAPELLA MINGUELL, ROSA M.</v>
          </cell>
          <cell r="F33" t="str">
            <v>Gerència de Recursos</v>
          </cell>
          <cell r="G33" t="str">
            <v>Gerència de Recursos</v>
          </cell>
          <cell r="H33" t="str">
            <v>Secretaria, Administració General i Gestió Documental</v>
          </cell>
          <cell r="I33" t="str">
            <v>REGISTRE, ARXIU I GESTIÓ DOCUMENTAL</v>
          </cell>
          <cell r="J33" t="str">
            <v>REGISTRE, ARXIU I GESTIÓ DOCUMENTAL</v>
          </cell>
        </row>
        <row r="34">
          <cell r="A34" t="str">
            <v>SER0034</v>
          </cell>
          <cell r="B34" t="str">
            <v>Gestió Econòmic Financera Ajuntament i OOAA</v>
          </cell>
          <cell r="C34" t="str">
            <v>LLOPART MARCE, NURIA</v>
          </cell>
          <cell r="D34" t="str">
            <v>CASTRO MORAL, LLUIS</v>
          </cell>
          <cell r="E34" t="str">
            <v>TORTOLA FERNANDEZ, JOSE A.</v>
          </cell>
          <cell r="F34" t="str">
            <v>Gerència d'Economia, Empresa i Ocupació</v>
          </cell>
          <cell r="G34" t="str">
            <v>Gerència de Presidència i Economia</v>
          </cell>
          <cell r="H34" t="str">
            <v>Gestió Econòmico-Financera</v>
          </cell>
          <cell r="I34" t="str">
            <v>PRESIDÈNCIA I ECONOMIA</v>
          </cell>
          <cell r="J34" t="str">
            <v>PRESIDÈNCIA I ECONOMIA</v>
          </cell>
        </row>
        <row r="35">
          <cell r="A35" t="str">
            <v>SER0035</v>
          </cell>
          <cell r="B35" t="str">
            <v>Gestió Econòmic Financera Entitats i Empreses</v>
          </cell>
          <cell r="C35" t="str">
            <v>LILLO ESPINOSA, ENRIQUE</v>
          </cell>
          <cell r="D35" t="str">
            <v>CASTRO MORAL, LLUIS</v>
          </cell>
          <cell r="E35" t="str">
            <v>TORTOLA FERNANDEZ, JOSE A.</v>
          </cell>
          <cell r="F35" t="str">
            <v>Gerència d'Economia, Empresa i Ocupació</v>
          </cell>
          <cell r="G35" t="str">
            <v>Gerència de Presidència i Economia</v>
          </cell>
          <cell r="H35" t="str">
            <v>Gestió Econòmico-Financera</v>
          </cell>
          <cell r="I35" t="str">
            <v>PRESIDÈNCIA I ECONOMIA</v>
          </cell>
          <cell r="J35" t="str">
            <v>PRESIDÈNCIA I ECONOMIA</v>
          </cell>
        </row>
        <row r="36">
          <cell r="A36" t="str">
            <v>SER0036</v>
          </cell>
          <cell r="B36" t="str">
            <v>Gestió Econòmic Financera Ens i Consorcis</v>
          </cell>
          <cell r="C36" t="str">
            <v>LLOPART MARCE, NURIA</v>
          </cell>
          <cell r="D36" t="str">
            <v>CASTRO MORAL, LLUIS</v>
          </cell>
          <cell r="E36" t="str">
            <v>TORTOLA FERNANDEZ, JOSE A.</v>
          </cell>
          <cell r="F36" t="str">
            <v>Gerència d'Economia, Empresa i Ocupació</v>
          </cell>
          <cell r="G36" t="str">
            <v>Gerència de Presidència i Economia</v>
          </cell>
          <cell r="H36" t="str">
            <v>Gestió Econòmico-Financera</v>
          </cell>
          <cell r="I36" t="str">
            <v>PRESIDÈNCIA I ECONOMIA</v>
          </cell>
          <cell r="J36" t="str">
            <v>PRESIDÈNCIA I ECONOMIA</v>
          </cell>
        </row>
        <row r="37">
          <cell r="A37" t="str">
            <v>SER0037</v>
          </cell>
          <cell r="B37" t="str">
            <v>Elaboració Pressupostos Grup Municipal</v>
          </cell>
          <cell r="C37" t="str">
            <v>CASADEMUNT TORRAS, JAVIER</v>
          </cell>
          <cell r="D37" t="str">
            <v>CASTRO MORAL, LLUIS</v>
          </cell>
          <cell r="E37" t="str">
            <v>TORTOLA FERNANDEZ, JOSE A.</v>
          </cell>
          <cell r="F37" t="str">
            <v>Gerència d'Economia, Empresa i Ocupació</v>
          </cell>
          <cell r="G37" t="str">
            <v>Gerència de Presidència i Economia</v>
          </cell>
          <cell r="H37" t="str">
            <v>Gestió Econòmico-Financera</v>
          </cell>
          <cell r="I37" t="str">
            <v>PRESIDÈNCIA I ECONOMIA</v>
          </cell>
          <cell r="J37" t="str">
            <v>PRESIDÈNCIA I ECONOMIA</v>
          </cell>
        </row>
        <row r="38">
          <cell r="A38" t="str">
            <v>SER0038</v>
          </cell>
          <cell r="B38" t="str">
            <v>Compres Ajuntament</v>
          </cell>
          <cell r="C38" t="str">
            <v>CASADEMUNT TORRAS, JAVIER</v>
          </cell>
          <cell r="D38" t="str">
            <v>SANTAMARIA PEREZ, GLORIA</v>
          </cell>
          <cell r="E38" t="str">
            <v>SANTAMARIA PEREZ, GLORIA</v>
          </cell>
          <cell r="F38" t="str">
            <v>Gerència de Recursos</v>
          </cell>
          <cell r="G38" t="str">
            <v>Gerència de Recursos</v>
          </cell>
          <cell r="H38" t="str">
            <v>Gestió Econòmico-Financera</v>
          </cell>
          <cell r="I38" t="str">
            <v>RECURSOS</v>
          </cell>
          <cell r="J38" t="str">
            <v>RECURSOS I ALCALDIA</v>
          </cell>
        </row>
        <row r="39">
          <cell r="A39" t="str">
            <v>SER0039</v>
          </cell>
          <cell r="B39" t="str">
            <v>Contractació</v>
          </cell>
          <cell r="C39" t="str">
            <v>RUBIO PARRA, ISABEL</v>
          </cell>
          <cell r="D39" t="str">
            <v>CASTRO MORAL, LLUIS</v>
          </cell>
          <cell r="E39" t="str">
            <v>TORTOLA FERNANDEZ, JOSE A.</v>
          </cell>
          <cell r="F39" t="str">
            <v>Gerència de Recursos</v>
          </cell>
          <cell r="G39" t="str">
            <v>Gerència de Presidència i Economia</v>
          </cell>
          <cell r="H39" t="str">
            <v>Gestió Econòmico-Financera</v>
          </cell>
          <cell r="I39" t="str">
            <v>PRESIDÈNCIA I ECONOMIA</v>
          </cell>
          <cell r="J39" t="str">
            <v>PRESIDÈNCIA I ECONOMIA</v>
          </cell>
        </row>
        <row r="40">
          <cell r="A40" t="str">
            <v>SER0039-1</v>
          </cell>
          <cell r="B40" t="str">
            <v>Contractació Pacs i Jardins</v>
          </cell>
          <cell r="C40" t="str">
            <v>LILLO ESPINOSA, ENRIQUE</v>
          </cell>
          <cell r="D40" t="str">
            <v>CASTRO MORAL, LLUIS</v>
          </cell>
          <cell r="E40" t="str">
            <v>CASTRO MORAL, LLUIS</v>
          </cell>
          <cell r="F40" t="str">
            <v>Gerència d'Hàbitat Urbà</v>
          </cell>
          <cell r="G40" t="str">
            <v>Gerència Ecologia Urbana</v>
          </cell>
          <cell r="H40" t="str">
            <v>Gestió Econòmico-Financera</v>
          </cell>
          <cell r="I40" t="str">
            <v>PRESIDÈNCIA I ECONOMIA</v>
          </cell>
          <cell r="J40" t="str">
            <v>PRESIDÈNCIA I ECONOMIA</v>
          </cell>
        </row>
        <row r="41">
          <cell r="A41" t="str">
            <v>SER0040</v>
          </cell>
          <cell r="B41" t="str">
            <v>Facturació Ajuntament (Ingresos no IMH)</v>
          </cell>
          <cell r="C41" t="str">
            <v>LILLO ESPINOSA, ENRIQUE</v>
          </cell>
          <cell r="D41" t="str">
            <v>CASTRO MORAL, LLUIS</v>
          </cell>
          <cell r="E41" t="str">
            <v>TORTOLA FERNANDEZ, JOSE A.</v>
          </cell>
          <cell r="F41" t="str">
            <v>Gerència d'Economia, Empresa i Ocupació</v>
          </cell>
          <cell r="G41" t="str">
            <v>Gerència de Presidència i Economia</v>
          </cell>
          <cell r="H41" t="str">
            <v>Gestió Econòmico-Financera</v>
          </cell>
          <cell r="I41" t="str">
            <v>PRESIDÈNCIA I ECONOMIA</v>
          </cell>
          <cell r="J41" t="str">
            <v>PRESIDÈNCIA I ECONOMIA</v>
          </cell>
        </row>
        <row r="42">
          <cell r="A42" t="str">
            <v>SER0041</v>
          </cell>
          <cell r="B42" t="str">
            <v>Gestió Inversions</v>
          </cell>
          <cell r="C42">
            <v>0</v>
          </cell>
          <cell r="D42" t="str">
            <v>CASTRO MORAL, LLUIS</v>
          </cell>
          <cell r="E42" t="str">
            <v>TORTOLA FERNANDEZ, JOSE A.</v>
          </cell>
          <cell r="F42" t="str">
            <v>Gerència d'Economia, Empresa i Ocupació</v>
          </cell>
          <cell r="G42" t="str">
            <v>Gerència de Presidència i Economia</v>
          </cell>
          <cell r="H42" t="str">
            <v>Gestió Econòmico-Financera</v>
          </cell>
          <cell r="I42" t="str">
            <v>PRESIDÈNCIA I ECONOMIA</v>
          </cell>
          <cell r="J42" t="str">
            <v>PRESIDÈNCIA I ECONOMIA</v>
          </cell>
        </row>
        <row r="43">
          <cell r="A43" t="str">
            <v>SER0042</v>
          </cell>
          <cell r="B43" t="str">
            <v>Gestió Expropiacions</v>
          </cell>
          <cell r="C43" t="str">
            <v>LILLO ESPINOSA, ENRIQUE</v>
          </cell>
          <cell r="D43" t="str">
            <v>CASTRO MORAL, LLUIS</v>
          </cell>
          <cell r="E43" t="str">
            <v>TORTOLA FERNANDEZ, JOSE A.</v>
          </cell>
          <cell r="F43" t="str">
            <v>Gerència d'Economia, Empresa i Ocupació</v>
          </cell>
          <cell r="G43" t="str">
            <v>Gerència de Presidència i Economia</v>
          </cell>
          <cell r="H43" t="str">
            <v>Gestió Econòmico-Financera</v>
          </cell>
          <cell r="I43" t="str">
            <v>PRESIDÈNCIA I ECONOMIA</v>
          </cell>
          <cell r="J43" t="str">
            <v>PRESIDÈNCIA I ECONOMIA</v>
          </cell>
        </row>
        <row r="44">
          <cell r="A44" t="str">
            <v>SER0043</v>
          </cell>
          <cell r="B44" t="str">
            <v>Tresoreria Ordenació Pagaments</v>
          </cell>
          <cell r="C44" t="str">
            <v>LLOPART MARCE, NURIA</v>
          </cell>
          <cell r="D44" t="str">
            <v>CASTRO MORAL, LLUIS</v>
          </cell>
          <cell r="E44" t="str">
            <v>TORTOLA FERNANDEZ, JOSE A.</v>
          </cell>
          <cell r="F44" t="str">
            <v>Gerència de Recursos</v>
          </cell>
          <cell r="G44" t="str">
            <v>Gerència de Presidència i Economia</v>
          </cell>
          <cell r="H44" t="str">
            <v>Gestió Econòmico-Financera</v>
          </cell>
          <cell r="I44" t="str">
            <v>PRESIDÈNCIA I ECONOMIA</v>
          </cell>
          <cell r="J44" t="str">
            <v>PRESIDÈNCIA I ECONOMIA</v>
          </cell>
        </row>
        <row r="45">
          <cell r="A45" t="str">
            <v>SER0044</v>
          </cell>
          <cell r="B45" t="str">
            <v>Subvencions i Convenis</v>
          </cell>
          <cell r="C45" t="str">
            <v>LILLO ESPINOSA, ENRIQUE</v>
          </cell>
          <cell r="D45" t="str">
            <v>SANTAMARIA PEREZ, GLORIA</v>
          </cell>
          <cell r="E45" t="str">
            <v>SANTAMARIA PEREZ, GLORIA</v>
          </cell>
          <cell r="F45" t="str">
            <v>Gerència de Recursos</v>
          </cell>
          <cell r="G45" t="str">
            <v>Gerència de Recursos</v>
          </cell>
          <cell r="H45" t="str">
            <v>Gestió Econòmico-Financera</v>
          </cell>
          <cell r="I45" t="str">
            <v>RECURSOS</v>
          </cell>
          <cell r="J45" t="str">
            <v>RECURSOS I ALCALDIA</v>
          </cell>
        </row>
        <row r="46">
          <cell r="A46" t="str">
            <v>SER0045</v>
          </cell>
          <cell r="B46" t="str">
            <v>Gestió del patrimoni</v>
          </cell>
          <cell r="C46" t="str">
            <v>CASADEMUNT TORRAS, JAVIER</v>
          </cell>
          <cell r="D46" t="str">
            <v>CASTRO MORAL, LLUIS</v>
          </cell>
          <cell r="E46" t="str">
            <v>TORTOLA FERNANDEZ, JOSE A.</v>
          </cell>
          <cell r="F46" t="str">
            <v>Gerència de Recursos</v>
          </cell>
          <cell r="G46" t="str">
            <v>Gerència de Presidència i Economia</v>
          </cell>
          <cell r="H46" t="str">
            <v>Gestió Econòmico-Financera</v>
          </cell>
          <cell r="I46" t="str">
            <v>PRESIDÈNCIA I ECONOMIA</v>
          </cell>
          <cell r="J46" t="str">
            <v>PRESIDÈNCIA I ECONOMIA</v>
          </cell>
        </row>
        <row r="47">
          <cell r="A47" t="str">
            <v>SER0046</v>
          </cell>
          <cell r="B47" t="str">
            <v>Subministraments</v>
          </cell>
          <cell r="C47" t="str">
            <v>CASTRO MORAL, LLUIS</v>
          </cell>
          <cell r="D47" t="str">
            <v>SANTAMARIA PEREZ, GLORIA</v>
          </cell>
          <cell r="E47" t="str">
            <v>SANTAMARIA PEREZ, GLORIA</v>
          </cell>
          <cell r="F47" t="str">
            <v>Gerència de Recursos</v>
          </cell>
          <cell r="G47" t="str">
            <v>Gerència de Recursos</v>
          </cell>
          <cell r="H47" t="str">
            <v>Gestió Econòmico-Financera</v>
          </cell>
          <cell r="I47" t="str">
            <v>RECURSOS</v>
          </cell>
          <cell r="J47" t="str">
            <v>RECURSOS I ALCALDIA</v>
          </cell>
        </row>
        <row r="48">
          <cell r="A48" t="str">
            <v>SER0047</v>
          </cell>
          <cell r="B48" t="str">
            <v>Manteniment i Neteja</v>
          </cell>
          <cell r="C48" t="str">
            <v>CASTRO MORAL, LLUIS</v>
          </cell>
          <cell r="D48" t="str">
            <v>SANTAMARIA PEREZ, GLORIA</v>
          </cell>
          <cell r="E48" t="str">
            <v>SANTAMARIA PEREZ, GLORIA</v>
          </cell>
          <cell r="F48" t="str">
            <v>Gerència de Recursos</v>
          </cell>
          <cell r="G48" t="str">
            <v>Gerència de Recursos</v>
          </cell>
          <cell r="H48" t="str">
            <v>Gestió Econòmico-Financera</v>
          </cell>
          <cell r="I48" t="str">
            <v>RECURSOS</v>
          </cell>
          <cell r="J48" t="str">
            <v>RECURSOS I ALCALDIA</v>
          </cell>
        </row>
        <row r="49">
          <cell r="A49" t="str">
            <v>SER0048</v>
          </cell>
          <cell r="B49" t="str">
            <v>Concesions</v>
          </cell>
          <cell r="C49" t="str">
            <v>RUBIO PARRA, ISABEL</v>
          </cell>
          <cell r="D49" t="str">
            <v>CASTRO MORAL, LLUIS</v>
          </cell>
          <cell r="E49" t="str">
            <v>TORTOLA FERNANDEZ, JOSE A.</v>
          </cell>
          <cell r="F49" t="str">
            <v>Gerència de Recursos</v>
          </cell>
          <cell r="G49" t="str">
            <v>Gerència de Presidència i Economia</v>
          </cell>
          <cell r="H49" t="str">
            <v>Gestió Econòmico-Financera</v>
          </cell>
          <cell r="I49" t="str">
            <v>PRESIDÈNCIA I ECONOMIA</v>
          </cell>
          <cell r="J49" t="str">
            <v>PRESIDÈNCIA I ECONOMIA</v>
          </cell>
        </row>
        <row r="50">
          <cell r="A50" t="str">
            <v>SER0049</v>
          </cell>
          <cell r="B50" t="str">
            <v>Nòmina SAP</v>
          </cell>
          <cell r="C50" t="str">
            <v>VARELA PINART, GEMMA</v>
          </cell>
          <cell r="D50" t="str">
            <v>PUY CASTELLS, JOSEP</v>
          </cell>
          <cell r="E50" t="str">
            <v>PUY CASTELLS, JOSEP</v>
          </cell>
          <cell r="F50" t="str">
            <v>Gerència de Recursos Humans i Organització</v>
          </cell>
          <cell r="G50" t="str">
            <v>Gerència de Recursos Humans i Organització</v>
          </cell>
          <cell r="H50" t="str">
            <v>Recursos Humans</v>
          </cell>
          <cell r="I50" t="str">
            <v>RRHH I ORGANITZACIÓ</v>
          </cell>
          <cell r="J50" t="str">
            <v>RRHH I ORGANITZACIÓ</v>
          </cell>
        </row>
        <row r="51">
          <cell r="A51" t="str">
            <v>SER0050</v>
          </cell>
          <cell r="B51" t="str">
            <v>Tramits Multiempresa (Notes)</v>
          </cell>
          <cell r="C51" t="str">
            <v>VARELA PINART, GEMMA</v>
          </cell>
          <cell r="D51" t="str">
            <v>PUY CASTELLS, JOSEP</v>
          </cell>
          <cell r="E51" t="str">
            <v>PUY CASTELLS, JOSEP</v>
          </cell>
          <cell r="F51" t="str">
            <v>Gerència de Recursos Humans i Organització</v>
          </cell>
          <cell r="G51" t="str">
            <v>Gerència de Recursos Humans i Organització</v>
          </cell>
          <cell r="H51" t="str">
            <v>Recursos Humans</v>
          </cell>
          <cell r="I51" t="str">
            <v>RRHH I ORGANITZACIÓ</v>
          </cell>
          <cell r="J51" t="str">
            <v>RRHH I ORGANITZACIÓ</v>
          </cell>
        </row>
        <row r="52">
          <cell r="A52" t="str">
            <v>SER0051</v>
          </cell>
          <cell r="B52" t="str">
            <v>Control de Presencia</v>
          </cell>
          <cell r="C52" t="str">
            <v>PUIG PONS, XAVIER</v>
          </cell>
          <cell r="D52" t="str">
            <v>PUY CASTELLS, JOSEP</v>
          </cell>
          <cell r="E52" t="str">
            <v>PUY CASTELLS, JOSEP</v>
          </cell>
          <cell r="F52" t="str">
            <v>Gerència de Recursos Humans i Organització</v>
          </cell>
          <cell r="G52" t="str">
            <v>Gerència de Recursos Humans i Organització</v>
          </cell>
          <cell r="H52" t="str">
            <v>Recursos Humans</v>
          </cell>
          <cell r="I52" t="str">
            <v>RRHH I ORGANITZACIÓ</v>
          </cell>
          <cell r="J52" t="str">
            <v>RRHH I ORGANITZACIÓ</v>
          </cell>
        </row>
        <row r="53">
          <cell r="A53" t="str">
            <v>SER0052</v>
          </cell>
          <cell r="B53" t="str">
            <v>Portal Empleat</v>
          </cell>
          <cell r="C53" t="str">
            <v>CAMA AZOZ, XAVIER</v>
          </cell>
          <cell r="D53" t="str">
            <v>PUY CASTELLS, JOSEP</v>
          </cell>
          <cell r="E53" t="str">
            <v>PUY CASTELLS, JOSEP</v>
          </cell>
          <cell r="F53" t="str">
            <v>Gerència de Recursos Humans i Organització</v>
          </cell>
          <cell r="G53" t="str">
            <v>Gerència de Recursos Humans i Organització</v>
          </cell>
          <cell r="H53" t="str">
            <v>Recursos Humans</v>
          </cell>
          <cell r="I53" t="str">
            <v>RRHH I ORGANITZACIÓ</v>
          </cell>
          <cell r="J53" t="str">
            <v>RRHH I ORGANITZACIÓ</v>
          </cell>
        </row>
        <row r="54">
          <cell r="A54" t="str">
            <v>SER0053</v>
          </cell>
          <cell r="B54" t="str">
            <v>Selecció de personal</v>
          </cell>
          <cell r="C54" t="str">
            <v>ILLAN ROURA, INES</v>
          </cell>
          <cell r="D54" t="str">
            <v>PUY CASTELLS, JOSEP</v>
          </cell>
          <cell r="E54" t="str">
            <v>PUY CASTELLS, JOSEP</v>
          </cell>
          <cell r="F54" t="str">
            <v>Gerència de Recursos Humans i Organització</v>
          </cell>
          <cell r="G54" t="str">
            <v>Gerència de Recursos Humans i Organització</v>
          </cell>
          <cell r="H54" t="str">
            <v>Recursos Humans</v>
          </cell>
          <cell r="I54" t="str">
            <v>RRHH I ORGANITZACIÓ</v>
          </cell>
          <cell r="J54" t="str">
            <v>RRHH I ORGANITZACIÓ</v>
          </cell>
        </row>
        <row r="55">
          <cell r="A55" t="str">
            <v>SER0054</v>
          </cell>
          <cell r="B55" t="str">
            <v>Organització i Administració de Personal</v>
          </cell>
          <cell r="C55" t="str">
            <v>PUY CASTELLS, JOSEP</v>
          </cell>
          <cell r="D55" t="str">
            <v>PUY CASTELLS, JOSEP</v>
          </cell>
          <cell r="E55" t="str">
            <v>PUY CASTELLS, JOSEP</v>
          </cell>
          <cell r="F55" t="str">
            <v>Gerència de Recursos Humans i Organització</v>
          </cell>
          <cell r="G55" t="str">
            <v>Gerència de Recursos Humans i Organització</v>
          </cell>
          <cell r="H55" t="str">
            <v>Recursos Humans</v>
          </cell>
          <cell r="I55" t="str">
            <v>RRHH I ORGANITZACIÓ</v>
          </cell>
          <cell r="J55" t="str">
            <v>RRHH I ORGANITZACIÓ</v>
          </cell>
        </row>
        <row r="56">
          <cell r="A56" t="str">
            <v>SER0055</v>
          </cell>
          <cell r="B56" t="str">
            <v>Desenvolupament de personal</v>
          </cell>
          <cell r="C56" t="str">
            <v>CAMA AZOZ, XAVIER</v>
          </cell>
          <cell r="D56" t="str">
            <v>PUY CASTELLS, JOSEP</v>
          </cell>
          <cell r="E56" t="str">
            <v>PUY CASTELLS, JOSEP</v>
          </cell>
          <cell r="F56" t="str">
            <v>Gerència de Recursos Humans i Organització</v>
          </cell>
          <cell r="G56" t="str">
            <v>Gerència de Recursos Humans i Organització</v>
          </cell>
          <cell r="H56" t="str">
            <v>Recursos Humans</v>
          </cell>
          <cell r="I56" t="str">
            <v>RRHH I ORGANITZACIÓ</v>
          </cell>
          <cell r="J56" t="str">
            <v>RRHH I ORGANITZACIÓ</v>
          </cell>
        </row>
        <row r="57">
          <cell r="A57" t="str">
            <v>SER0056</v>
          </cell>
          <cell r="B57" t="str">
            <v>Notaris</v>
          </cell>
          <cell r="C57" t="str">
            <v>FARRE ALBENDEA, JOAN M.</v>
          </cell>
          <cell r="D57" t="str">
            <v>SERRA FERRANDO, MARTA</v>
          </cell>
          <cell r="E57" t="str">
            <v>SERRA FERRANDO, MARTA</v>
          </cell>
          <cell r="F57" t="str">
            <v>Institut Municipal d'Hisenda de Barcelona</v>
          </cell>
          <cell r="G57" t="str">
            <v>Institut Municipal d'Hisenda de Barcelona</v>
          </cell>
          <cell r="H57" t="str">
            <v>Gestió Tributs i Recaptació (Hisenda)</v>
          </cell>
          <cell r="I57" t="str">
            <v>IMH</v>
          </cell>
          <cell r="J57" t="str">
            <v>IMH</v>
          </cell>
        </row>
        <row r="58">
          <cell r="A58" t="str">
            <v>SER0057</v>
          </cell>
          <cell r="B58" t="str">
            <v>Tributs vehicles</v>
          </cell>
          <cell r="C58" t="str">
            <v>TENES MASCORDA, JOAN</v>
          </cell>
          <cell r="D58" t="str">
            <v>SERRA FERRANDO, MARTA</v>
          </cell>
          <cell r="E58" t="str">
            <v>SERRA FERRANDO, MARTA</v>
          </cell>
          <cell r="F58" t="str">
            <v>Institut Municipal d'Hisenda de Barcelona</v>
          </cell>
          <cell r="G58" t="str">
            <v>Institut Municipal d'Hisenda de Barcelona</v>
          </cell>
          <cell r="H58" t="str">
            <v>Gestió Tributs i Recaptació (Hisenda)</v>
          </cell>
          <cell r="I58" t="str">
            <v>IMH</v>
          </cell>
          <cell r="J58" t="str">
            <v>IMH</v>
          </cell>
        </row>
        <row r="59">
          <cell r="A59" t="str">
            <v>SER0058</v>
          </cell>
          <cell r="B59" t="str">
            <v>Tributs IBI i Cadastre</v>
          </cell>
          <cell r="C59" t="str">
            <v>MIER DE TERAN PAYRO, CARMEN</v>
          </cell>
          <cell r="D59" t="str">
            <v>SERRA FERRANDO, MARTA</v>
          </cell>
          <cell r="E59" t="str">
            <v>SERRA FERRANDO, MARTA</v>
          </cell>
          <cell r="F59" t="str">
            <v>Institut Municipal d'Hisenda de Barcelona</v>
          </cell>
          <cell r="G59" t="str">
            <v>Institut Municipal d'Hisenda de Barcelona</v>
          </cell>
          <cell r="H59" t="str">
            <v>Gestió Tributs i Recaptació (Hisenda)</v>
          </cell>
          <cell r="I59" t="str">
            <v>IMH</v>
          </cell>
          <cell r="J59" t="str">
            <v>IMH</v>
          </cell>
        </row>
        <row r="60">
          <cell r="A60" t="str">
            <v>SER0059</v>
          </cell>
          <cell r="B60" t="str">
            <v>Tributs Plusvàlues</v>
          </cell>
          <cell r="C60" t="str">
            <v>MIER DE TERAN PAYRO, CARMEN</v>
          </cell>
          <cell r="D60" t="str">
            <v>SERRA FERRANDO, MARTA</v>
          </cell>
          <cell r="E60" t="str">
            <v>SERRA FERRANDO, MARTA</v>
          </cell>
          <cell r="F60" t="str">
            <v>Institut Municipal d'Hisenda de Barcelona</v>
          </cell>
          <cell r="G60" t="str">
            <v>Institut Municipal d'Hisenda de Barcelona</v>
          </cell>
          <cell r="H60" t="str">
            <v>Gestió Tributs i Recaptació (Hisenda)</v>
          </cell>
          <cell r="I60" t="str">
            <v>IMH</v>
          </cell>
          <cell r="J60" t="str">
            <v>IMH</v>
          </cell>
        </row>
        <row r="61">
          <cell r="A61" t="str">
            <v>SER0060</v>
          </cell>
          <cell r="B61" t="str">
            <v>Tributs IAE</v>
          </cell>
          <cell r="C61" t="str">
            <v>NIVELA ALOS, CONXITA</v>
          </cell>
          <cell r="D61" t="str">
            <v>SERRA FERRANDO, MARTA</v>
          </cell>
          <cell r="E61" t="str">
            <v>SERRA FERRANDO, MARTA</v>
          </cell>
          <cell r="F61" t="str">
            <v>Institut Municipal d'Hisenda de Barcelona</v>
          </cell>
          <cell r="G61" t="str">
            <v>Institut Municipal d'Hisenda de Barcelona</v>
          </cell>
          <cell r="H61" t="str">
            <v>Gestió Tributs i Recaptació (Hisenda)</v>
          </cell>
          <cell r="I61" t="str">
            <v>IMH</v>
          </cell>
          <cell r="J61" t="str">
            <v>IMH</v>
          </cell>
        </row>
        <row r="62">
          <cell r="A62" t="str">
            <v>SER0061</v>
          </cell>
          <cell r="B62" t="str">
            <v>Tributs Residus</v>
          </cell>
          <cell r="C62" t="str">
            <v>NIVELA ALOS, CONXITA</v>
          </cell>
          <cell r="D62" t="str">
            <v>SERRA FERRANDO, MARTA</v>
          </cell>
          <cell r="E62" t="str">
            <v>SERRA FERRANDO, MARTA</v>
          </cell>
          <cell r="F62" t="str">
            <v>Institut Municipal d'Hisenda de Barcelona</v>
          </cell>
          <cell r="G62" t="str">
            <v>Institut Municipal d'Hisenda de Barcelona</v>
          </cell>
          <cell r="H62" t="str">
            <v>Gestió Tributs i Recaptació (Hisenda)</v>
          </cell>
          <cell r="I62" t="str">
            <v>IMH</v>
          </cell>
          <cell r="J62" t="str">
            <v>IMH</v>
          </cell>
        </row>
        <row r="63">
          <cell r="A63" t="str">
            <v>SER0062</v>
          </cell>
          <cell r="B63" t="str">
            <v>Tributs Guals i vetlladors (Padró)</v>
          </cell>
          <cell r="C63" t="str">
            <v>SOLDEVILA GUELL, JOSEP</v>
          </cell>
          <cell r="D63" t="str">
            <v>SERRA FERRANDO, MARTA</v>
          </cell>
          <cell r="E63" t="str">
            <v>SERRA FERRANDO, MARTA</v>
          </cell>
          <cell r="F63" t="str">
            <v>Institut Municipal d'Hisenda de Barcelona</v>
          </cell>
          <cell r="G63" t="str">
            <v>Institut Municipal d'Hisenda de Barcelona</v>
          </cell>
          <cell r="H63" t="str">
            <v>Gestió Tributs i Recaptació (Hisenda)</v>
          </cell>
          <cell r="I63" t="str">
            <v>IMH</v>
          </cell>
          <cell r="J63" t="str">
            <v>IMH</v>
          </cell>
        </row>
        <row r="64">
          <cell r="A64" t="str">
            <v>SER0063</v>
          </cell>
          <cell r="B64" t="str">
            <v>Contribuent</v>
          </cell>
          <cell r="C64" t="str">
            <v>ANTON SANTOS, JOSEP LLUI</v>
          </cell>
          <cell r="D64" t="str">
            <v>SERRA FERRANDO, MARTA</v>
          </cell>
          <cell r="E64" t="str">
            <v>SERRA FERRANDO, MARTA</v>
          </cell>
          <cell r="F64" t="str">
            <v>Institut Municipal d'Hisenda de Barcelona</v>
          </cell>
          <cell r="G64" t="str">
            <v>Institut Municipal d'Hisenda de Barcelona</v>
          </cell>
          <cell r="H64" t="str">
            <v>Gestió Tributs i Recaptació (Hisenda)</v>
          </cell>
          <cell r="I64" t="str">
            <v>IMH</v>
          </cell>
          <cell r="J64" t="str">
            <v>IMH</v>
          </cell>
        </row>
        <row r="65">
          <cell r="A65" t="str">
            <v>SER0064</v>
          </cell>
          <cell r="B65" t="str">
            <v>Recaptació</v>
          </cell>
          <cell r="C65" t="str">
            <v>MARCE PUJOL, ALEXANDRE</v>
          </cell>
          <cell r="D65" t="str">
            <v>SERRA FERRANDO, MARTA</v>
          </cell>
          <cell r="E65" t="str">
            <v>SERRA FERRANDO, MARTA</v>
          </cell>
          <cell r="F65" t="str">
            <v>Institut Municipal d'Hisenda de Barcelona</v>
          </cell>
          <cell r="G65" t="str">
            <v>Institut Municipal d'Hisenda de Barcelona</v>
          </cell>
          <cell r="H65" t="str">
            <v>Gestió Tributs i Recaptació (Hisenda)</v>
          </cell>
          <cell r="I65" t="str">
            <v>IMH</v>
          </cell>
          <cell r="J65" t="str">
            <v>IMH</v>
          </cell>
        </row>
        <row r="66">
          <cell r="A66" t="str">
            <v>SER0065</v>
          </cell>
          <cell r="B66" t="str">
            <v>Passarel·la de pagament</v>
          </cell>
          <cell r="C66" t="str">
            <v>FARRE ALBENDEA, JOAN M.</v>
          </cell>
          <cell r="D66" t="str">
            <v>TRIAS JUNCOSA, JAUME</v>
          </cell>
          <cell r="E66" t="str">
            <v>TRIAS JUNCOSA, JAUME</v>
          </cell>
          <cell r="F66" t="str">
            <v>Institut Municipal d'Hisenda de Barcelona</v>
          </cell>
          <cell r="G66" t="str">
            <v>Institut Municipal d'Hisenda de Barcelona</v>
          </cell>
          <cell r="H66" t="str">
            <v>Atenció al Ciutadà</v>
          </cell>
          <cell r="I66" t="str">
            <v>SERVEIS COMUNS ADMINISTRACIÓ ELECTRÓNICA</v>
          </cell>
          <cell r="J66" t="str">
            <v>TRAMITACIÓ, PORTAL I CARPETES</v>
          </cell>
        </row>
        <row r="67">
          <cell r="A67" t="str">
            <v>SER0066</v>
          </cell>
          <cell r="B67" t="str">
            <v>Inspeccions, Liquidacions, autoliquidacions i facturació</v>
          </cell>
          <cell r="C67" t="str">
            <v>FARRE ALBENDEA, JOAN M.</v>
          </cell>
          <cell r="D67" t="str">
            <v>SERRA FERRANDO, MARTA</v>
          </cell>
          <cell r="E67" t="str">
            <v>SERRA FERRANDO, MARTA</v>
          </cell>
          <cell r="F67" t="str">
            <v>Institut Municipal d'Hisenda de Barcelona</v>
          </cell>
          <cell r="G67" t="str">
            <v>Institut Municipal d'Hisenda de Barcelona</v>
          </cell>
          <cell r="H67" t="str">
            <v>Gestió Tributs i Recaptació (Hisenda)</v>
          </cell>
          <cell r="I67" t="str">
            <v>IMH</v>
          </cell>
          <cell r="J67" t="str">
            <v>IMH</v>
          </cell>
        </row>
        <row r="68">
          <cell r="A68" t="str">
            <v>SER0067</v>
          </cell>
          <cell r="B68" t="str">
            <v>Embargaments</v>
          </cell>
          <cell r="C68" t="str">
            <v>GOMEZ VILLADANGOS, JOSE</v>
          </cell>
          <cell r="D68" t="str">
            <v>SERRA FERRANDO, MARTA</v>
          </cell>
          <cell r="E68" t="str">
            <v>SERRA FERRANDO, MARTA</v>
          </cell>
          <cell r="F68" t="str">
            <v>Institut Municipal d'Hisenda de Barcelona</v>
          </cell>
          <cell r="G68" t="str">
            <v>Institut Municipal d'Hisenda de Barcelona</v>
          </cell>
          <cell r="H68" t="str">
            <v>Gestió Tributs i Recaptació (Hisenda)</v>
          </cell>
          <cell r="I68" t="str">
            <v>IMH</v>
          </cell>
          <cell r="J68" t="str">
            <v>IMH</v>
          </cell>
        </row>
        <row r="69">
          <cell r="A69" t="str">
            <v>SER0068</v>
          </cell>
          <cell r="B69" t="str">
            <v>Gestió Sancions</v>
          </cell>
          <cell r="C69" t="str">
            <v>ALEMANY SERRA, FRANCESC</v>
          </cell>
          <cell r="D69" t="str">
            <v>SERRA FERRANDO, MARTA</v>
          </cell>
          <cell r="E69" t="str">
            <v>SERRA FERRANDO, MARTA</v>
          </cell>
          <cell r="F69" t="str">
            <v>Institut Municipal d'Hisenda de Barcelona</v>
          </cell>
          <cell r="G69" t="str">
            <v>Institut Municipal d'Hisenda de Barcelona</v>
          </cell>
          <cell r="H69" t="str">
            <v>Gestió Tributs i Recaptació (Hisenda)</v>
          </cell>
          <cell r="I69" t="str">
            <v>IMH</v>
          </cell>
          <cell r="J69" t="str">
            <v>IMH</v>
          </cell>
        </row>
        <row r="70">
          <cell r="A70" t="str">
            <v>SER0069</v>
          </cell>
          <cell r="B70" t="str">
            <v>Arxiu d'imatges digitalitzades</v>
          </cell>
          <cell r="C70" t="str">
            <v>RIBAS IBAÑEZ, FRANCESC</v>
          </cell>
          <cell r="D70" t="str">
            <v>SERRA FERRANDO, MARTA</v>
          </cell>
          <cell r="E70" t="str">
            <v>SERRA FERRANDO, MARTA</v>
          </cell>
          <cell r="F70" t="str">
            <v>Institut Municipal d'Hisenda de Barcelona</v>
          </cell>
          <cell r="G70" t="str">
            <v>Institut Municipal d'Hisenda de Barcelona</v>
          </cell>
          <cell r="H70" t="str">
            <v>Gestió Tributs i Recaptació (Hisenda)</v>
          </cell>
          <cell r="I70" t="str">
            <v>IMH</v>
          </cell>
          <cell r="J70" t="str">
            <v>IMH</v>
          </cell>
        </row>
        <row r="71">
          <cell r="A71" t="str">
            <v>SER0070</v>
          </cell>
          <cell r="B71" t="str">
            <v>Notificacions electróniques</v>
          </cell>
          <cell r="C71" t="str">
            <v>ALEMANY SERRA, FRANCESC</v>
          </cell>
          <cell r="D71" t="str">
            <v>TRIAS JUNCOSA, JAUME</v>
          </cell>
          <cell r="E71" t="str">
            <v>TRIAS JUNCOSA, JAUME</v>
          </cell>
          <cell r="F71" t="str">
            <v>Institut Municipal d'Hisenda de Barcelona</v>
          </cell>
          <cell r="G71" t="str">
            <v>Institut Municipal d'Hisenda de Barcelona</v>
          </cell>
          <cell r="H71" t="str">
            <v>Atenció al Ciutadà</v>
          </cell>
          <cell r="I71" t="str">
            <v>SERVEIS COMUNS ADMINISTRACIÓ ELECTRÓNICA</v>
          </cell>
          <cell r="J71" t="str">
            <v>TRAMITACIÓ, PORTAL I CARPETES</v>
          </cell>
        </row>
        <row r="72">
          <cell r="A72" t="str">
            <v>SER0071</v>
          </cell>
          <cell r="B72" t="str">
            <v>Aplicatiu PDA GUB</v>
          </cell>
          <cell r="C72" t="str">
            <v>LARA ARANA, NURIA</v>
          </cell>
          <cell r="D72" t="str">
            <v>TORTOLA FERNANDEZ, JOSE A.</v>
          </cell>
          <cell r="E72" t="str">
            <v>CLOTET CIRUELO, JOSEP</v>
          </cell>
          <cell r="F72" t="str">
            <v>Gerència de Prevenció, Seguretat i Mobilitat</v>
          </cell>
          <cell r="G72" t="str">
            <v>Gerència de Seguretat i Prevenció</v>
          </cell>
          <cell r="H72" t="str">
            <v>Espai Urbà</v>
          </cell>
          <cell r="I72" t="str">
            <v>SEGURETAT I PREVENCIÓ</v>
          </cell>
          <cell r="J72" t="str">
            <v>SEGURETAT I PREVENCIÓ</v>
          </cell>
        </row>
        <row r="73">
          <cell r="A73" t="str">
            <v>SER0072</v>
          </cell>
          <cell r="B73" t="str">
            <v>Oficines d'Habitatge</v>
          </cell>
          <cell r="C73">
            <v>0</v>
          </cell>
          <cell r="D73" t="str">
            <v>TORTOLA FERNANDEZ, JOSE A.</v>
          </cell>
          <cell r="E73" t="str">
            <v>JIMENEZ ORANTES, PACO</v>
          </cell>
          <cell r="F73" t="str">
            <v>Gerència d'Hàbitat Urbà</v>
          </cell>
          <cell r="G73" t="str">
            <v>Gerència de Drets Socials</v>
          </cell>
          <cell r="H73" t="str">
            <v>Espai Urbà</v>
          </cell>
          <cell r="I73" t="str">
            <v>ECOLOGIA URBANA. URBANISME</v>
          </cell>
          <cell r="J73" t="str">
            <v>ECOLOGIA URBANA. URBANISME</v>
          </cell>
        </row>
        <row r="74">
          <cell r="A74" t="str">
            <v>SER0073</v>
          </cell>
          <cell r="B74" t="str">
            <v>Inspeccions</v>
          </cell>
          <cell r="C74" t="str">
            <v>SOLA PUY, ALFRED</v>
          </cell>
          <cell r="D74" t="str">
            <v>TORTOLA FERNANDEZ, JOSE A.</v>
          </cell>
          <cell r="E74" t="str">
            <v>GUILLEN BELLIDO, JOSÉ MIGUEL</v>
          </cell>
          <cell r="F74" t="str">
            <v>Gerència d'Hàbitat Urbà</v>
          </cell>
          <cell r="G74" t="str">
            <v>Gerència Ecologia Urbana</v>
          </cell>
          <cell r="H74" t="str">
            <v>Espai Urbà</v>
          </cell>
          <cell r="I74" t="str">
            <v>ECOLOGIA URBANA. URBANISME</v>
          </cell>
          <cell r="J74" t="str">
            <v>ECOLOGIA URBANA. URBANISME</v>
          </cell>
        </row>
        <row r="75">
          <cell r="A75" t="str">
            <v>SER0074</v>
          </cell>
          <cell r="B75" t="str">
            <v>Expedient Electrònic - OEP - GUB</v>
          </cell>
          <cell r="C75" t="str">
            <v>Arias Lopez, Laura</v>
          </cell>
          <cell r="D75" t="str">
            <v>TORTOLA FERNANDEZ, JOSE A.</v>
          </cell>
          <cell r="E75" t="str">
            <v>CLOTET CIRUELO, JOSEP</v>
          </cell>
          <cell r="F75" t="str">
            <v>Gerència de Prevenció, Seguretat i Mobilitat</v>
          </cell>
          <cell r="G75" t="str">
            <v>Gerència de Seguretat i Prevenció</v>
          </cell>
          <cell r="H75" t="str">
            <v>Espai Urbà</v>
          </cell>
          <cell r="I75" t="str">
            <v>SEGURETAT I PREVENCIÓ</v>
          </cell>
          <cell r="J75" t="str">
            <v>SEGURETAT I PREVENCIÓ</v>
          </cell>
        </row>
        <row r="76">
          <cell r="A76" t="str">
            <v>SER0075</v>
          </cell>
          <cell r="B76" t="str">
            <v>Expedient Electrònic - Obres</v>
          </cell>
          <cell r="C76" t="str">
            <v>SOLA PUY, ALFRED</v>
          </cell>
          <cell r="D76" t="str">
            <v>TORTOLA FERNANDEZ, JOSE A.</v>
          </cell>
          <cell r="E76" t="str">
            <v>GUILLEN BELLIDO, JOSÉ MIGUEL</v>
          </cell>
          <cell r="F76" t="str">
            <v>Gerència d'Hàbitat Urbà</v>
          </cell>
          <cell r="G76" t="str">
            <v>Gerència Ecologia Urbana</v>
          </cell>
          <cell r="H76" t="str">
            <v>Espai Urbà</v>
          </cell>
          <cell r="I76" t="str">
            <v>ECOLOGIA URBANA. URBANISME</v>
          </cell>
          <cell r="J76" t="str">
            <v>ECOLOGIA URBANA. URBANISME</v>
          </cell>
        </row>
        <row r="77">
          <cell r="A77" t="str">
            <v>SER0076</v>
          </cell>
          <cell r="B77" t="str">
            <v>Gestió Accidents de la GUB</v>
          </cell>
          <cell r="C77" t="str">
            <v>VALDIVIELSO POZA, YOLANDA</v>
          </cell>
          <cell r="D77" t="str">
            <v>TORTOLA FERNANDEZ, JOSE A.</v>
          </cell>
          <cell r="E77" t="str">
            <v>CLOTET CIRUELO, JOSEP</v>
          </cell>
          <cell r="F77" t="str">
            <v>Gerència de Prevenció, Seguretat i Mobilitat</v>
          </cell>
          <cell r="G77" t="str">
            <v>Gerència de Seguretat i Prevenció</v>
          </cell>
          <cell r="H77" t="str">
            <v>Espai Urbà</v>
          </cell>
          <cell r="I77" t="str">
            <v>SEGURETAT I PREVENCIÓ</v>
          </cell>
          <cell r="J77" t="str">
            <v>SEGURETAT I PREVENCIÓ</v>
          </cell>
        </row>
        <row r="78">
          <cell r="A78" t="str">
            <v>SER0077</v>
          </cell>
          <cell r="B78" t="str">
            <v>Mapa d'Ocupació de la Via Pública</v>
          </cell>
          <cell r="C78" t="str">
            <v>VALDIVIELSO POZA, YOLANDA</v>
          </cell>
          <cell r="D78" t="str">
            <v>TORTOLA FERNANDEZ, JOSE A.</v>
          </cell>
          <cell r="E78" t="str">
            <v>CLOTET CIRUELO, JOSEP</v>
          </cell>
          <cell r="F78" t="str">
            <v>Gerència de Prevenció, Seguretat i Mobilitat</v>
          </cell>
          <cell r="G78" t="str">
            <v>Gerència Ecologia Urbana</v>
          </cell>
          <cell r="H78" t="str">
            <v>Espai Urbà</v>
          </cell>
          <cell r="I78" t="str">
            <v>ECOLOGIA URBANA. URBANISME</v>
          </cell>
          <cell r="J78" t="str">
            <v>ECOLOGIA URBANA. URBANISME</v>
          </cell>
        </row>
        <row r="79">
          <cell r="A79" t="str">
            <v>SER0078</v>
          </cell>
          <cell r="B79" t="str">
            <v>Aparcament Àrea Verda</v>
          </cell>
          <cell r="C79" t="str">
            <v>VENTURA AIXA, INMACULADA</v>
          </cell>
          <cell r="D79" t="str">
            <v>TORTOLA FERNANDEZ, JOSE A.</v>
          </cell>
          <cell r="E79" t="str">
            <v>CLOTET CIRUELO, JOSEP</v>
          </cell>
          <cell r="F79" t="str">
            <v>Gerència de Prevenció, Seguretat i Mobilitat</v>
          </cell>
          <cell r="G79" t="str">
            <v>Gerència de Seguretat i Prevenció</v>
          </cell>
          <cell r="H79" t="str">
            <v>Espai Urbà</v>
          </cell>
          <cell r="I79" t="str">
            <v>ECOLOGIA URBANA. MOBILITAT I INFRASTRUCTURES</v>
          </cell>
          <cell r="J79" t="str">
            <v>ECOLOGIA URBANA. MOBILITAT I INFRASTRUCTURES</v>
          </cell>
        </row>
        <row r="80">
          <cell r="A80" t="str">
            <v>SER0079</v>
          </cell>
          <cell r="B80" t="str">
            <v>Gestió de personal de la GUB</v>
          </cell>
          <cell r="C80" t="str">
            <v>RAMIS JUAN, MONTSERRAT</v>
          </cell>
          <cell r="D80" t="str">
            <v>TORTOLA FERNANDEZ, JOSE A.</v>
          </cell>
          <cell r="E80" t="str">
            <v>CLOTET CIRUELO, JOSEP</v>
          </cell>
          <cell r="F80" t="str">
            <v>Gerència de Prevenció, Seguretat i Mobilitat</v>
          </cell>
          <cell r="G80" t="str">
            <v>Gerència de Seguretat i Prevenció</v>
          </cell>
          <cell r="H80" t="str">
            <v>Espai Urbà</v>
          </cell>
          <cell r="I80" t="str">
            <v>SEGURETAT I PREVENCIÓ</v>
          </cell>
          <cell r="J80" t="str">
            <v>SEGURETAT I PREVENCIÓ</v>
          </cell>
        </row>
        <row r="81">
          <cell r="A81" t="str">
            <v>SER0080</v>
          </cell>
          <cell r="B81" t="str">
            <v>Gestió de les sancions de trànsit de la GUB (Galileo)</v>
          </cell>
          <cell r="C81" t="str">
            <v>ALVAREZ ALVAREZ, M. AMELIA</v>
          </cell>
          <cell r="D81" t="str">
            <v>TORTOLA FERNANDEZ, JOSE A.</v>
          </cell>
          <cell r="E81" t="str">
            <v>CLOTET CIRUELO, JOSEP</v>
          </cell>
          <cell r="F81" t="str">
            <v>Gerència de Prevenció, Seguretat i Mobilitat</v>
          </cell>
          <cell r="G81" t="str">
            <v>Gerència de Seguretat i Prevenció</v>
          </cell>
          <cell r="H81" t="str">
            <v>Espai Urbà</v>
          </cell>
          <cell r="I81" t="str">
            <v>SEGURETAT I PREVENCIÓ</v>
          </cell>
          <cell r="J81" t="str">
            <v>SEGURETAT I PREVENCIÓ</v>
          </cell>
        </row>
        <row r="82">
          <cell r="A82" t="str">
            <v>SER0081</v>
          </cell>
          <cell r="B82" t="str">
            <v>Emergències a la Via Pública</v>
          </cell>
          <cell r="C82" t="str">
            <v>LOSADA TELLO, MANUEL DE</v>
          </cell>
          <cell r="D82" t="str">
            <v>TORTOLA FERNANDEZ, JOSE A.</v>
          </cell>
          <cell r="E82" t="str">
            <v>CLOTET CIRUELO, JOSEP</v>
          </cell>
          <cell r="F82" t="str">
            <v>Gerència de Prevenció, Seguretat i Mobilitat</v>
          </cell>
          <cell r="G82" t="str">
            <v>Gerència de Seguretat i Prevenció</v>
          </cell>
          <cell r="H82" t="str">
            <v>Espai Urbà</v>
          </cell>
          <cell r="I82" t="str">
            <v>SEGURETAT I PREVENCIÓ</v>
          </cell>
          <cell r="J82" t="str">
            <v>SEGURETAT I PREVENCIÓ</v>
          </cell>
        </row>
        <row r="83">
          <cell r="A83" t="str">
            <v>SER0082</v>
          </cell>
          <cell r="B83" t="str">
            <v>Transports Especials</v>
          </cell>
          <cell r="C83" t="str">
            <v>GARCIA GONZALEZ, JOSEP</v>
          </cell>
          <cell r="D83" t="str">
            <v>TORTOLA FERNANDEZ, JOSE A.</v>
          </cell>
          <cell r="E83" t="str">
            <v>CLOTET CIRUELO, JOSEP</v>
          </cell>
          <cell r="F83" t="str">
            <v>Gerència de Prevenció, Seguretat i Mobilitat</v>
          </cell>
          <cell r="G83" t="str">
            <v>Gerència de Seguretat i Prevenció</v>
          </cell>
          <cell r="H83" t="str">
            <v>Espai Urbà</v>
          </cell>
          <cell r="I83" t="str">
            <v>SEGURETAT I PREVENCIÓ</v>
          </cell>
          <cell r="J83" t="str">
            <v>SEGURETAT I PREVENCIÓ</v>
          </cell>
        </row>
        <row r="84">
          <cell r="A84" t="str">
            <v>SER0083</v>
          </cell>
          <cell r="B84" t="e">
            <v>#N/A</v>
          </cell>
          <cell r="C84" t="str">
            <v>MARCH COROMINAS, MERCEDES</v>
          </cell>
          <cell r="D84" t="str">
            <v>TORTOLA FERNANDEZ, JOSE A.</v>
          </cell>
          <cell r="E84" t="e">
            <v>#N/A</v>
          </cell>
          <cell r="F84" t="str">
            <v>Gerència de Recursos</v>
          </cell>
          <cell r="G84" t="e">
            <v>#N/A</v>
          </cell>
          <cell r="H84" t="str">
            <v>Espai Urbà</v>
          </cell>
          <cell r="I84" t="e">
            <v>#N/A</v>
          </cell>
          <cell r="J84" t="str">
            <v>ECOLOGIA URBANA. URBANISME</v>
          </cell>
        </row>
        <row r="85">
          <cell r="A85" t="str">
            <v>SER0084</v>
          </cell>
          <cell r="B85" t="str">
            <v>Paisatge Urbà i Publicitat</v>
          </cell>
          <cell r="C85" t="str">
            <v>SOLA PUY, ALFRED</v>
          </cell>
          <cell r="D85" t="str">
            <v>TORTOLA FERNANDEZ, JOSE A.</v>
          </cell>
          <cell r="E85" t="str">
            <v>GUILLEN BELLIDO, JOSÉ MIGUEL</v>
          </cell>
          <cell r="F85" t="str">
            <v>Gerència d'Hàbitat Urbà</v>
          </cell>
          <cell r="G85" t="str">
            <v>Gerència Ecologia Urbana</v>
          </cell>
          <cell r="H85" t="str">
            <v>Espai Urbà</v>
          </cell>
          <cell r="I85" t="str">
            <v>ECOLOGIA URBANA. URBANISME</v>
          </cell>
          <cell r="J85" t="str">
            <v>ECOLOGIA URBANA. URBANISME</v>
          </cell>
        </row>
        <row r="86">
          <cell r="A86" t="str">
            <v>SER0085</v>
          </cell>
          <cell r="B86" t="str">
            <v>Natura Aigua</v>
          </cell>
          <cell r="C86" t="str">
            <v>Otero Escribano, Fernando</v>
          </cell>
          <cell r="D86" t="str">
            <v>TORTOLA FERNANDEZ, JOSE A.</v>
          </cell>
          <cell r="E86" t="str">
            <v>CIRERA GONZALEZ, JORDI</v>
          </cell>
          <cell r="F86" t="str">
            <v>Gerència d'Hàbitat Urbà</v>
          </cell>
          <cell r="G86" t="str">
            <v>Gerència Ecologia Urbana</v>
          </cell>
          <cell r="H86" t="str">
            <v>Espai Urbà</v>
          </cell>
          <cell r="I86" t="str">
            <v>ECOLOGIA URBANA. MEDI AMBIENT I SERVEIS URBANS</v>
          </cell>
          <cell r="J86" t="str">
            <v>ECOLOGIA URBANA. MEDI AMBIENT I SERVEIS URBANS</v>
          </cell>
        </row>
        <row r="87">
          <cell r="A87" t="str">
            <v>SER0086</v>
          </cell>
          <cell r="B87" t="str">
            <v>Natura Espais Verds</v>
          </cell>
          <cell r="C87" t="str">
            <v>Otero Escribano, Fernando</v>
          </cell>
          <cell r="D87" t="str">
            <v>TORTOLA FERNANDEZ, JOSE A.</v>
          </cell>
          <cell r="E87" t="str">
            <v>CIRERA GONZALEZ, JORDI</v>
          </cell>
          <cell r="F87" t="str">
            <v>Gerència d'Hàbitat Urbà</v>
          </cell>
          <cell r="G87" t="str">
            <v>Gerència Ecologia Urbana</v>
          </cell>
          <cell r="H87" t="str">
            <v>Espai Urbà</v>
          </cell>
          <cell r="I87" t="str">
            <v>ECOLOGIA URBANA. MEDI AMBIENT I SERVEIS URBANS</v>
          </cell>
          <cell r="J87" t="str">
            <v>ECOLOGIA URBANA. MEDI AMBIENT I SERVEIS URBANS</v>
          </cell>
        </row>
        <row r="88">
          <cell r="A88" t="str">
            <v>SER0087</v>
          </cell>
          <cell r="B88" t="str">
            <v>Natura Neteja</v>
          </cell>
          <cell r="C88" t="str">
            <v>Otero Escribano, Fernando</v>
          </cell>
          <cell r="D88" t="str">
            <v>TORTOLA FERNANDEZ, JOSE A.</v>
          </cell>
          <cell r="E88" t="str">
            <v>CIRERA GONZALEZ, JORDI</v>
          </cell>
          <cell r="F88" t="str">
            <v>Gerència d'Hàbitat Urbà</v>
          </cell>
          <cell r="G88" t="str">
            <v>Gerència Ecologia Urbana</v>
          </cell>
          <cell r="H88" t="str">
            <v>Espai Urbà</v>
          </cell>
          <cell r="I88" t="str">
            <v>ECOLOGIA URBANA. MEDI AMBIENT I SERVEIS URBANS</v>
          </cell>
          <cell r="J88" t="str">
            <v>ECOLOGIA URBANA. MEDI AMBIENT I SERVEIS URBANS</v>
          </cell>
        </row>
        <row r="89">
          <cell r="A89" t="str">
            <v>SER0088</v>
          </cell>
          <cell r="B89" t="str">
            <v>Natura Norma Granada</v>
          </cell>
          <cell r="C89" t="str">
            <v>Otero Escribano, Fernando</v>
          </cell>
          <cell r="D89" t="str">
            <v>TORTOLA FERNANDEZ, JOSE A.</v>
          </cell>
          <cell r="E89" t="str">
            <v>CIRERA GONZALEZ, JORDI</v>
          </cell>
          <cell r="F89" t="str">
            <v>Gerència d'Hàbitat Urbà</v>
          </cell>
          <cell r="G89" t="str">
            <v>Gerència Ecologia Urbana</v>
          </cell>
          <cell r="H89" t="str">
            <v>Espai Urbà</v>
          </cell>
          <cell r="I89" t="str">
            <v>ECOLOGIA URBANA. MEDI AMBIENT I SERVEIS URBANS</v>
          </cell>
          <cell r="J89" t="str">
            <v>ECOLOGIA URBANA. MEDI AMBIENT I SERVEIS URBANS</v>
          </cell>
        </row>
        <row r="90">
          <cell r="A90" t="str">
            <v>SER0089</v>
          </cell>
          <cell r="B90" t="str">
            <v>Gestió Pavimentació (Pavinform)</v>
          </cell>
          <cell r="C90" t="str">
            <v>Otero Escribano, Fernando</v>
          </cell>
          <cell r="D90" t="str">
            <v>TORTOLA FERNANDEZ, JOSE A.</v>
          </cell>
          <cell r="E90" t="str">
            <v>ORTUÑO RIBE, JORDI</v>
          </cell>
          <cell r="F90" t="str">
            <v>Gerència d'Hàbitat Urbà</v>
          </cell>
          <cell r="G90" t="str">
            <v>Gerència Ecologia Urbana</v>
          </cell>
          <cell r="H90" t="str">
            <v>Espai Urbà</v>
          </cell>
          <cell r="I90" t="str">
            <v>ECOLOGIA URBANA. MOBILITAT I INFRASTRUCTURES</v>
          </cell>
          <cell r="J90" t="str">
            <v>ECOLOGIA URBANA. MEDI AMBIENT I SERVEIS URBANS</v>
          </cell>
        </row>
        <row r="91">
          <cell r="A91" t="str">
            <v>SER0090</v>
          </cell>
          <cell r="B91" t="str">
            <v>Natura Inversions</v>
          </cell>
          <cell r="C91" t="str">
            <v>Otero Escribano, Fernando</v>
          </cell>
          <cell r="D91" t="str">
            <v>TORTOLA FERNANDEZ, JOSE A.</v>
          </cell>
          <cell r="E91" t="str">
            <v>ORTUÑO RIBE, JORDI</v>
          </cell>
          <cell r="F91" t="str">
            <v>Gerència d'Hàbitat Urbà</v>
          </cell>
          <cell r="G91" t="str">
            <v>Gerència Ecologia Urbana</v>
          </cell>
          <cell r="H91" t="str">
            <v>Espai Urbà</v>
          </cell>
          <cell r="I91" t="str">
            <v>ECOLOGIA URBANA. MOBILITAT I INFRASTRUCTURES</v>
          </cell>
          <cell r="J91" t="str">
            <v>ECOLOGIA URBANA. MEDI AMBIENT I SERVEIS URBANS</v>
          </cell>
        </row>
        <row r="92">
          <cell r="A92" t="str">
            <v>SER0091</v>
          </cell>
          <cell r="B92" t="str">
            <v>Catàleg Patrimoni, Monuments i Certificacions</v>
          </cell>
          <cell r="C92" t="str">
            <v>GARCIA GONZALEZ, JOSEP</v>
          </cell>
          <cell r="D92" t="str">
            <v>TORTOLA FERNANDEZ, JOSE A.</v>
          </cell>
          <cell r="E92" t="str">
            <v>GUILLEN BELLIDO, JOSÉ MIGUEL</v>
          </cell>
          <cell r="F92" t="str">
            <v>Gerència d'Hàbitat Urbà</v>
          </cell>
          <cell r="G92" t="str">
            <v>Gerència Ecologia Urbana</v>
          </cell>
          <cell r="H92" t="str">
            <v>Espai Urbà</v>
          </cell>
          <cell r="I92" t="str">
            <v>ECOLOGIA URBANA. URBANISME</v>
          </cell>
          <cell r="J92" t="str">
            <v>ECOLOGIA URBANA. URBANISME</v>
          </cell>
        </row>
        <row r="93">
          <cell r="A93" t="str">
            <v>SER0092</v>
          </cell>
          <cell r="B93" t="str">
            <v>Gestió, Informació i Publicació d'obres municipals</v>
          </cell>
          <cell r="C93" t="str">
            <v>Otero Escribano, Fernando</v>
          </cell>
          <cell r="D93" t="str">
            <v>TORTOLA FERNANDEZ, JOSE A.</v>
          </cell>
          <cell r="E93" t="str">
            <v>ORTUÑO RIBE, JORGE</v>
          </cell>
          <cell r="F93" t="str">
            <v>Gerència d'Hàbitat Urbà</v>
          </cell>
          <cell r="G93" t="str">
            <v>Gerència Ecologia Urbana</v>
          </cell>
          <cell r="H93" t="str">
            <v>Espai Urbà</v>
          </cell>
          <cell r="I93" t="str">
            <v>ECOLOGIA URBANA. MOBILITAT I INFRASTRUCTURES</v>
          </cell>
          <cell r="J93" t="str">
            <v>ECOLOGIA URBANA. MOBILITAT I INFRASTRUCTURES</v>
          </cell>
        </row>
        <row r="94">
          <cell r="A94" t="str">
            <v>SER0093</v>
          </cell>
          <cell r="B94" t="str">
            <v>CIEP</v>
          </cell>
          <cell r="C94" t="str">
            <v>Otero Escribano, Fernando</v>
          </cell>
          <cell r="D94" t="str">
            <v>TORTOLA FERNANDEZ, JOSE A.</v>
          </cell>
          <cell r="E94" t="str">
            <v>CIRERA GONZALES, JORDI</v>
          </cell>
          <cell r="F94" t="str">
            <v>Gerència d'Hàbitat Urbà</v>
          </cell>
          <cell r="G94" t="str">
            <v>Gerència Ecologia Urbana</v>
          </cell>
          <cell r="H94" t="str">
            <v>Espai Urbà</v>
          </cell>
          <cell r="I94" t="str">
            <v>ECOLOGIA URBANA. URBANISME</v>
          </cell>
          <cell r="J94" t="str">
            <v>ECOLOGIA URBANA. URBANISME</v>
          </cell>
        </row>
        <row r="95">
          <cell r="A95" t="str">
            <v>SER0094</v>
          </cell>
          <cell r="B95" t="str">
            <v>Enllumenat (GENBA)</v>
          </cell>
          <cell r="C95" t="str">
            <v>BOBIS VALERIO, JUAN</v>
          </cell>
          <cell r="D95" t="str">
            <v>TORTOLA FERNANDEZ, JOSE A.</v>
          </cell>
          <cell r="E95" t="str">
            <v>CIRERA GONZALEZ, JORDI</v>
          </cell>
          <cell r="F95" t="str">
            <v>Gerència d'Hàbitat Urbà</v>
          </cell>
          <cell r="G95" t="str">
            <v>Gerència Ecologia Urbana</v>
          </cell>
          <cell r="H95" t="str">
            <v>Espai Urbà</v>
          </cell>
          <cell r="I95" t="str">
            <v>ECOLOGIA URBANA. MEDI AMBIENT I SERVEIS URBANS</v>
          </cell>
          <cell r="J95" t="str">
            <v>ECOLOGIA URBANA. MEDI AMBIENT I SERVEIS URBANS</v>
          </cell>
        </row>
        <row r="96">
          <cell r="A96" t="str">
            <v>SER0095</v>
          </cell>
          <cell r="B96" t="str">
            <v>Banderolas</v>
          </cell>
          <cell r="C96" t="str">
            <v xml:space="preserve"> -</v>
          </cell>
          <cell r="D96" t="str">
            <v>TORTOLA FERNANDEZ, JOSE A.</v>
          </cell>
          <cell r="E96" t="e">
            <v>#N/A</v>
          </cell>
          <cell r="F96" t="str">
            <v>Gerència d'Hàbitat Urbà</v>
          </cell>
          <cell r="G96" t="e">
            <v>#N/A</v>
          </cell>
          <cell r="H96" t="str">
            <v>Espai Urbà</v>
          </cell>
          <cell r="I96" t="e">
            <v>#N/A</v>
          </cell>
          <cell r="J96" t="str">
            <v>ECOLOGIA URBANA. URBANISME</v>
          </cell>
        </row>
        <row r="97">
          <cell r="A97" t="str">
            <v>SER0096</v>
          </cell>
          <cell r="B97" t="str">
            <v>Web del Subsol</v>
          </cell>
          <cell r="C97">
            <v>0</v>
          </cell>
          <cell r="D97" t="str">
            <v>TORTOLA FERNANDEZ, JOSE A.</v>
          </cell>
          <cell r="E97" t="str">
            <v>ORTUÑO RIBE, JORGE</v>
          </cell>
          <cell r="F97" t="str">
            <v>Gerència d'Hàbitat Urbà</v>
          </cell>
          <cell r="G97" t="str">
            <v>Gerència Ecologia Urbana</v>
          </cell>
          <cell r="H97" t="str">
            <v>Espai Urbà</v>
          </cell>
          <cell r="I97" t="str">
            <v>ECOLOGIA URBANA. MOBILITAT I INFRASTRUCTURES</v>
          </cell>
          <cell r="J97" t="str">
            <v>ECOLOGIA URBANA. MOBILITAT I INFRASTRUCTURES</v>
          </cell>
        </row>
        <row r="98">
          <cell r="A98" t="str">
            <v>SER0097</v>
          </cell>
          <cell r="B98" t="str">
            <v>Web Manteniment Infraestructures</v>
          </cell>
          <cell r="C98">
            <v>0</v>
          </cell>
          <cell r="D98" t="str">
            <v>TORTOLA FERNANDEZ, JOSE A.</v>
          </cell>
          <cell r="E98" t="str">
            <v>ORTUÑO RIBE, JORGE</v>
          </cell>
          <cell r="F98" t="str">
            <v>Gerència d'Hàbitat Urbà</v>
          </cell>
          <cell r="G98" t="str">
            <v>Gerència Ecologia Urbana</v>
          </cell>
          <cell r="H98" t="str">
            <v>Espai Urbà</v>
          </cell>
          <cell r="I98" t="str">
            <v>ECOLOGIA URBANA. MOBILITAT I INFRASTRUCTURES</v>
          </cell>
          <cell r="J98" t="str">
            <v>ECOLOGIA URBANA. MOBILITAT I INFRASTRUCTURES</v>
          </cell>
        </row>
        <row r="99">
          <cell r="A99" t="str">
            <v>SER0098</v>
          </cell>
          <cell r="B99" t="str">
            <v>Plans</v>
          </cell>
          <cell r="C99" t="str">
            <v>GARCIA GONZALEZ, JOSEP</v>
          </cell>
          <cell r="D99" t="str">
            <v>TORTOLA FERNANDEZ, JOSE A.</v>
          </cell>
          <cell r="E99" t="str">
            <v>GUILLEN BELLIDO, JOSÉ MIGUEL</v>
          </cell>
          <cell r="F99" t="str">
            <v>Gerència d'Hàbitat Urbà</v>
          </cell>
          <cell r="G99" t="str">
            <v>Gerència Ecologia Urbana</v>
          </cell>
          <cell r="H99" t="str">
            <v>Espai Urbà</v>
          </cell>
          <cell r="I99" t="str">
            <v>ECOLOGIA URBANA. URBANISME</v>
          </cell>
          <cell r="J99" t="str">
            <v>ECOLOGIA URBANA. URBANISME</v>
          </cell>
        </row>
        <row r="100">
          <cell r="A100" t="str">
            <v>SER0099</v>
          </cell>
          <cell r="B100" t="str">
            <v>Planejament i GIPU</v>
          </cell>
          <cell r="C100" t="str">
            <v>GARCIA GONZALEZ, JOSEP</v>
          </cell>
          <cell r="D100" t="str">
            <v>TORTOLA FERNANDEZ, JOSE A.</v>
          </cell>
          <cell r="E100" t="str">
            <v>GUILLEN BELLIDO, JOSÉ MIGUEL</v>
          </cell>
          <cell r="F100" t="str">
            <v>Gerència d'Hàbitat Urbà</v>
          </cell>
          <cell r="G100" t="str">
            <v>Gerència Ecologia Urbana</v>
          </cell>
          <cell r="H100" t="str">
            <v>Espai Urbà</v>
          </cell>
          <cell r="I100" t="str">
            <v>ECOLOGIA URBANA. URBANISME</v>
          </cell>
          <cell r="J100" t="str">
            <v>ECOLOGIA URBANA. URBANISME</v>
          </cell>
        </row>
        <row r="101">
          <cell r="A101" t="str">
            <v>SER00XX</v>
          </cell>
          <cell r="B101" t="str">
            <v>Guia d'Stil</v>
          </cell>
          <cell r="C101" t="str">
            <v>ORTIZ QUINTANA, IVAN </v>
          </cell>
          <cell r="D101" t="str">
            <v>LOPEZ BARBERO, RAFAEL</v>
          </cell>
          <cell r="E101" t="e">
            <v>#N/A</v>
          </cell>
          <cell r="F101" t="str">
            <v>IMI-TIC</v>
          </cell>
          <cell r="G101" t="e">
            <v>#N/A</v>
          </cell>
          <cell r="H101" t="str">
            <v>Enginyeria, Frameworks i Moduls comuns</v>
          </cell>
          <cell r="I101" t="e">
            <v>#N/A</v>
          </cell>
          <cell r="J101" t="str">
            <v>ENGINYERIA PROGRAMARI, FRAMEWORKS I MODULS COMUNS</v>
          </cell>
        </row>
        <row r="102">
          <cell r="A102" t="str">
            <v>SER0101</v>
          </cell>
          <cell r="B102" t="str">
            <v>Area Verda</v>
          </cell>
          <cell r="C102" t="str">
            <v xml:space="preserve"> -</v>
          </cell>
          <cell r="D102" t="str">
            <v>TORTOLA FERNANDEZ, JOSE A.</v>
          </cell>
          <cell r="E102" t="e">
            <v>#N/A</v>
          </cell>
          <cell r="F102" t="str">
            <v>Gerència de Prevenció, Seguretat i Mobilitat</v>
          </cell>
          <cell r="G102" t="e">
            <v>#N/A</v>
          </cell>
          <cell r="H102" t="str">
            <v>Espai Urbà</v>
          </cell>
          <cell r="I102" t="e">
            <v>#N/A</v>
          </cell>
          <cell r="J102" t="str">
            <v>ECOLOGIA URBANA. MOBILITAT I INFRASTRUCTURES</v>
          </cell>
        </row>
        <row r="103">
          <cell r="A103" t="str">
            <v>SER0102</v>
          </cell>
          <cell r="B103" t="str">
            <v>Dominus</v>
          </cell>
          <cell r="C103" t="str">
            <v xml:space="preserve"> -</v>
          </cell>
          <cell r="D103" t="str">
            <v>TORTOLA FERNANDEZ, JOSE A.</v>
          </cell>
          <cell r="E103" t="e">
            <v>#N/A</v>
          </cell>
          <cell r="F103" t="str">
            <v>Gerència de Recursos</v>
          </cell>
          <cell r="G103" t="e">
            <v>#N/A</v>
          </cell>
          <cell r="H103" t="str">
            <v>Espai Urbà</v>
          </cell>
          <cell r="I103" t="e">
            <v>#N/A</v>
          </cell>
          <cell r="J103" t="e">
            <v>#N/A</v>
          </cell>
        </row>
        <row r="104">
          <cell r="A104" t="str">
            <v>SER0103</v>
          </cell>
          <cell r="B104" t="str">
            <v>Avaries de la Via Pública</v>
          </cell>
          <cell r="C104">
            <v>0</v>
          </cell>
          <cell r="D104" t="str">
            <v>TORTOLA FERNANDEZ, JOSE A.</v>
          </cell>
          <cell r="E104" t="str">
            <v>ORTUÑO RIBE, JORGE</v>
          </cell>
          <cell r="F104" t="str">
            <v>Gerència d'Hàbitat Urbà</v>
          </cell>
          <cell r="G104" t="str">
            <v>Gerència Ecologia Urbana</v>
          </cell>
          <cell r="H104" t="str">
            <v>Espai Urbà</v>
          </cell>
          <cell r="I104" t="str">
            <v>ECOLOGIA URBANA. MOBILITAT I INFRASTRUCTURES</v>
          </cell>
          <cell r="J104" t="str">
            <v>ORTUÑO RIBE, JORGE</v>
          </cell>
        </row>
        <row r="105">
          <cell r="A105" t="str">
            <v>SER0104</v>
          </cell>
          <cell r="B105" t="str">
            <v>Expedients Edificació</v>
          </cell>
          <cell r="C105" t="str">
            <v>GARCIA GONZALEZ, JOSEP</v>
          </cell>
          <cell r="D105" t="str">
            <v>TORTOLA FERNANDEZ, JOSE A.</v>
          </cell>
          <cell r="E105" t="str">
            <v>GUILLEN BELLIDO, JOSÉ MIGUEL</v>
          </cell>
          <cell r="F105" t="str">
            <v>Gerència d'Hàbitat Urbà</v>
          </cell>
          <cell r="G105" t="str">
            <v>Gerència Ecologia Urbana</v>
          </cell>
          <cell r="H105" t="str">
            <v>Espai Urbà</v>
          </cell>
          <cell r="I105" t="str">
            <v>ECOLOGIA URBANA. URBANISME</v>
          </cell>
          <cell r="J105" t="str">
            <v>GUILLEN BELLIDO, JOSÉ MIGUEL</v>
          </cell>
        </row>
        <row r="106">
          <cell r="A106" t="str">
            <v>SER0105</v>
          </cell>
          <cell r="B106" t="str">
            <v>Firma electrònica</v>
          </cell>
          <cell r="C106" t="str">
            <v>ORTIZ QUINTANA, IVAN</v>
          </cell>
          <cell r="D106" t="str">
            <v>GOMEZ, JOAN MANEL</v>
          </cell>
          <cell r="E106" t="str">
            <v>LOPEZ BARBERO, RAFAEL</v>
          </cell>
          <cell r="F106" t="str">
            <v>Gerència de Recursos</v>
          </cell>
          <cell r="G106" t="str">
            <v>IMI-TIC</v>
          </cell>
          <cell r="H106" t="str">
            <v>Seguretat</v>
          </cell>
          <cell r="I106" t="str">
            <v>ENGINYERIA PROGRAMARI, FRAMEWORKS I MODULS COMUNS</v>
          </cell>
          <cell r="J106" t="str">
            <v>LOPEZ BARBERO, RAFAEL</v>
          </cell>
        </row>
        <row r="107">
          <cell r="A107" t="str">
            <v>SER0106</v>
          </cell>
          <cell r="B107" t="str">
            <v>Cercador Internet</v>
          </cell>
          <cell r="C107" t="str">
            <v>BITLLOCH PUIGVERT, JOAN R</v>
          </cell>
          <cell r="E107" t="str">
            <v>MARCILLAS RIERA, SILVIA</v>
          </cell>
          <cell r="F107" t="str">
            <v>Gerència Municipal</v>
          </cell>
          <cell r="G107" t="str">
            <v>Gerència de Recursos</v>
          </cell>
          <cell r="H107" t="str">
            <v>7.- Serveis de solucions verticals</v>
          </cell>
          <cell r="I107" t="str">
            <v>DRETS CIUTADANIA, PARTICIPACIÓ I TRANSPARÈNCIA</v>
          </cell>
          <cell r="J107" t="str">
            <v>7.- Serveis de solucions verticals</v>
          </cell>
        </row>
        <row r="108">
          <cell r="A108" t="str">
            <v>SER0107</v>
          </cell>
          <cell r="B108" t="str">
            <v>Serveis d’infraestructures físiques</v>
          </cell>
          <cell r="C108" t="str">
            <v>Fiter de Paz, Albert</v>
          </cell>
          <cell r="D108" t="str">
            <v>Fiter , Albert</v>
          </cell>
          <cell r="E108" t="str">
            <v>NIN BLASCO, FRANCISCO</v>
          </cell>
          <cell r="F108" t="str">
            <v>Gerència Municipal</v>
          </cell>
          <cell r="G108" t="str">
            <v>Gerència Municipal</v>
          </cell>
          <cell r="H108" t="str">
            <v>1. Serveis d’infraestructures físiques</v>
          </cell>
          <cell r="I108" t="str">
            <v>INFRAESTRUCTURES</v>
          </cell>
          <cell r="J108" t="str">
            <v>1. Serveis d’infraestructures físiques</v>
          </cell>
        </row>
        <row r="109">
          <cell r="A109" t="str">
            <v>SER0108</v>
          </cell>
          <cell r="B109" t="str">
            <v>servei Host</v>
          </cell>
          <cell r="C109" t="str">
            <v>CASAUS BARREDA, FRANCESC</v>
          </cell>
          <cell r="E109" t="str">
            <v>SOLER ORTIZ, RUBEN</v>
          </cell>
          <cell r="F109" t="str">
            <v>Gerència Municipal</v>
          </cell>
          <cell r="G109" t="str">
            <v>Gerència Municipal</v>
          </cell>
          <cell r="H109" t="str">
            <v>2.- Serveis de maquinari i sistemes operatius</v>
          </cell>
          <cell r="I109" t="str">
            <v>CPD</v>
          </cell>
          <cell r="J109" t="str">
            <v>2.- Serveis de maquinari i sistemes operatius</v>
          </cell>
        </row>
        <row r="110">
          <cell r="A110" t="str">
            <v>SER0109</v>
          </cell>
          <cell r="B110" t="str">
            <v>Virtualització</v>
          </cell>
          <cell r="C110" t="str">
            <v>FABA BAYO, OSCAR</v>
          </cell>
          <cell r="E110" t="str">
            <v>FELEZ ZAERA, ENRIQUE</v>
          </cell>
          <cell r="F110" t="str">
            <v>Gerència Municipal</v>
          </cell>
          <cell r="G110" t="str">
            <v>Gerència Municipal</v>
          </cell>
          <cell r="H110" t="str">
            <v>2.- Serveis de maquinari i sistemes operatius</v>
          </cell>
          <cell r="I110" t="str">
            <v>ENGINYERIA DE SISTEMES</v>
          </cell>
          <cell r="J110" t="str">
            <v>2.- Serveis de maquinari i sistemes operatius</v>
          </cell>
        </row>
        <row r="111">
          <cell r="A111" t="str">
            <v>SER0110</v>
          </cell>
          <cell r="B111" t="str">
            <v>Sistemes Operatius</v>
          </cell>
          <cell r="C111" t="str">
            <v>FABA BAYO, OSCAR</v>
          </cell>
          <cell r="E111" t="str">
            <v>FELEZ ZAERA, ENRIQUE</v>
          </cell>
          <cell r="F111" t="str">
            <v>Gerència Municipal</v>
          </cell>
          <cell r="G111" t="str">
            <v>Gerència Municipal</v>
          </cell>
          <cell r="H111" t="str">
            <v>2.- Serveis de maquinari i sistemes operatius</v>
          </cell>
          <cell r="I111" t="str">
            <v>ENGINYERIA DE SISTEMES</v>
          </cell>
          <cell r="J111" t="str">
            <v>2.- Serveis de maquinari i sistemes operatius</v>
          </cell>
        </row>
        <row r="112">
          <cell r="A112" t="str">
            <v>SER0111</v>
          </cell>
          <cell r="B112" t="str">
            <v>Hosting (provisió d’infraestructura en mode servei)</v>
          </cell>
          <cell r="C112" t="str">
            <v>CASAUS BARREDA, FRANCESC</v>
          </cell>
          <cell r="E112">
            <v>0</v>
          </cell>
          <cell r="F112" t="str">
            <v>Gerència Municipal</v>
          </cell>
          <cell r="G112" t="str">
            <v>Gerència Municipal</v>
          </cell>
          <cell r="H112" t="str">
            <v>2.- Serveis de maquinari i sistemes operatius</v>
          </cell>
          <cell r="I112">
            <v>0</v>
          </cell>
          <cell r="J112" t="str">
            <v>2.- Serveis de maquinari i sistemes operatius</v>
          </cell>
        </row>
        <row r="113">
          <cell r="A113" t="str">
            <v>SER0112</v>
          </cell>
          <cell r="B113" t="str">
            <v>Housing (allotjament d’infraestructures)</v>
          </cell>
          <cell r="C113" t="str">
            <v>NIN BLASCO, FRANCISCO</v>
          </cell>
          <cell r="E113" t="str">
            <v>NIN BLASCO, FRANCISCO</v>
          </cell>
          <cell r="F113" t="str">
            <v>Gerència Municipal</v>
          </cell>
          <cell r="G113" t="str">
            <v>Gerència Municipal</v>
          </cell>
          <cell r="H113" t="str">
            <v>2.- Serveis de maquinari i sistemes operatius</v>
          </cell>
          <cell r="I113" t="str">
            <v>INFRAESTRUCTURES</v>
          </cell>
          <cell r="J113" t="str">
            <v>2.- Serveis de maquinari i sistemes operatius</v>
          </cell>
        </row>
        <row r="114">
          <cell r="A114" t="str">
            <v>SER0113</v>
          </cell>
          <cell r="B114" t="str">
            <v>Seguretat dels sistemes i perimetral</v>
          </cell>
          <cell r="C114" t="str">
            <v>LOPEZ VAZQUEZ, GEMMA</v>
          </cell>
          <cell r="E114" t="str">
            <v>AZNAR IGLESIAS, JUAN ANTON</v>
          </cell>
          <cell r="F114" t="str">
            <v>Gerència Municipal</v>
          </cell>
          <cell r="G114" t="str">
            <v>Gerència Municipal</v>
          </cell>
          <cell r="H114" t="str">
            <v>2.- Serveis de maquinari i sistemes operatius</v>
          </cell>
          <cell r="I114" t="str">
            <v>LLOC DE TREBALL</v>
          </cell>
          <cell r="J114" t="str">
            <v>2.- Serveis de maquinari i sistemes operatius</v>
          </cell>
        </row>
        <row r="115">
          <cell r="A115" t="str">
            <v>SER0114</v>
          </cell>
          <cell r="B115" t="str">
            <v>Connectivitat IP corporativa</v>
          </cell>
          <cell r="C115" t="str">
            <v>MENDOZA FLORES, MANEL</v>
          </cell>
          <cell r="E115">
            <v>0</v>
          </cell>
          <cell r="F115" t="str">
            <v>Gerència Municipal</v>
          </cell>
          <cell r="G115" t="str">
            <v>Gerència Municipal</v>
          </cell>
          <cell r="H115" t="str">
            <v>3.- Serveis de enllaç de dades i xarxa</v>
          </cell>
          <cell r="I115" t="str">
            <v>LLOC DE TREBALL</v>
          </cell>
          <cell r="J115" t="str">
            <v>3.- Serveis de enllaç de dades i xarxa</v>
          </cell>
        </row>
        <row r="116">
          <cell r="A116" t="str">
            <v>SER0115</v>
          </cell>
          <cell r="B116" t="str">
            <v>Wifi indoor</v>
          </cell>
          <cell r="C116" t="str">
            <v>MENDOZA FLORES, MANEL</v>
          </cell>
          <cell r="E116">
            <v>0</v>
          </cell>
          <cell r="F116" t="str">
            <v>Gerència Municipal</v>
          </cell>
          <cell r="G116" t="str">
            <v>Gerència Municipal</v>
          </cell>
          <cell r="H116" t="str">
            <v>3.- Serveis de enllaç de dades i xarxa</v>
          </cell>
          <cell r="I116" t="str">
            <v>LLOC DE TREBALL</v>
          </cell>
          <cell r="J116" t="str">
            <v>3.- Serveis de enllaç de dades i xarxa</v>
          </cell>
        </row>
        <row r="117">
          <cell r="A117" t="str">
            <v>SER0116</v>
          </cell>
          <cell r="B117" t="str">
            <v>Telefonia Fixa – Telefonia Mòbil</v>
          </cell>
          <cell r="C117" t="str">
            <v>NIN BLASCO, FRANCISCO</v>
          </cell>
          <cell r="D117" t="str">
            <v>PEJOAN JIMENEZ, MARC</v>
          </cell>
          <cell r="E117">
            <v>0</v>
          </cell>
          <cell r="F117" t="str">
            <v>Gerència Municipal</v>
          </cell>
          <cell r="G117" t="str">
            <v>Gerència Municipal</v>
          </cell>
          <cell r="H117" t="str">
            <v>3.- Serveis de enllaç de dades i xarxa</v>
          </cell>
          <cell r="I117" t="str">
            <v>LLOC DE TREBALL</v>
          </cell>
          <cell r="J117" t="str">
            <v>3.- Serveis de enllaç de dades i xarxa</v>
          </cell>
        </row>
        <row r="118">
          <cell r="A118" t="str">
            <v>SER0118</v>
          </cell>
          <cell r="B118" t="str">
            <v>Emmagatzemament</v>
          </cell>
          <cell r="C118" t="str">
            <v>LOMBART BADAL, FEDERICO</v>
          </cell>
          <cell r="E118" t="str">
            <v>SOLER ORTIZ, RUBEN</v>
          </cell>
          <cell r="F118" t="str">
            <v>Gerència Municipal</v>
          </cell>
          <cell r="G118" t="str">
            <v>Gerència Municipal</v>
          </cell>
          <cell r="H118" t="str">
            <v>4.- Serveis de programari de base</v>
          </cell>
          <cell r="I118" t="str">
            <v>CPD</v>
          </cell>
          <cell r="J118" t="str">
            <v>4.- Serveis de programari de base</v>
          </cell>
        </row>
        <row r="119">
          <cell r="A119" t="str">
            <v>SER0119</v>
          </cell>
          <cell r="B119" t="str">
            <v>Salvaguarda i recuperació de dades</v>
          </cell>
          <cell r="C119" t="str">
            <v>RIVERO GAYO, FELIP</v>
          </cell>
          <cell r="D119" t="str">
            <v>RIVERO GAYO, FELIP</v>
          </cell>
          <cell r="E119" t="str">
            <v>DUQUE HERNANDEZ, CARMEN</v>
          </cell>
          <cell r="F119" t="str">
            <v>Gerència Municipal</v>
          </cell>
          <cell r="G119" t="str">
            <v>Gerència Municipal</v>
          </cell>
          <cell r="H119" t="str">
            <v>4.- Serveis de programari de base</v>
          </cell>
          <cell r="I119" t="str">
            <v>EXPLOTACIÓ</v>
          </cell>
          <cell r="J119" t="str">
            <v>4.- Serveis de programari de base</v>
          </cell>
        </row>
        <row r="120">
          <cell r="A120" t="str">
            <v>SER0120</v>
          </cell>
          <cell r="B120" t="str">
            <v>Proves de càrrega (stress test)</v>
          </cell>
          <cell r="C120" t="str">
            <v>JEREZ MARTINEZ, JOSEFINA</v>
          </cell>
          <cell r="D120" t="str">
            <v>FERNANDEZ MAS, JOSEP</v>
          </cell>
          <cell r="E120" t="str">
            <v>JEREZ MARTINEZ, JOSEFINA</v>
          </cell>
          <cell r="F120" t="str">
            <v>Gerència Municipal</v>
          </cell>
          <cell r="G120" t="str">
            <v>Gerència Municipal</v>
          </cell>
          <cell r="H120" t="str">
            <v>4.- Serveis de programari de base</v>
          </cell>
          <cell r="I120" t="str">
            <v>COORDINACIÓ</v>
          </cell>
          <cell r="J120" t="str">
            <v>4.- Serveis de programari de base</v>
          </cell>
        </row>
        <row r="121">
          <cell r="A121" t="str">
            <v>SER0121</v>
          </cell>
          <cell r="B121" t="str">
            <v>Servei de directori</v>
          </cell>
          <cell r="C121" t="str">
            <v>LOPEZ VAZQUEZ, GEMMA</v>
          </cell>
          <cell r="E121" t="str">
            <v>BELLAVISTA ARIMANY, NEUS</v>
          </cell>
          <cell r="F121" t="str">
            <v>Gerència Municipal</v>
          </cell>
          <cell r="G121" t="str">
            <v>Gerència Municipal</v>
          </cell>
          <cell r="H121" t="str">
            <v>4.- Serveis de programari de base</v>
          </cell>
          <cell r="I121" t="str">
            <v>SEGURETAT TIC, RISC I COMPLIMENT</v>
          </cell>
          <cell r="J121" t="str">
            <v>4.- Serveis de programari de base</v>
          </cell>
        </row>
        <row r="122">
          <cell r="A122" t="str">
            <v>SER0122</v>
          </cell>
          <cell r="B122" t="str">
            <v>Monitorització</v>
          </cell>
          <cell r="C122" t="str">
            <v>DUQUE HERNANDEZ, CARMEN</v>
          </cell>
          <cell r="E122" t="str">
            <v>DUQUE HERNANDEZ, CARMEN</v>
          </cell>
          <cell r="F122" t="str">
            <v>Gerència Municipal</v>
          </cell>
          <cell r="G122" t="str">
            <v>Gerència Municipal</v>
          </cell>
          <cell r="H122" t="str">
            <v>4.- Serveis de programari de base</v>
          </cell>
          <cell r="I122" t="str">
            <v>EXPLOTACIÓ</v>
          </cell>
          <cell r="J122" t="str">
            <v>4.- Serveis de programari de base</v>
          </cell>
        </row>
        <row r="123">
          <cell r="A123" t="str">
            <v>SER0123</v>
          </cell>
          <cell r="B123" t="str">
            <v>Execució i monitoratge de tasques planificades (UC4, Planificador SAP, Batch)</v>
          </cell>
          <cell r="C123" t="str">
            <v>ROMERO ESTEBAN, ANGEL</v>
          </cell>
          <cell r="D123" t="str">
            <v>Romero Esteban, Angel</v>
          </cell>
          <cell r="E123" t="str">
            <v>DUQUE HERNANDEZ, CARMEN</v>
          </cell>
          <cell r="F123" t="str">
            <v>Gerència Municipal</v>
          </cell>
          <cell r="G123" t="str">
            <v>Gerència Municipal</v>
          </cell>
          <cell r="H123" t="str">
            <v>4.- Serveis de programari de base</v>
          </cell>
          <cell r="I123" t="str">
            <v>EXPLOTACIÓ</v>
          </cell>
          <cell r="J123" t="str">
            <v>4.- Serveis de programari de base</v>
          </cell>
        </row>
        <row r="124">
          <cell r="A124" t="str">
            <v>SER0124</v>
          </cell>
          <cell r="B124" t="str">
            <v>Missatgeria electrònica</v>
          </cell>
          <cell r="C124" t="str">
            <v>AGULLO LEON, JACINTO</v>
          </cell>
          <cell r="E124" t="str">
            <v>AZNAR IGLESIAS, JUAN ANTON</v>
          </cell>
          <cell r="F124" t="str">
            <v>Gerència Municipal</v>
          </cell>
          <cell r="G124" t="str">
            <v>Gerència Municipal</v>
          </cell>
          <cell r="H124" t="str">
            <v>5.- Serveis de gestió de dades</v>
          </cell>
          <cell r="I124" t="str">
            <v>LLOC DE TREBALL</v>
          </cell>
          <cell r="J124" t="str">
            <v>5.- Serveis de gestió de dades</v>
          </cell>
        </row>
        <row r="125">
          <cell r="A125" t="str">
            <v>SER0125</v>
          </cell>
          <cell r="B125" t="str">
            <v>Sistemes d’impressió massiva</v>
          </cell>
          <cell r="C125" t="str">
            <v>RIVERO GAYO, FELIP</v>
          </cell>
          <cell r="D125" t="str">
            <v>DUQUE HERNANDEZ, CARMEN</v>
          </cell>
          <cell r="E125" t="str">
            <v>DUQUE HERNANDEZ, CARMEN</v>
          </cell>
          <cell r="F125" t="str">
            <v>Gerència Municipal</v>
          </cell>
          <cell r="G125" t="str">
            <v>Gerència Municipal</v>
          </cell>
          <cell r="H125" t="str">
            <v>5.- Serveis de gestió de dades</v>
          </cell>
          <cell r="I125" t="str">
            <v>EXPLOTACIÓ</v>
          </cell>
          <cell r="J125" t="str">
            <v>5.- Serveis de gestió de dades</v>
          </cell>
        </row>
        <row r="126">
          <cell r="A126" t="str">
            <v>SER0126</v>
          </cell>
          <cell r="B126" t="str">
            <v>Gestió d’expedients</v>
          </cell>
          <cell r="C126" t="str">
            <v>NOUVILAS ROMERO, JOSE M.</v>
          </cell>
          <cell r="D126" t="str">
            <v>SOLER ORTIZ, RUBEN</v>
          </cell>
          <cell r="E126" t="str">
            <v>SOLER ORTIZ, RUBEN</v>
          </cell>
          <cell r="F126" t="str">
            <v>Gerència de Recursos</v>
          </cell>
          <cell r="G126" t="str">
            <v>Gerència Recursos</v>
          </cell>
          <cell r="H126" t="str">
            <v>5.- Serveis de gestió de dades</v>
          </cell>
          <cell r="I126" t="str">
            <v>CPD</v>
          </cell>
          <cell r="J126" t="str">
            <v>5.- Serveis de gestió de dades</v>
          </cell>
        </row>
        <row r="127">
          <cell r="A127" t="str">
            <v>SER0127</v>
          </cell>
          <cell r="B127" t="str">
            <v>Bases de dades</v>
          </cell>
          <cell r="C127" t="str">
            <v>LOMBART BADAL, FEDERICO</v>
          </cell>
          <cell r="E127" t="str">
            <v>SOLER ORTIZ, RUBEN</v>
          </cell>
          <cell r="F127" t="str">
            <v>Gerència Municipal</v>
          </cell>
          <cell r="G127" t="str">
            <v>Gerència Municipal</v>
          </cell>
          <cell r="H127" t="str">
            <v>5.- Serveis de gestió de dades</v>
          </cell>
          <cell r="I127" t="str">
            <v>CPD</v>
          </cell>
          <cell r="J127" t="str">
            <v>5.- Serveis de gestió de dades</v>
          </cell>
        </row>
        <row r="128">
          <cell r="A128" t="str">
            <v>SER0128</v>
          </cell>
          <cell r="B128" t="str">
            <v>Seguretat de les dades</v>
          </cell>
          <cell r="C128">
            <v>0</v>
          </cell>
          <cell r="E128" t="str">
            <v>BELLAVISTA ARIMANY, NEUS</v>
          </cell>
          <cell r="F128" t="str">
            <v>Gerència Municipal</v>
          </cell>
          <cell r="G128" t="str">
            <v>Gerència Municipal</v>
          </cell>
          <cell r="H128" t="str">
            <v>5.- Serveis de gestió de dades</v>
          </cell>
          <cell r="I128" t="str">
            <v>SEGURETAT TIC, RISC I COMPLIMENT</v>
          </cell>
          <cell r="J128" t="str">
            <v>5.- Serveis de gestió de dades</v>
          </cell>
        </row>
        <row r="129">
          <cell r="A129" t="str">
            <v>SER0129</v>
          </cell>
          <cell r="B129" t="str">
            <v>Lloc de treball</v>
          </cell>
          <cell r="C129" t="str">
            <v>AZNAR IGLESIAS, JUAN ANTON</v>
          </cell>
          <cell r="E129" t="str">
            <v>AZNAR IGLESIAS, JUAN ANTON</v>
          </cell>
          <cell r="F129" t="str">
            <v>Gerència Municipal</v>
          </cell>
          <cell r="G129" t="str">
            <v>Gerència Municipal</v>
          </cell>
          <cell r="H129" t="str">
            <v>6.- Serveis de presentació</v>
          </cell>
          <cell r="I129" t="str">
            <v>LLOC DE TREBALL</v>
          </cell>
          <cell r="J129" t="str">
            <v>6.- Serveis de presentació</v>
          </cell>
        </row>
        <row r="130">
          <cell r="A130" t="str">
            <v>SER0131</v>
          </cell>
          <cell r="B130" t="str">
            <v>Serveis per desenvolupament .NET</v>
          </cell>
          <cell r="C130" t="str">
            <v xml:space="preserve"> -</v>
          </cell>
          <cell r="E130" t="e">
            <v>#N/A</v>
          </cell>
          <cell r="F130" t="str">
            <v>Gerència Municipal</v>
          </cell>
          <cell r="G130" t="e">
            <v>#N/A</v>
          </cell>
          <cell r="H130" t="str">
            <v>7.- Serveis de solucions verticals</v>
          </cell>
          <cell r="I130" t="e">
            <v>#N/A</v>
          </cell>
          <cell r="J130" t="str">
            <v>7.- Serveis de solucions verticals</v>
          </cell>
        </row>
        <row r="131">
          <cell r="A131" t="str">
            <v>SER0132</v>
          </cell>
          <cell r="B131" t="str">
            <v>Consultoria de processos</v>
          </cell>
          <cell r="C131" t="str">
            <v>ECHEVARRIA MESEGUER, CARLOS</v>
          </cell>
          <cell r="E131">
            <v>0</v>
          </cell>
          <cell r="F131" t="str">
            <v>Gerència Municipal</v>
          </cell>
          <cell r="G131" t="str">
            <v>Gerència Municipal</v>
          </cell>
          <cell r="H131" t="str">
            <v>7.- Serveis de solucions verticals</v>
          </cell>
          <cell r="I131">
            <v>0</v>
          </cell>
          <cell r="J131" t="str">
            <v>7.- Serveis de solucions verticals</v>
          </cell>
        </row>
        <row r="132">
          <cell r="A132" t="str">
            <v>SER0133</v>
          </cell>
          <cell r="B132" t="str">
            <v>Framework i Serveis Comuns J2EE</v>
          </cell>
          <cell r="C132" t="str">
            <v>ORTIZ QUINTANA, IVAN</v>
          </cell>
          <cell r="D132" t="str">
            <v>LOPEZ BARBERO, RAFAEL</v>
          </cell>
          <cell r="E132" t="str">
            <v>LOPEZ BARBERO, RAFAEL</v>
          </cell>
          <cell r="F132" t="str">
            <v>Gerència Municipal</v>
          </cell>
          <cell r="G132" t="str">
            <v>IMI-TIC</v>
          </cell>
          <cell r="H132" t="str">
            <v>Enginyeria, Frameworks i Moduls comuns</v>
          </cell>
          <cell r="I132" t="str">
            <v>ENGINYERIA PROGRAMARI, FRAMEWORKS I MODULS COMUNS</v>
          </cell>
          <cell r="J132" t="str">
            <v>Enginyeria, Frameworks i Moduls comuns</v>
          </cell>
        </row>
        <row r="133">
          <cell r="A133" t="str">
            <v>SER0134</v>
          </cell>
          <cell r="B133" t="str">
            <v>Col·laboració</v>
          </cell>
          <cell r="C133" t="str">
            <v>AGULLO LEON, JACINTO</v>
          </cell>
          <cell r="E133" t="str">
            <v>AZNAR IGLESIAS, JUAN ANTON</v>
          </cell>
          <cell r="F133" t="str">
            <v>Gerència Municipal</v>
          </cell>
          <cell r="G133" t="str">
            <v>Gerència Municipal</v>
          </cell>
          <cell r="H133" t="str">
            <v>7.- Serveis de solucions verticals</v>
          </cell>
          <cell r="I133" t="str">
            <v>LLOC DE TREBALL</v>
          </cell>
          <cell r="J133" t="str">
            <v>7.- Serveis de solucions verticals</v>
          </cell>
        </row>
        <row r="134">
          <cell r="A134" t="str">
            <v>SER0135</v>
          </cell>
          <cell r="B134" t="str">
            <v>CRM Infraestructura</v>
          </cell>
          <cell r="C134" t="str">
            <v>AGULLO LEON, JACINTO</v>
          </cell>
          <cell r="E134" t="str">
            <v>AZNAR IGLESIAS, JUAN ANTON</v>
          </cell>
          <cell r="F134" t="str">
            <v>Gerència de Recursos</v>
          </cell>
          <cell r="G134" t="str">
            <v>Gerència de Drets de Ciutadania, Participació i Transpàrencia</v>
          </cell>
          <cell r="H134" t="str">
            <v>7.- Serveis de solucions verticals</v>
          </cell>
          <cell r="I134" t="str">
            <v>LLOC DE TREBALL</v>
          </cell>
          <cell r="J134" t="str">
            <v>7.- Serveis de solucions verticals</v>
          </cell>
        </row>
        <row r="135">
          <cell r="A135" t="str">
            <v>SER0136</v>
          </cell>
          <cell r="B135" t="str">
            <v>SAP</v>
          </cell>
          <cell r="C135" t="str">
            <v>Llanes Castilla, Juan Carlos</v>
          </cell>
          <cell r="D135" t="str">
            <v>FERNANDEZ MAS, JOSEP</v>
          </cell>
          <cell r="E135" t="str">
            <v>SOLER ORTIZ, RUBEN</v>
          </cell>
          <cell r="F135" t="str">
            <v>Gerència Municipal</v>
          </cell>
          <cell r="G135" t="str">
            <v>Gerència Municipal</v>
          </cell>
          <cell r="H135" t="str">
            <v>7.- Serveis de solucions verticals</v>
          </cell>
          <cell r="I135" t="str">
            <v>CPD</v>
          </cell>
          <cell r="J135" t="str">
            <v>7.- Serveis de solucions verticals</v>
          </cell>
        </row>
        <row r="136">
          <cell r="A136" t="str">
            <v>SER0137</v>
          </cell>
          <cell r="B136" t="str">
            <v>Plataforma de Gestió de Continguts</v>
          </cell>
          <cell r="C136" t="str">
            <v>AGULLO LEON, JACINTO</v>
          </cell>
          <cell r="E136" t="e">
            <v>#N/A</v>
          </cell>
          <cell r="F136" t="str">
            <v>Gerència Municipal</v>
          </cell>
          <cell r="G136" t="e">
            <v>#N/A</v>
          </cell>
          <cell r="H136" t="str">
            <v>7.- Serveis de solucions verticals</v>
          </cell>
          <cell r="I136" t="e">
            <v>#N/A</v>
          </cell>
          <cell r="J136" t="str">
            <v>7.- Serveis de solucions verticals</v>
          </cell>
        </row>
        <row r="137">
          <cell r="A137" t="str">
            <v>SER0138</v>
          </cell>
          <cell r="B137" t="str">
            <v>Serveis Lingüístics</v>
          </cell>
          <cell r="C137" t="str">
            <v>AGULLO LEON, JACINTO</v>
          </cell>
          <cell r="E137" t="str">
            <v>AZNAR IGLESIAS, JUAN ANTON</v>
          </cell>
          <cell r="F137" t="str">
            <v>Gerència Municipal</v>
          </cell>
          <cell r="G137" t="str">
            <v>Gerència Municipal</v>
          </cell>
          <cell r="H137" t="str">
            <v>7.- Serveis de solucions verticals</v>
          </cell>
          <cell r="I137" t="str">
            <v>LLOC DE TREBALL</v>
          </cell>
          <cell r="J137" t="str">
            <v>7.- Serveis de solucions verticals</v>
          </cell>
        </row>
        <row r="138">
          <cell r="A138" t="str">
            <v>SER0139</v>
          </cell>
          <cell r="B138" t="str">
            <v>Gestió documental (Frameworks, Documentum)</v>
          </cell>
          <cell r="C138" t="str">
            <v>LOPEZ BARBERO, RAFAEL</v>
          </cell>
          <cell r="D138" t="str">
            <v>LOPEZ BARBERO, RAFAEL</v>
          </cell>
          <cell r="E138" t="str">
            <v>LOPEZ BARBERO, RAFAEL</v>
          </cell>
          <cell r="F138" t="str">
            <v>Gerència de Recursos</v>
          </cell>
          <cell r="G138" t="str">
            <v>IMI-TIC</v>
          </cell>
          <cell r="H138" t="str">
            <v>Enginyeria, Frameworks i Moduls comuns</v>
          </cell>
          <cell r="I138" t="str">
            <v>ENGINYERIA PROGRAMARI, FRAMEWORKS I MODULS COMUNS</v>
          </cell>
          <cell r="J138" t="str">
            <v>ENGINYERIA PROGRAMARI, FRAMEWORKS I MODULS COMUNS</v>
          </cell>
        </row>
        <row r="139">
          <cell r="A139" t="str">
            <v>SER0140</v>
          </cell>
          <cell r="B139" t="str">
            <v>Autenticació i Autorització corporativa</v>
          </cell>
          <cell r="C139" t="str">
            <v>FERNANDEZ MARTINEZ, ANDRES</v>
          </cell>
          <cell r="D139" t="str">
            <v>LOPEZ BARBERO, RAFAEL</v>
          </cell>
          <cell r="E139" t="str">
            <v>LOPEZ BARBERO, RAFAEL</v>
          </cell>
          <cell r="F139" t="str">
            <v>Gerència de Recursos</v>
          </cell>
          <cell r="G139" t="str">
            <v>IMI-TIC</v>
          </cell>
          <cell r="H139" t="str">
            <v>Enginyeria, Frameworks i Moduls comuns</v>
          </cell>
          <cell r="I139" t="str">
            <v>ENGINYERIA PROGRAMARI, FRAMEWORKS I MODULS COMUNS</v>
          </cell>
          <cell r="J139" t="str">
            <v>ENGINYERIA PROGRAMARI, FRAMEWORKS I MODULS COMUNS</v>
          </cell>
        </row>
        <row r="140">
          <cell r="A140" t="str">
            <v>SER0141</v>
          </cell>
          <cell r="B140" t="str">
            <v>Entorns Desenvolupament Aplicacions</v>
          </cell>
          <cell r="C140" t="str">
            <v>ORTIZ QUINTANA, IVAN</v>
          </cell>
          <cell r="D140" t="str">
            <v>LOPEZ BARBERO, RAFAEL</v>
          </cell>
          <cell r="E140" t="str">
            <v>LOPEZ BARBERO, RAFAEL</v>
          </cell>
          <cell r="F140" t="str">
            <v>IMI-TIC</v>
          </cell>
          <cell r="G140" t="str">
            <v>IMI-TIC</v>
          </cell>
          <cell r="H140" t="str">
            <v>Enginyeria, Frameworks i Moduls comuns</v>
          </cell>
          <cell r="I140" t="str">
            <v>ENGINYERIA PROGRAMARI, FRAMEWORKS I MODULS COMUNS</v>
          </cell>
          <cell r="J140" t="str">
            <v>ENGINYERIA PROGRAMARI, FRAMEWORKS I MODULS COMUNS</v>
          </cell>
        </row>
        <row r="141">
          <cell r="A141" t="str">
            <v>SER0142</v>
          </cell>
          <cell r="B141" t="str">
            <v>Eines de Gestió d'Entregues i Desplegaments</v>
          </cell>
          <cell r="C141" t="str">
            <v>FRANCES JULIAN, M. ALICIA</v>
          </cell>
          <cell r="D141" t="str">
            <v>LOPEZ BARBERO, RAFAEL</v>
          </cell>
          <cell r="E141" t="str">
            <v>LAGE HUERTAS, JOSE</v>
          </cell>
          <cell r="F141" t="str">
            <v>IMI-TIC</v>
          </cell>
          <cell r="G141" t="str">
            <v>IMI-TIC</v>
          </cell>
          <cell r="H141" t="str">
            <v>Enginyeria, Frameworks i Moduls comuns</v>
          </cell>
          <cell r="I141" t="str">
            <v>SMO - Gestió de Serveis</v>
          </cell>
          <cell r="J141" t="str">
            <v>ENGINYERIA PROGRAMARI, FRAMEWORKS I MODULS COMUNS</v>
          </cell>
        </row>
        <row r="142">
          <cell r="A142" t="str">
            <v>SER0143</v>
          </cell>
          <cell r="B142" t="str">
            <v>Codificador i Geocodificadors</v>
          </cell>
          <cell r="C142" t="str">
            <v>PUIG PONS, XAVIER</v>
          </cell>
          <cell r="D142" t="str">
            <v>LOPEZ BARBERO, RAFAEL</v>
          </cell>
          <cell r="E142" t="str">
            <v>LOPEZ BARBERO, RAFAEL</v>
          </cell>
          <cell r="F142" t="str">
            <v>IMI-IDB</v>
          </cell>
          <cell r="G142" t="str">
            <v>IMI-IDB</v>
          </cell>
          <cell r="H142" t="str">
            <v>Enginyeria, Frameworks i Moduls comuns</v>
          </cell>
          <cell r="I142" t="str">
            <v>ENGINYERIA PROGRAMARI, FRAMEWORKS I MODULS COMUNS</v>
          </cell>
          <cell r="J142" t="str">
            <v>ENGINYERIA PROGRAMARI, FRAMEWORKS I MODULS COMUNS</v>
          </cell>
        </row>
        <row r="143">
          <cell r="A143" t="str">
            <v>SER0144</v>
          </cell>
          <cell r="B143" t="str">
            <v>Estadístiques</v>
          </cell>
          <cell r="C143" t="str">
            <v>AGULLO LEON, JACINTO</v>
          </cell>
          <cell r="E143" t="e">
            <v>#N/A</v>
          </cell>
          <cell r="F143" t="str">
            <v>Gerència de Recursos</v>
          </cell>
          <cell r="G143" t="e">
            <v>#N/A</v>
          </cell>
          <cell r="H143" t="str">
            <v>7.- Serveis de solucions verticals</v>
          </cell>
          <cell r="I143" t="e">
            <v>#N/A</v>
          </cell>
          <cell r="J143" t="str">
            <v>7.- Serveis de solucions verticals</v>
          </cell>
        </row>
        <row r="144">
          <cell r="A144" t="str">
            <v>SER0145</v>
          </cell>
          <cell r="B144" t="str">
            <v>Vídeo</v>
          </cell>
          <cell r="C144" t="str">
            <v>NUÑEZ GONZALEZ, J. MANUEL</v>
          </cell>
          <cell r="E144" t="str">
            <v>FELEZ ZAERA, ENRIQUE</v>
          </cell>
          <cell r="F144" t="str">
            <v>Gerència Municipal</v>
          </cell>
          <cell r="G144" t="str">
            <v>Gerència Municipal</v>
          </cell>
          <cell r="H144" t="str">
            <v>7.- Serveis de solucions verticals</v>
          </cell>
          <cell r="I144" t="str">
            <v>ENGINYERIA DE SISTEMES</v>
          </cell>
          <cell r="J144" t="str">
            <v>7.- Serveis de solucions verticals</v>
          </cell>
        </row>
        <row r="145">
          <cell r="A145" t="str">
            <v>SER0146</v>
          </cell>
          <cell r="B145" t="str">
            <v>Serveis Web</v>
          </cell>
          <cell r="C145" t="str">
            <v>NUÑEZ GONZALEZ, J. MANUEL</v>
          </cell>
          <cell r="E145" t="str">
            <v>BELLAVISTA ARIMANY, NEUS</v>
          </cell>
          <cell r="F145" t="str">
            <v>Gerència Municipal</v>
          </cell>
          <cell r="G145" t="str">
            <v>Gerència Municipal</v>
          </cell>
          <cell r="H145" t="str">
            <v>7.- Serveis de solucions verticals</v>
          </cell>
          <cell r="I145" t="str">
            <v>SEGURETAT TIC, RISC I COMPLIMENT</v>
          </cell>
          <cell r="J145" t="str">
            <v>7.- Serveis de solucions verticals</v>
          </cell>
        </row>
        <row r="146">
          <cell r="A146" t="str">
            <v>SER0147</v>
          </cell>
          <cell r="B146" t="str">
            <v>Plataformes de interoperabilitat</v>
          </cell>
          <cell r="C146" t="str">
            <v>CARMONA RUIZ, JUAN CARLO</v>
          </cell>
          <cell r="D146" t="str">
            <v>LOPEZ BARBERO, RAFAEL</v>
          </cell>
          <cell r="E146" t="str">
            <v>LOPEZ BARBERO, RAFAEL</v>
          </cell>
          <cell r="F146" t="str">
            <v>Gerència Municipal</v>
          </cell>
          <cell r="G146" t="str">
            <v>Gerència Municipal</v>
          </cell>
          <cell r="H146" t="str">
            <v>Enginyeria, Frameworks i Moduls comuns</v>
          </cell>
          <cell r="I146" t="str">
            <v>ENGINYERIA PROGRAMARI, FRAMEWORKS I MODULS COMUNS</v>
          </cell>
          <cell r="J146" t="str">
            <v>Enginyeria, Frameworks i Moduls comuns</v>
          </cell>
        </row>
        <row r="147">
          <cell r="A147" t="str">
            <v>SER0148</v>
          </cell>
          <cell r="B147" t="str">
            <v>Servei de mobilitat</v>
          </cell>
          <cell r="C147" t="str">
            <v>COLLADO COSTA, ALEJANDRO</v>
          </cell>
          <cell r="D147" t="str">
            <v>LOPEZ BARBERO, RAFAEL</v>
          </cell>
          <cell r="E147" t="str">
            <v>LOPEZ BARBERO, RAFAEL</v>
          </cell>
          <cell r="F147" t="str">
            <v>Gerència Municipal</v>
          </cell>
          <cell r="G147" t="str">
            <v>Gerència Municipal</v>
          </cell>
          <cell r="H147" t="str">
            <v>Enginyeria, Frameworks i Moduls comuns</v>
          </cell>
          <cell r="I147" t="str">
            <v>ENGINYERIA PROGRAMARI, FRAMEWORKS I MODULS COMUNS</v>
          </cell>
          <cell r="J147" t="str">
            <v>Enginyeria, Frameworks i Moduls comuns</v>
          </cell>
        </row>
        <row r="148">
          <cell r="A148" t="str">
            <v>SER0149</v>
          </cell>
          <cell r="B148" t="str">
            <v>Plataforma BI  Cognos Corporativa</v>
          </cell>
          <cell r="C148" t="str">
            <v>ROSALES POLO, JOSE LUIS</v>
          </cell>
          <cell r="D148" t="str">
            <v>SOLER ORTIZ, RUBEN</v>
          </cell>
          <cell r="E148" t="str">
            <v>SOLER ORTIZ, RUBEN</v>
          </cell>
          <cell r="F148" t="str">
            <v>Gerència Adjunta de Coordinació Territorial</v>
          </cell>
          <cell r="G148" t="str">
            <v>Gerència Municipal</v>
          </cell>
          <cell r="H148" t="str">
            <v>7.- Serveis de solucions verticals</v>
          </cell>
          <cell r="I148" t="str">
            <v>CPD</v>
          </cell>
          <cell r="J148" t="str">
            <v>7.- Serveis de solucions verticals</v>
          </cell>
        </row>
        <row r="149">
          <cell r="A149" t="str">
            <v>SER0150</v>
          </cell>
          <cell r="B149" t="str">
            <v>Administració Alcaldia</v>
          </cell>
          <cell r="C149" t="str">
            <v>LILLO ESPINOSA, ROSA M.</v>
          </cell>
          <cell r="D149" t="str">
            <v>SANTAMARIA PEREZ, GLORIA</v>
          </cell>
          <cell r="E149" t="str">
            <v>SANTAMARIA PEREZ, GLORIA</v>
          </cell>
          <cell r="F149" t="str">
            <v>Gerència de Recursos</v>
          </cell>
          <cell r="G149" t="str">
            <v>Gerència de Recursos</v>
          </cell>
          <cell r="H149" t="str">
            <v>Secretaria, Administració General i Gestió Documental</v>
          </cell>
          <cell r="I149" t="str">
            <v>RECURSOS</v>
          </cell>
          <cell r="J149" t="str">
            <v>RECURSOS I ALCALDIA</v>
          </cell>
        </row>
        <row r="150">
          <cell r="A150" t="str">
            <v>SER0151</v>
          </cell>
          <cell r="B150" t="str">
            <v>Gestió d'ordres de la GUB i Speis</v>
          </cell>
          <cell r="C150" t="str">
            <v>LILLO ESPINOSA, ROSA M.</v>
          </cell>
          <cell r="D150" t="str">
            <v>TORTOLA FERNANDEZ, JOSE A.</v>
          </cell>
          <cell r="E150" t="str">
            <v>CLOTET CIRUELO, JOSEP</v>
          </cell>
          <cell r="F150" t="str">
            <v>Gerència de Prevenció, Seguretat i Mobilitat</v>
          </cell>
          <cell r="G150" t="str">
            <v>Gerència de Seguretat i Prevenció</v>
          </cell>
          <cell r="H150" t="str">
            <v>Espai Urbà</v>
          </cell>
          <cell r="I150" t="str">
            <v>SEGURETAT I PREVENCIÓ</v>
          </cell>
          <cell r="J150" t="str">
            <v>SEGURETAT I PREVENCIÓ</v>
          </cell>
        </row>
        <row r="151">
          <cell r="A151" t="str">
            <v>SER0152</v>
          </cell>
          <cell r="B151" t="str">
            <v>QDOC. Normes ISO</v>
          </cell>
          <cell r="C151" t="str">
            <v>ROCA VILALTA, XAVIER</v>
          </cell>
          <cell r="D151" t="str">
            <v>ROCA VILALTA, XAVIER</v>
          </cell>
          <cell r="E151" t="str">
            <v>ROCA VILALTA, XAVIER</v>
          </cell>
          <cell r="F151" t="str">
            <v>Gerència de Recursos</v>
          </cell>
          <cell r="G151" t="str">
            <v>Gerència Municipal</v>
          </cell>
          <cell r="H151" t="str">
            <v>Secretaria, Administració General i Gestió Documental</v>
          </cell>
          <cell r="I151" t="str">
            <v>DRETS CIUTADANIA, PARTICIPACIÓ I TRANSPARÈNCIA</v>
          </cell>
          <cell r="J151" t="str">
            <v>DRETS CIUTADANIA, PARTICIPACIÓ I TRANSPARÈNCIA</v>
          </cell>
        </row>
        <row r="152">
          <cell r="A152" t="str">
            <v>SER0153</v>
          </cell>
          <cell r="B152" t="str">
            <v>Tauler d'Edictes Electrònics</v>
          </cell>
          <cell r="C152" t="str">
            <v>CAPELLA MINGUELL, ROSA M.</v>
          </cell>
          <cell r="D152" t="str">
            <v>SANTAMARIA PEREZ, GLORIA</v>
          </cell>
          <cell r="E152" t="str">
            <v>SANTAMARIA PEREZ, GLORIA</v>
          </cell>
          <cell r="F152" t="str">
            <v>Gerència de Recursos</v>
          </cell>
          <cell r="G152" t="str">
            <v>Gerència de Recursos</v>
          </cell>
          <cell r="H152" t="str">
            <v>Secretaria, Administració General i Gestió Documental</v>
          </cell>
          <cell r="I152" t="str">
            <v>RECURSOS</v>
          </cell>
          <cell r="J152" t="str">
            <v>RECURSOS I ALCALDIA</v>
          </cell>
        </row>
        <row r="153">
          <cell r="A153" t="str">
            <v>SER0154</v>
          </cell>
          <cell r="B153" t="str">
            <v>Wifi outdoor (ciutadà) – servei finalista</v>
          </cell>
          <cell r="C153">
            <v>0</v>
          </cell>
          <cell r="D153">
            <v>0</v>
          </cell>
          <cell r="E153">
            <v>0</v>
          </cell>
          <cell r="F153" t="str">
            <v>Gerència Municipal</v>
          </cell>
          <cell r="G153" t="str">
            <v>Gerència Municipal</v>
          </cell>
          <cell r="H153" t="str">
            <v>3.- Serveis de enllaç de dades i xarxa</v>
          </cell>
          <cell r="I153">
            <v>0</v>
          </cell>
          <cell r="J153" t="str">
            <v>3.- Serveis de enllaç de dades i xarxa</v>
          </cell>
        </row>
        <row r="154">
          <cell r="A154" t="str">
            <v>SER0155</v>
          </cell>
          <cell r="B154" t="str">
            <v>Expedients OEP de Districtes</v>
          </cell>
          <cell r="C154" t="str">
            <v>MARCH COROMINAS, MERCEDES</v>
          </cell>
          <cell r="D154" t="str">
            <v>TORTOLA FERNANDEZ, JOSE A.</v>
          </cell>
          <cell r="E154" t="str">
            <v>GUILLEN BELLIDO, JOSÉ MIGUEL</v>
          </cell>
          <cell r="F154" t="str">
            <v>Gerència d'Hàbitat Urbà</v>
          </cell>
          <cell r="G154" t="str">
            <v>Gerència Ecologia Urbana</v>
          </cell>
          <cell r="H154" t="str">
            <v>Espai Urbà</v>
          </cell>
          <cell r="I154" t="str">
            <v>ECOLOGIA URBANA. URBANISME</v>
          </cell>
          <cell r="J154" t="str">
            <v>ECOLOGIA URBANA. URBANISME</v>
          </cell>
        </row>
        <row r="155">
          <cell r="A155" t="str">
            <v>SER0156</v>
          </cell>
          <cell r="B155" t="str">
            <v>Intranet</v>
          </cell>
          <cell r="C155" t="str">
            <v>ALMATO GUITERAS, GLORIA</v>
          </cell>
          <cell r="D155" t="str">
            <v>ROCA VILALTA, XAVIER</v>
          </cell>
          <cell r="E155" t="str">
            <v>COMAPOSADA MARTI, MONTSERRAT</v>
          </cell>
          <cell r="F155" t="str">
            <v>Gerència Municipal</v>
          </cell>
          <cell r="G155" t="str">
            <v>Gerència Municipal</v>
          </cell>
          <cell r="H155" t="str">
            <v>7.- Serveis de solucions verticals</v>
          </cell>
          <cell r="I155" t="str">
            <v>INTERNET I CANALS</v>
          </cell>
          <cell r="J155" t="str">
            <v>DTI</v>
          </cell>
        </row>
        <row r="156">
          <cell r="A156" t="str">
            <v>SER0157</v>
          </cell>
          <cell r="B156" t="str">
            <v>Mobilitat de telefonia</v>
          </cell>
          <cell r="C156" t="str">
            <v>AGULLO LEON, JACINTO</v>
          </cell>
          <cell r="E156" t="str">
            <v>AZNAR IGLESIAS, JUAN ANTON</v>
          </cell>
          <cell r="F156" t="str">
            <v>Gerència Municipal</v>
          </cell>
          <cell r="G156" t="str">
            <v>Gerència Municipal</v>
          </cell>
          <cell r="H156" t="str">
            <v>7.- Serveis de solucions verticals</v>
          </cell>
          <cell r="I156" t="str">
            <v>LLOC DE TREBALL</v>
          </cell>
          <cell r="J156" t="str">
            <v>7.- Serveis de solucions verticals</v>
          </cell>
        </row>
        <row r="157">
          <cell r="A157" t="str">
            <v>SER0158</v>
          </cell>
          <cell r="B157" t="str">
            <v>Mòdul comú d'Informes</v>
          </cell>
          <cell r="C157" t="str">
            <v>SOLA PUY, ALFRED</v>
          </cell>
          <cell r="D157" t="str">
            <v>TORTOLA FERNANDEZ, JOSE A.</v>
          </cell>
          <cell r="E157" t="str">
            <v>GUILLEN BELLIDO, JOSÉ MIGUEL</v>
          </cell>
          <cell r="F157" t="str">
            <v>Gerència d'Hàbitat Urbà</v>
          </cell>
          <cell r="G157" t="str">
            <v>Gerència Ecologia Urbana</v>
          </cell>
          <cell r="H157" t="str">
            <v>Espai Urbà</v>
          </cell>
          <cell r="I157" t="str">
            <v>ECOLOGIA URBANA. URBANISME</v>
          </cell>
          <cell r="J157" t="str">
            <v>ECOLOGIA URBANA. URBANISME</v>
          </cell>
        </row>
        <row r="158">
          <cell r="A158" t="str">
            <v>SER0159</v>
          </cell>
          <cell r="B158" t="str">
            <v>Gestió d'Expedients de Personal</v>
          </cell>
          <cell r="C158" t="str">
            <v>ILLAN ROURA, INES</v>
          </cell>
          <cell r="D158" t="str">
            <v>PUY CASTELLS, JOSEP</v>
          </cell>
          <cell r="E158" t="str">
            <v>PUY CASTELLS, JOSEP</v>
          </cell>
          <cell r="F158" t="str">
            <v>Gerència de Recursos Humans i Organització</v>
          </cell>
          <cell r="G158" t="str">
            <v>Gerència de Recursos Humans i Organització</v>
          </cell>
          <cell r="H158" t="str">
            <v>Recursos Humans</v>
          </cell>
          <cell r="I158" t="str">
            <v>RRHH I ORGANITZACIÓ</v>
          </cell>
          <cell r="J158" t="str">
            <v>RRHH I ORGANITZACIÓ</v>
          </cell>
        </row>
        <row r="159">
          <cell r="A159" t="str">
            <v>SER0160</v>
          </cell>
          <cell r="B159" t="str">
            <v>Sistemes d'Informació, Tràmits i Gestions</v>
          </cell>
          <cell r="C159" t="str">
            <v>ROSSELL BLAZQUEZ, ALBERT</v>
          </cell>
          <cell r="D159" t="str">
            <v>TRIAS JUNCOSA, JAUME</v>
          </cell>
          <cell r="E159" t="str">
            <v>TRIAS JUNCOSA, JAUME</v>
          </cell>
          <cell r="F159" t="str">
            <v>Gerència de Recursos</v>
          </cell>
          <cell r="G159" t="str">
            <v>Gerència de Drets de Ciutadania, Participació i Transpàrencia</v>
          </cell>
          <cell r="H159" t="str">
            <v>Atenció al Ciutadà</v>
          </cell>
          <cell r="I159" t="str">
            <v>DRETS CIUTADANIA, PARTICIPACIÓ I TRANSPARÈNCIA</v>
          </cell>
          <cell r="J159" t="str">
            <v>DRETS CIUTADANIA, PARTICIPACIÓ I TRANSPARÈNCIA</v>
          </cell>
        </row>
        <row r="160">
          <cell r="A160" t="str">
            <v>SER0161</v>
          </cell>
          <cell r="B160" t="str">
            <v>Tramitacions per Internet</v>
          </cell>
          <cell r="C160" t="str">
            <v>TRIAS JUNCOSA, JAUME</v>
          </cell>
          <cell r="D160" t="str">
            <v>TRIAS JUNCOSA, JAUME</v>
          </cell>
          <cell r="E160" t="str">
            <v>TRIAS JUNCOSA, JAUME</v>
          </cell>
          <cell r="F160" t="str">
            <v>Gerència de Recursos</v>
          </cell>
          <cell r="G160" t="str">
            <v>Gerència de Recursos</v>
          </cell>
          <cell r="H160" t="str">
            <v>Atenció al Ciutadà</v>
          </cell>
          <cell r="I160" t="str">
            <v>SERVEIS COMUNS ADMINISTRACIÓ ELECTRÓNICA</v>
          </cell>
          <cell r="J160" t="str">
            <v>TRAMITACIÓ, PORTAL I CARPETES</v>
          </cell>
        </row>
        <row r="161">
          <cell r="A161" t="str">
            <v>SER0162</v>
          </cell>
          <cell r="B161" t="str">
            <v>Quioscos multiserveis</v>
          </cell>
          <cell r="C161" t="str">
            <v>TRIAS JUNCOSA, JAUME</v>
          </cell>
          <cell r="D161" t="str">
            <v>TRIAS JUNCOSA, JAUME</v>
          </cell>
          <cell r="E161" t="str">
            <v>TRIAS JUNCOSA, JAUME</v>
          </cell>
          <cell r="F161" t="str">
            <v>Gerència de Recursos</v>
          </cell>
          <cell r="G161" t="str">
            <v>Gerència de Drets de Ciutadania, Participació i Transpàrencia</v>
          </cell>
          <cell r="H161" t="str">
            <v>Atenció al Ciutadà</v>
          </cell>
          <cell r="I161" t="str">
            <v>DRETS CIUTADANIA, PARTICIPACIÓ I TRANSPARÈNCIA</v>
          </cell>
          <cell r="J161" t="str">
            <v>DRETS CIUTADANIA, PARTICIPACIÓ I TRANSPARÈNCIA</v>
          </cell>
        </row>
        <row r="162">
          <cell r="A162" t="str">
            <v>SER0163</v>
          </cell>
          <cell r="B162" t="str">
            <v>Servei de cita prèvia a les OAC's i Serveis Tècnics</v>
          </cell>
          <cell r="C162" t="str">
            <v>TRIAS JUNCOSA, JAUME</v>
          </cell>
          <cell r="D162" t="str">
            <v>TRIAS JUNCOSA, JAUME</v>
          </cell>
          <cell r="E162" t="str">
            <v>TRIAS JUNCOSA, JAUME</v>
          </cell>
          <cell r="F162" t="str">
            <v>Gerència de Recursos</v>
          </cell>
          <cell r="G162" t="str">
            <v>Gerència de Drets de Ciutadania, Participació i Transpàrencia</v>
          </cell>
          <cell r="H162" t="str">
            <v>Atenció al Ciutadà</v>
          </cell>
          <cell r="I162" t="str">
            <v>DRETS CIUTADANIA, PARTICIPACIÓ I TRANSPARÈNCIA</v>
          </cell>
          <cell r="J162" t="str">
            <v>DRETS CIUTADANIA, PARTICIPACIÓ I TRANSPARÈNCIA</v>
          </cell>
        </row>
        <row r="163">
          <cell r="A163" t="str">
            <v>SER0164</v>
          </cell>
          <cell r="B163" t="str">
            <v>Serveis web de publicació i interoperabilitat cartogràfica</v>
          </cell>
          <cell r="C163" t="str">
            <v>BOLIVAR LEYVA, MIGUEL ANG</v>
          </cell>
          <cell r="D163" t="str">
            <v>Sanz Marco, Lluis</v>
          </cell>
          <cell r="E163">
            <v>0</v>
          </cell>
          <cell r="F163" t="str">
            <v>IMI-IDB</v>
          </cell>
          <cell r="G163" t="str">
            <v>IMI-IDB</v>
          </cell>
          <cell r="H163" t="str">
            <v>Espai Urbà</v>
          </cell>
          <cell r="I163" t="str">
            <v>IMI - IDB</v>
          </cell>
          <cell r="J163" t="str">
            <v>Espai Urbà</v>
          </cell>
        </row>
        <row r="164">
          <cell r="A164" t="str">
            <v>SER0165</v>
          </cell>
          <cell r="B164" t="str">
            <v>Servei de visualització territorial Corporatiu (VISTA)</v>
          </cell>
          <cell r="C164" t="str">
            <v>BOLIVAR LEYVA, MIGUEL ANG</v>
          </cell>
          <cell r="D164" t="str">
            <v>SANZ MARCO, LLUIS</v>
          </cell>
          <cell r="E164">
            <v>0</v>
          </cell>
          <cell r="F164" t="str">
            <v>IMI-IDB</v>
          </cell>
          <cell r="G164" t="str">
            <v>IMI-IDB</v>
          </cell>
          <cell r="H164" t="str">
            <v>Espai Urbà</v>
          </cell>
          <cell r="I164" t="str">
            <v>IMI - IDB</v>
          </cell>
          <cell r="J164" t="str">
            <v>Espai Urbà</v>
          </cell>
        </row>
        <row r="165">
          <cell r="A165" t="str">
            <v>SER0166</v>
          </cell>
          <cell r="B165" t="str">
            <v>Serveis derivats de la plataforma Vista</v>
          </cell>
          <cell r="C165" t="str">
            <v>CEBRIAN AGRAS, JORDI</v>
          </cell>
          <cell r="D165" t="str">
            <v>LOPEZ FUMANAL, JUANJO</v>
          </cell>
          <cell r="E165" t="str">
            <v>GARCIA DE PEDRO, ENRIC</v>
          </cell>
          <cell r="F165" t="str">
            <v>IMI-IDB</v>
          </cell>
          <cell r="G165" t="str">
            <v>IMI-IDB</v>
          </cell>
          <cell r="H165" t="str">
            <v>IDB-Cartografia</v>
          </cell>
          <cell r="I165" t="str">
            <v>INFORMACIÓ DE BASE</v>
          </cell>
          <cell r="J165" t="str">
            <v>IDB-Cartografia</v>
          </cell>
        </row>
        <row r="166">
          <cell r="A166" t="str">
            <v>SER0167</v>
          </cell>
          <cell r="B166" t="str">
            <v>Servei d'integració de la informació i coneixement per a la coordinació territorial (BiMAP)</v>
          </cell>
          <cell r="C166" t="str">
            <v>ROSSELL BLAZQUEZ, ALBERT</v>
          </cell>
          <cell r="D166" t="str">
            <v>LOPEZ FUMANAL, JUANJO</v>
          </cell>
          <cell r="E166" t="str">
            <v>TRIAS JUNCOSA, JAUME</v>
          </cell>
          <cell r="F166" t="str">
            <v>Gerència Adjunta de Coordinació Territorial</v>
          </cell>
          <cell r="G166" t="str">
            <v>Gerència de Recursos</v>
          </cell>
          <cell r="H166" t="str">
            <v>Anàlisi de dades i Reporting</v>
          </cell>
          <cell r="I166" t="str">
            <v>INFORMACIÓ DE BASE</v>
          </cell>
          <cell r="J166" t="str">
            <v>INFORMACIÓ DE BASE</v>
          </cell>
        </row>
        <row r="167">
          <cell r="A167" t="str">
            <v>SER0168</v>
          </cell>
          <cell r="B167" t="str">
            <v>Servei web de consulta de la Guia Urbana i equipaments municipals (www.bcn.cat/guia)</v>
          </cell>
          <cell r="C167" t="str">
            <v>URENDA CHAVES, JOSE IGNAC</v>
          </cell>
          <cell r="E167" t="str">
            <v>GARCIA DE PEDRO, ENRIC</v>
          </cell>
          <cell r="F167" t="str">
            <v>Gerència de Recursos</v>
          </cell>
          <cell r="G167" t="str">
            <v>Gerència de Drets de Ciutadania, Participació i Transpàrencia</v>
          </cell>
          <cell r="H167" t="str">
            <v>IDB-Cartografia</v>
          </cell>
          <cell r="I167" t="str">
            <v>INFORMACIÓ DE BASE</v>
          </cell>
          <cell r="J167" t="str">
            <v>IDB-Cartografia</v>
          </cell>
        </row>
        <row r="168">
          <cell r="A168" t="str">
            <v>SER0169</v>
          </cell>
          <cell r="B168" t="str">
            <v>Servei d'integració de la informació urbanística per a la gestió interna municipal (SICS)</v>
          </cell>
          <cell r="C168" t="str">
            <v>LLINARES GINER, JAVIER</v>
          </cell>
          <cell r="E168" t="str">
            <v>GARCIA DE PEDRO, ENRIC</v>
          </cell>
          <cell r="F168" t="str">
            <v>IMI-IDB</v>
          </cell>
          <cell r="G168" t="str">
            <v>IMI-IDB</v>
          </cell>
          <cell r="H168" t="str">
            <v>IDB-Cartografia</v>
          </cell>
          <cell r="I168" t="str">
            <v>INFORMACIÓ DE BASE</v>
          </cell>
          <cell r="J168" t="str">
            <v>IDB-Cartografia</v>
          </cell>
        </row>
        <row r="169">
          <cell r="A169" t="str">
            <v>SER0170</v>
          </cell>
          <cell r="B169" t="str">
            <v>Serveis d'accés i tractament dela informació del SITEB basats en la plataforma Microstation (REFSITE</v>
          </cell>
          <cell r="C169" t="str">
            <v>NIEVA BENITO, JAVIER</v>
          </cell>
          <cell r="E169" t="str">
            <v>GARCIA DE PEDRO, ENRIC</v>
          </cell>
          <cell r="F169" t="str">
            <v>IMI-IDB</v>
          </cell>
          <cell r="G169" t="str">
            <v>IMI-IDB</v>
          </cell>
          <cell r="H169" t="str">
            <v>IDB-Cartografia</v>
          </cell>
          <cell r="I169" t="str">
            <v>INFORMACIÓ DE BASE</v>
          </cell>
          <cell r="J169" t="str">
            <v>IDB-Cartografia</v>
          </cell>
        </row>
        <row r="170">
          <cell r="A170" t="str">
            <v>SER0171</v>
          </cell>
          <cell r="B170" t="str">
            <v>Servei de suport cartogràfic a la gestió de la fiscalitat dels guals. (Gguals)</v>
          </cell>
          <cell r="C170" t="str">
            <v>LLINARES GINER, JAVIER</v>
          </cell>
          <cell r="E170" t="str">
            <v>GARCIA DE PEDRO, ENRIC</v>
          </cell>
          <cell r="F170" t="str">
            <v>Gerència de Prevenció, Seguretat i Mobilitat</v>
          </cell>
          <cell r="G170" t="str">
            <v>Gerència Ecologia Urbana</v>
          </cell>
          <cell r="H170" t="str">
            <v>IDB-Cartografia</v>
          </cell>
          <cell r="I170" t="str">
            <v>INFORMACIÓ DE BASE</v>
          </cell>
          <cell r="J170" t="str">
            <v>IDB-Cartografia</v>
          </cell>
        </row>
        <row r="171">
          <cell r="A171" t="str">
            <v>SER0172</v>
          </cell>
          <cell r="B171" t="str">
            <v>Servei de manteniment de la xarxa viària i sentits de circulació (Hermes)</v>
          </cell>
          <cell r="C171" t="str">
            <v>LLINARES GINER, JAVIER</v>
          </cell>
          <cell r="E171" t="str">
            <v>GARCIA DE PEDRO, ENRIC</v>
          </cell>
          <cell r="F171" t="str">
            <v>Gerència de Prevenció, Seguretat i Mobilitat</v>
          </cell>
          <cell r="G171" t="str">
            <v>Gerència Ecologia Urbana</v>
          </cell>
          <cell r="H171" t="str">
            <v>IDB-Cartografia</v>
          </cell>
          <cell r="I171" t="str">
            <v>INFORMACIÓ DE BASE</v>
          </cell>
          <cell r="J171" t="str">
            <v>IDB-Cartografia</v>
          </cell>
        </row>
        <row r="172">
          <cell r="A172" t="str">
            <v>SER0173</v>
          </cell>
          <cell r="B172" t="str">
            <v>Servei de manteniment i explotació de les fitxes itineràries de SPEIS  (Aigua)</v>
          </cell>
          <cell r="C172" t="str">
            <v>LLINARES GINER, JAVIER</v>
          </cell>
          <cell r="E172" t="str">
            <v>GARCIA DE PEDRO, ENRIC</v>
          </cell>
          <cell r="F172" t="str">
            <v>Gerència de Prevenció, Seguretat i Mobilitat</v>
          </cell>
          <cell r="G172" t="str">
            <v>Gerència de Seguretat i Prevenció</v>
          </cell>
          <cell r="H172" t="str">
            <v>IDB-Cartografia</v>
          </cell>
          <cell r="I172" t="str">
            <v>INFORMACIÓ DE BASE</v>
          </cell>
          <cell r="J172" t="str">
            <v>IDB-Cartografia</v>
          </cell>
        </row>
        <row r="173">
          <cell r="A173" t="str">
            <v>SER0174</v>
          </cell>
          <cell r="B173" t="str">
            <v>Interoperabilitat Interna</v>
          </cell>
          <cell r="C173" t="str">
            <v>AOIZ LINARES, J.JAVIER</v>
          </cell>
          <cell r="D173" t="str">
            <v>SOLER ORTIZ, RUBEN</v>
          </cell>
          <cell r="E173" t="str">
            <v>SOLER ORTIZ, RUBEN</v>
          </cell>
          <cell r="F173" t="str">
            <v>Gerència Municipal</v>
          </cell>
          <cell r="G173" t="str">
            <v>Gerència Municipal</v>
          </cell>
          <cell r="H173">
            <v>0</v>
          </cell>
          <cell r="I173" t="str">
            <v>CPD</v>
          </cell>
          <cell r="J173">
            <v>0</v>
          </cell>
        </row>
        <row r="174">
          <cell r="A174" t="str">
            <v>SER0175</v>
          </cell>
          <cell r="B174" t="str">
            <v>Servei de Comunicació Interna</v>
          </cell>
          <cell r="C174" t="str">
            <v>BERENGUER FELIPE DE, CRISTINA</v>
          </cell>
          <cell r="E174" t="str">
            <v>HERNAIZ ALZAMORA, DAVID</v>
          </cell>
          <cell r="F174" t="str">
            <v>IMI-TIC</v>
          </cell>
          <cell r="G174" t="str">
            <v>IMI-TIC</v>
          </cell>
          <cell r="H174" t="str">
            <v>Sistemes Gestió IMI</v>
          </cell>
          <cell r="I174" t="str">
            <v>ATENCIÓ PROPERA A L'USUARI</v>
          </cell>
          <cell r="J174" t="str">
            <v>Sistemes Gestió IMI</v>
          </cell>
        </row>
        <row r="175">
          <cell r="A175" t="str">
            <v>SER0176</v>
          </cell>
          <cell r="B175" t="str">
            <v>Gestió del coneixement</v>
          </cell>
          <cell r="C175" t="str">
            <v>JEREZ MARTINEZ, JOSEFINA</v>
          </cell>
          <cell r="E175" t="e">
            <v>#N/A</v>
          </cell>
          <cell r="F175" t="str">
            <v>IMI-TIC</v>
          </cell>
          <cell r="G175" t="e">
            <v>#N/A</v>
          </cell>
          <cell r="H175" t="str">
            <v>Sistemes Gestió IMI</v>
          </cell>
          <cell r="I175" t="e">
            <v>#N/A</v>
          </cell>
          <cell r="J175" t="str">
            <v>Sistemes Gestió IMI</v>
          </cell>
        </row>
        <row r="176">
          <cell r="A176" t="str">
            <v>SER0177</v>
          </cell>
          <cell r="B176" t="str">
            <v>Servei Comú de Plantilles</v>
          </cell>
          <cell r="C176" t="str">
            <v>ECHEVARRIA MESEGUER, CARLOS</v>
          </cell>
          <cell r="E176">
            <v>0</v>
          </cell>
          <cell r="F176" t="str">
            <v>Gerència Municipal</v>
          </cell>
          <cell r="G176" t="str">
            <v>Gerència Municipal</v>
          </cell>
          <cell r="H176" t="str">
            <v>Enginyeria, Frameworks i Moduls comuns</v>
          </cell>
          <cell r="I176" t="str">
            <v>ENGINYERIA PROGRAMARI, FRAMEWORKS I MODULS COMUNS</v>
          </cell>
          <cell r="J176" t="str">
            <v>ENGINYERIA PROGRAMARI, FRAMEWORKS I MODULS COMUNS</v>
          </cell>
        </row>
        <row r="177">
          <cell r="A177" t="str">
            <v>SER0178</v>
          </cell>
          <cell r="B177" t="str">
            <v>Arquitectura ARIS</v>
          </cell>
          <cell r="C177" t="str">
            <v>SUBIRAS PUGIBET, JAUME</v>
          </cell>
          <cell r="D177" t="str">
            <v>ECHEVARRIA MESEGUER, CARLOS</v>
          </cell>
          <cell r="E177">
            <v>0</v>
          </cell>
          <cell r="F177" t="str">
            <v>IMI-TIC</v>
          </cell>
          <cell r="G177" t="str">
            <v>IMI-TIC</v>
          </cell>
          <cell r="H177" t="str">
            <v xml:space="preserve">Procesos </v>
          </cell>
          <cell r="I177">
            <v>0</v>
          </cell>
          <cell r="J177" t="str">
            <v xml:space="preserve">Procesos </v>
          </cell>
        </row>
        <row r="178">
          <cell r="A178" t="str">
            <v>SER0179</v>
          </cell>
          <cell r="B178" t="str">
            <v>Servei eines de Gestió de Serveis</v>
          </cell>
          <cell r="C178" t="str">
            <v>SENTIS ORTIZ, JOAN</v>
          </cell>
          <cell r="D178" t="str">
            <v>LAGE HUERTAS, JOSE</v>
          </cell>
          <cell r="E178" t="str">
            <v>LAGE HUERTAS, JOSE</v>
          </cell>
          <cell r="F178" t="str">
            <v>IMI-TIC</v>
          </cell>
          <cell r="G178" t="str">
            <v>IMI-TIC</v>
          </cell>
          <cell r="H178" t="str">
            <v>Gestió Serveis TIC</v>
          </cell>
          <cell r="I178" t="str">
            <v>SMO - Gestió de Serveis</v>
          </cell>
          <cell r="J178" t="str">
            <v>Gestió Serveis TIC</v>
          </cell>
        </row>
        <row r="179">
          <cell r="A179" t="str">
            <v>SER0180</v>
          </cell>
          <cell r="B179" t="str">
            <v>Registre d'activitats i tràmits (RAT)</v>
          </cell>
          <cell r="C179" t="str">
            <v>ALEMANY SERRA, FRANCESC</v>
          </cell>
          <cell r="D179" t="str">
            <v>TRIAS JUNCOSA, JAUME</v>
          </cell>
          <cell r="E179" t="str">
            <v>TRIAS JUNCOSA, JAUME</v>
          </cell>
          <cell r="F179" t="str">
            <v>Gerència de Recursos</v>
          </cell>
          <cell r="G179" t="str">
            <v>Gerència de Recursos</v>
          </cell>
          <cell r="H179" t="str">
            <v>Atenció al Ciutadà</v>
          </cell>
          <cell r="I179" t="str">
            <v>DRETS CIUTADANIA, PARTICIPACIÓ I TRANSPARÈNCIA</v>
          </cell>
          <cell r="J179" t="str">
            <v>TRAMITACIÓ, PORTAL I CARPETES</v>
          </cell>
        </row>
        <row r="180">
          <cell r="A180" t="str">
            <v>SER0181</v>
          </cell>
          <cell r="B180" t="str">
            <v>Servei impressió de host</v>
          </cell>
          <cell r="C180" t="str">
            <v>AGUIRRE BARROS, MARIO</v>
          </cell>
          <cell r="E180" t="str">
            <v>AZNAR IGLESIAS, JUAN ANTON</v>
          </cell>
          <cell r="F180" t="str">
            <v>Institut Municipal d'Hisenda de Barcelona</v>
          </cell>
          <cell r="G180" t="str">
            <v>Institut Municipal d'Hisenda de Barcelona</v>
          </cell>
          <cell r="H180">
            <v>0</v>
          </cell>
          <cell r="I180" t="str">
            <v>LLOC DE TREBALL</v>
          </cell>
          <cell r="J180">
            <v>0</v>
          </cell>
        </row>
        <row r="181">
          <cell r="A181" t="str">
            <v>SER0182</v>
          </cell>
          <cell r="B181" t="str">
            <v>Servei impressió ofimàtica</v>
          </cell>
          <cell r="C181" t="str">
            <v>AGUIRRE BARROS, MARIO</v>
          </cell>
          <cell r="E181" t="str">
            <v>AZNAR IGLESIAS, JUAN ANTON</v>
          </cell>
          <cell r="F181" t="str">
            <v>Gerència Municipal</v>
          </cell>
          <cell r="G181" t="str">
            <v>Gerència Municipal</v>
          </cell>
          <cell r="H181">
            <v>0</v>
          </cell>
          <cell r="I181" t="str">
            <v>LLOC DE TREBALL</v>
          </cell>
          <cell r="J181">
            <v>0</v>
          </cell>
        </row>
        <row r="182">
          <cell r="A182" t="str">
            <v>SER0183</v>
          </cell>
          <cell r="B182" t="str">
            <v>Llicències d'Activitat</v>
          </cell>
          <cell r="C182" t="str">
            <v>GARCIA GONZALEZ, JOSEP</v>
          </cell>
          <cell r="D182" t="str">
            <v>TORTOLA FERNANDEZ, JOSE A.</v>
          </cell>
          <cell r="E182" t="str">
            <v>GUILLEN BELLIDO, JOSÉ MIGUEL</v>
          </cell>
          <cell r="F182" t="str">
            <v>Gerència d'Hàbitat Urbà</v>
          </cell>
          <cell r="G182" t="str">
            <v>Gerència Ecologia Urbana</v>
          </cell>
          <cell r="H182" t="str">
            <v>Espai Urbà</v>
          </cell>
          <cell r="I182" t="str">
            <v>ECOLOGIA URBANA. URBANISME</v>
          </cell>
          <cell r="J182" t="str">
            <v>GUILLEN BELLIDO, JOSÉ MIGUEL</v>
          </cell>
        </row>
        <row r="183">
          <cell r="A183" t="str">
            <v>SER0184</v>
          </cell>
          <cell r="B183" t="str">
            <v>Govern web - oficina tècnica</v>
          </cell>
          <cell r="C183" t="str">
            <v>ALMATO GUITERAS, GLORIA</v>
          </cell>
          <cell r="D183" t="str">
            <v>ROCA VILALTA, XAVIER</v>
          </cell>
          <cell r="E183" t="str">
            <v>COMAPOSADA MARTI, MONTSERRAT</v>
          </cell>
          <cell r="F183" t="str">
            <v>Gerència de Recursos</v>
          </cell>
          <cell r="G183" t="str">
            <v>Gerència de Recursos</v>
          </cell>
          <cell r="H183" t="str">
            <v>DTI</v>
          </cell>
          <cell r="I183" t="str">
            <v>INTERNET I CANALS</v>
          </cell>
          <cell r="J183" t="str">
            <v>DTI</v>
          </cell>
        </row>
        <row r="184">
          <cell r="A184" t="str">
            <v>SER0185</v>
          </cell>
          <cell r="B184" t="str">
            <v>Indicadors web</v>
          </cell>
          <cell r="C184" t="str">
            <v>BITLLOCH PUIGVERT, JOAN R</v>
          </cell>
          <cell r="D184" t="str">
            <v>ROCA VILALTA, XAVIER</v>
          </cell>
          <cell r="E184" t="str">
            <v>MARCILLAS RIERA, SILVIA</v>
          </cell>
          <cell r="F184" t="str">
            <v>Gerència de Recursos</v>
          </cell>
          <cell r="G184" t="str">
            <v>Gerència de Recursos</v>
          </cell>
          <cell r="H184" t="str">
            <v>DTI</v>
          </cell>
          <cell r="I184" t="str">
            <v>DRETS CIUTADANIA, PARTICIPACIÓ I TRANSPARÈNCIA</v>
          </cell>
          <cell r="J184" t="str">
            <v>DTI</v>
          </cell>
        </row>
        <row r="185">
          <cell r="A185" t="str">
            <v>SER0186</v>
          </cell>
          <cell r="B185" t="str">
            <v>Mòduls transversals d'Internet</v>
          </cell>
          <cell r="C185" t="str">
            <v>COMAPOSADA MARTI, MONTSERRAT</v>
          </cell>
          <cell r="D185" t="str">
            <v>ROCA VILALTA, XAVIER</v>
          </cell>
          <cell r="E185" t="str">
            <v>MARCILLAS RIERA, SILVIA</v>
          </cell>
          <cell r="F185" t="str">
            <v>Gerència de Recursos</v>
          </cell>
          <cell r="G185" t="str">
            <v>Gerència de Recursos</v>
          </cell>
          <cell r="H185" t="str">
            <v>DTI</v>
          </cell>
          <cell r="I185" t="str">
            <v>DRETS CIUTADANIA, PARTICIPACIÓ I TRANSPARÈNCIA</v>
          </cell>
          <cell r="J185" t="str">
            <v>DTI</v>
          </cell>
        </row>
        <row r="186">
          <cell r="A186" t="str">
            <v>SER0187</v>
          </cell>
          <cell r="B186" t="str">
            <v>Gestió de continguts d'Internet</v>
          </cell>
          <cell r="C186" t="str">
            <v>ALMATO GUITERAS, GLORIA</v>
          </cell>
          <cell r="D186" t="str">
            <v>ROCA VILALTA, XAVIER</v>
          </cell>
          <cell r="E186" t="str">
            <v>MARCILLAS RIERA, SILVIA</v>
          </cell>
          <cell r="F186" t="str">
            <v>Gerència de Recursos</v>
          </cell>
          <cell r="G186" t="str">
            <v>Gerència de Recursos</v>
          </cell>
          <cell r="H186" t="str">
            <v>DTI</v>
          </cell>
          <cell r="I186" t="str">
            <v>INTERNET I CANALS</v>
          </cell>
          <cell r="J186" t="str">
            <v>DTI</v>
          </cell>
        </row>
        <row r="187">
          <cell r="A187" t="str">
            <v>SER0188</v>
          </cell>
          <cell r="B187" t="str">
            <v>Infrastructures web</v>
          </cell>
          <cell r="C187" t="str">
            <v>BITLLOCH PUIGVERT, JOAN R</v>
          </cell>
          <cell r="D187" t="str">
            <v>ROCA VILALTA, XAVIER</v>
          </cell>
          <cell r="E187" t="str">
            <v>MARCILLAS RIERA, SILVIA</v>
          </cell>
          <cell r="F187" t="str">
            <v>Gerència de Recursos</v>
          </cell>
          <cell r="G187" t="str">
            <v>Gerència de Recursos</v>
          </cell>
          <cell r="H187" t="str">
            <v>DTI</v>
          </cell>
          <cell r="I187" t="str">
            <v>DRETS CIUTADANIA, PARTICIPACIÓ I TRANSPARÈNCIA</v>
          </cell>
          <cell r="J187" t="str">
            <v>DTI</v>
          </cell>
        </row>
        <row r="188">
          <cell r="A188" t="str">
            <v>SER0189</v>
          </cell>
          <cell r="B188" t="str">
            <v>Webs especials</v>
          </cell>
          <cell r="C188" t="str">
            <v>COMAPOSADA MARTI, MONTSERRAT</v>
          </cell>
          <cell r="D188" t="str">
            <v>ROCA VILALTA, XAVIER</v>
          </cell>
          <cell r="E188" t="str">
            <v>MARCILLAS RIERA, SILVIA</v>
          </cell>
          <cell r="F188" t="str">
            <v>Gerència de Recursos</v>
          </cell>
          <cell r="G188" t="str">
            <v>Gerència de Recursos</v>
          </cell>
          <cell r="H188" t="str">
            <v>DTI</v>
          </cell>
          <cell r="I188" t="str">
            <v>DRETS CIUTADANIA, PARTICIPACIÓ I TRANSPARÈNCIA</v>
          </cell>
          <cell r="J188" t="str">
            <v>DTI</v>
          </cell>
        </row>
        <row r="189">
          <cell r="A189" t="str">
            <v>SER0190</v>
          </cell>
          <cell r="B189" t="str">
            <v>Web Notícies</v>
          </cell>
          <cell r="C189" t="str">
            <v>COMAPOSADA MARTI, MONTSERRAT</v>
          </cell>
          <cell r="D189" t="str">
            <v>ROCA VILALTA, XAVIER</v>
          </cell>
          <cell r="E189" t="str">
            <v>MARCILLAS RIERA, SILVIA</v>
          </cell>
          <cell r="F189" t="str">
            <v>Gerència de Recursos</v>
          </cell>
          <cell r="G189" t="str">
            <v>Gerència de Recursos</v>
          </cell>
          <cell r="H189" t="str">
            <v>DTI</v>
          </cell>
          <cell r="I189" t="str">
            <v>DRETS CIUTADANIA, PARTICIPACIÓ I TRANSPARÈNCIA</v>
          </cell>
          <cell r="J189" t="str">
            <v>DTI</v>
          </cell>
        </row>
        <row r="190">
          <cell r="A190" t="str">
            <v>SER0191</v>
          </cell>
          <cell r="B190" t="str">
            <v>Web Publicacions</v>
          </cell>
          <cell r="C190" t="str">
            <v>ALMATO GUITERAS, GLORIA</v>
          </cell>
          <cell r="D190" t="str">
            <v>ROCA VILALTA, XAVIER</v>
          </cell>
          <cell r="E190" t="str">
            <v>MARCILLAS RIERA, SILVIA</v>
          </cell>
          <cell r="F190" t="str">
            <v>Gerència de Recursos</v>
          </cell>
          <cell r="G190" t="str">
            <v>Gerència de Recursos</v>
          </cell>
          <cell r="H190" t="str">
            <v>DTI</v>
          </cell>
          <cell r="I190" t="str">
            <v>DRETS CIUTADANIA, PARTICIPACIÓ I TRANSPARÈNCIA</v>
          </cell>
          <cell r="J190" t="str">
            <v>DTI</v>
          </cell>
        </row>
        <row r="191">
          <cell r="A191" t="str">
            <v>SER0192</v>
          </cell>
          <cell r="B191" t="str">
            <v>Serveis Multimèdia Web</v>
          </cell>
          <cell r="C191" t="str">
            <v>ALMATO GUITERAS, GLORIA</v>
          </cell>
          <cell r="D191" t="str">
            <v>ROCA VILALTA, XAVIER</v>
          </cell>
          <cell r="E191" t="str">
            <v>MARCILLAS RIERA, SILVIA</v>
          </cell>
          <cell r="F191" t="str">
            <v>Gerència de Recursos</v>
          </cell>
          <cell r="G191" t="str">
            <v>Gerència de Recursos</v>
          </cell>
          <cell r="H191" t="str">
            <v>DTI</v>
          </cell>
          <cell r="I191" t="str">
            <v>DRETS CIUTADANIA, PARTICIPACIÓ I TRANSPARÈNCIA</v>
          </cell>
          <cell r="J191" t="str">
            <v>DTI</v>
          </cell>
        </row>
        <row r="192">
          <cell r="A192" t="str">
            <v>SER0193</v>
          </cell>
          <cell r="B192" t="str">
            <v>Traces d'auditoria d'accesos i consulta de dades</v>
          </cell>
          <cell r="C192" t="str">
            <v>CARMONA RUIZ, JUAN CARLO</v>
          </cell>
          <cell r="D192" t="str">
            <v>LOPEZ BARBERO, RAFAEL</v>
          </cell>
          <cell r="E192" t="str">
            <v>LOPEZ BARBERO, RAFAEL</v>
          </cell>
          <cell r="F192" t="str">
            <v>Gerència Municipal</v>
          </cell>
          <cell r="G192" t="str">
            <v>Gerència Municipal</v>
          </cell>
          <cell r="H192" t="str">
            <v>Enginyeria, Frameworks i Moduls comuns</v>
          </cell>
          <cell r="I192" t="str">
            <v>ENGINYERIA PROGRAMARI, FRAMEWORKS I MODULS COMUNS</v>
          </cell>
          <cell r="J192" t="str">
            <v>ENGINYERIA PROGRAMARI, FRAMEWORKS I MODULS COMUNS</v>
          </cell>
        </row>
        <row r="193">
          <cell r="A193" t="str">
            <v>SER0194</v>
          </cell>
          <cell r="B193" t="str">
            <v>Reports, Plantilles i SICON</v>
          </cell>
          <cell r="C193" t="str">
            <v>ORTIZ QUINTANA, IVAN</v>
          </cell>
          <cell r="D193" t="str">
            <v>LOPEZ BARBERO, RAFAEL</v>
          </cell>
          <cell r="E193" t="str">
            <v>LOPEZ BARBERO, RAFAEL</v>
          </cell>
          <cell r="F193" t="str">
            <v>Gerència Municipal</v>
          </cell>
          <cell r="G193" t="str">
            <v>Gerència Municipal</v>
          </cell>
          <cell r="H193" t="str">
            <v>Enginyeria, Frameworks i Moduls comuns</v>
          </cell>
          <cell r="I193" t="str">
            <v>ENGINYERIA PROGRAMARI, FRAMEWORKS I MODULS COMUNS</v>
          </cell>
          <cell r="J193" t="str">
            <v>ENGINYERIA PROGRAMARI, FRAMEWORKS I MODULS COMUNS</v>
          </cell>
        </row>
        <row r="194">
          <cell r="A194" t="str">
            <v>SER0195</v>
          </cell>
          <cell r="B194" t="str">
            <v>Estadístiques Municipals</v>
          </cell>
          <cell r="C194" t="str">
            <v>AZORI JUNYENT, CARLOS</v>
          </cell>
          <cell r="D194" t="str">
            <v>TRIAS JUNCOSA, JAUME</v>
          </cell>
          <cell r="E194" t="str">
            <v>SERRA FERRANDO, MARTA</v>
          </cell>
          <cell r="F194" t="str">
            <v>Gerència de Recursos</v>
          </cell>
          <cell r="G194" t="str">
            <v>Gerència de Recursos</v>
          </cell>
          <cell r="H194" t="str">
            <v>Atenció al Ciutadà</v>
          </cell>
          <cell r="I194" t="str">
            <v>ANÀLISI DE DADES I REPORTING</v>
          </cell>
          <cell r="J194" t="str">
            <v>ANÀLISI DE DADES I REPORTING</v>
          </cell>
        </row>
        <row r="195">
          <cell r="A195" t="str">
            <v>SER0197</v>
          </cell>
          <cell r="B195" t="str">
            <v>Sistema d'Explotació de dades i reporting del IBE</v>
          </cell>
          <cell r="C195" t="str">
            <v>GONZALEZ GARCIA, SUSANA</v>
          </cell>
          <cell r="D195" t="str">
            <v>LLUCH LOPEZ, JAIME</v>
          </cell>
          <cell r="E195" t="str">
            <v>LLUCH LOPEZ, JAIME</v>
          </cell>
          <cell r="F195" t="str">
            <v>Gerència de Qualitat de Vida, Igualtat i Esports</v>
          </cell>
          <cell r="G195" t="str">
            <v>Gerència de Drets de Ciutadania, Participació i Transpàrencia</v>
          </cell>
          <cell r="H195" t="str">
            <v>Anàlisi de dades i Reporting</v>
          </cell>
          <cell r="I195" t="str">
            <v>ANÀLISI DE DADES I REPORTING</v>
          </cell>
          <cell r="J195" t="str">
            <v>ANÀLISI DE DADES I REPORTING</v>
          </cell>
        </row>
        <row r="196">
          <cell r="A196" t="str">
            <v>SERXIBE</v>
          </cell>
          <cell r="B196" t="str">
            <v>Pla IBE</v>
          </cell>
          <cell r="C196" t="str">
            <v>MARCILLAS RIERA, SILVIA</v>
          </cell>
          <cell r="D196" t="str">
            <v>LLUCH LOPEZ, JAIME</v>
          </cell>
          <cell r="E196" t="str">
            <v>ROCA VILALTA, XAVIER</v>
          </cell>
          <cell r="F196" t="str">
            <v>Gerència de Qualitat de Vida, Igualtat i Esports</v>
          </cell>
          <cell r="G196" t="str">
            <v>Gerència de Drets de Ciutadania, Participació i Transpàrencia</v>
          </cell>
          <cell r="H196" t="str">
            <v>Anàlisi de dades i Reporting</v>
          </cell>
          <cell r="I196" t="str">
            <v>DRETS CIUTADANIA, PARTICIPACIÓ I TRANSPARÈNCIA</v>
          </cell>
          <cell r="J196" t="str">
            <v>ANÀLISI DE DADES I REPORTING</v>
          </cell>
        </row>
        <row r="197">
          <cell r="A197" t="str">
            <v>SER0198</v>
          </cell>
          <cell r="B197" t="str">
            <v>Serveis professionals Anàlisi i Reporting</v>
          </cell>
          <cell r="C197" t="str">
            <v>LLUCH LOPEZ, JAIME</v>
          </cell>
          <cell r="D197" t="str">
            <v>LLUCH LOPEZ, JAIME</v>
          </cell>
          <cell r="E197" t="str">
            <v>LLUCH LOPEZ, JAIME</v>
          </cell>
          <cell r="F197" t="str">
            <v>Gerència Municipal</v>
          </cell>
          <cell r="G197" t="str">
            <v>Gerència Municipal</v>
          </cell>
          <cell r="H197" t="str">
            <v>Anàlisi de dades i Reporting</v>
          </cell>
          <cell r="I197" t="str">
            <v>ANÀLISI DE DADES I REPORTING</v>
          </cell>
          <cell r="J197" t="str">
            <v>ANÀLISI DE DADES I REPORTING</v>
          </cell>
        </row>
        <row r="198">
          <cell r="A198" t="str">
            <v>SER0201</v>
          </cell>
          <cell r="B198" t="str">
            <v>DWH Sonòmetres</v>
          </cell>
          <cell r="C198" t="str">
            <v>LOPEZ JALLE, JOSE RAMON</v>
          </cell>
          <cell r="D198" t="str">
            <v>LLUCH LOPEZ, JAIME</v>
          </cell>
          <cell r="E198" t="str">
            <v>LLUCH LOPEZ, JAIME</v>
          </cell>
          <cell r="F198" t="str">
            <v>Gerència d'Hàbitat Urbà</v>
          </cell>
          <cell r="G198" t="str">
            <v>Gerència Ecologia Urbana</v>
          </cell>
          <cell r="H198" t="str">
            <v>Anàlisi de dades i Reporting</v>
          </cell>
          <cell r="I198" t="str">
            <v>ANÀLISI DE DADES I REPORTING</v>
          </cell>
          <cell r="J198" t="str">
            <v>ANÀLISI DE DADES I REPORTING</v>
          </cell>
        </row>
        <row r="199">
          <cell r="A199" t="str">
            <v>SER0203</v>
          </cell>
          <cell r="B199" t="str">
            <v>PCM Comptabilitat de Costos ABC</v>
          </cell>
          <cell r="C199" t="str">
            <v>MARCH COROMINAS, MERCEDES</v>
          </cell>
          <cell r="D199" t="str">
            <v>CASTRO MORAL, LLUIS</v>
          </cell>
          <cell r="E199" t="str">
            <v>TORTOLA FERNANDEZ, JOSE A.</v>
          </cell>
          <cell r="F199" t="str">
            <v>Gerència d'Economia, Empresa i Ocupació</v>
          </cell>
          <cell r="G199" t="str">
            <v>Gerència de Presidència i Economia</v>
          </cell>
          <cell r="H199" t="str">
            <v>Gestió Econòmico-Financera</v>
          </cell>
          <cell r="I199" t="str">
            <v>PRESIDÈNCIA I ECONOMIA</v>
          </cell>
          <cell r="J199" t="str">
            <v>PRESIDÈNCIA I ECONOMIA</v>
          </cell>
        </row>
        <row r="200">
          <cell r="A200" t="str">
            <v>SER0204</v>
          </cell>
          <cell r="B200" t="str">
            <v>Gestió d'Actius</v>
          </cell>
          <cell r="C200" t="str">
            <v>LILLO ESPINOSA, ENRIQUE</v>
          </cell>
          <cell r="D200" t="str">
            <v>SANTAMARIA PEREZ, GLORIA</v>
          </cell>
          <cell r="E200" t="str">
            <v>SANTAMARIA PEREZ, GLORIA</v>
          </cell>
          <cell r="G200" t="str">
            <v>Gerència de Recursos</v>
          </cell>
          <cell r="H200" t="str">
            <v>Gestió Econòmico-Financera</v>
          </cell>
          <cell r="I200" t="str">
            <v>RECURSOS</v>
          </cell>
          <cell r="J200" t="str">
            <v>RECURSOS I ALCALDIA</v>
          </cell>
        </row>
        <row r="201">
          <cell r="A201" t="str">
            <v>SER0206  </v>
          </cell>
          <cell r="B201" t="str">
            <v>Framework i Serveis Comuns .NET</v>
          </cell>
          <cell r="C201" t="str">
            <v>FERNANDEZ MARTINEZ, ANDRES</v>
          </cell>
          <cell r="D201" t="str">
            <v>LOPEZ BARBERO, RAFAEL</v>
          </cell>
          <cell r="E201" t="str">
            <v>FERNANDEZ MARTINEZ, ANDRES</v>
          </cell>
          <cell r="F201" t="str">
            <v>IMI-TIC</v>
          </cell>
          <cell r="G201" t="str">
            <v>IMI-TIC</v>
          </cell>
          <cell r="H201" t="str">
            <v>Enginyeria, Frameworks i Moduls comuns</v>
          </cell>
          <cell r="I201" t="str">
            <v>ENGINYERIA PROGRAMARI, FRAMEWORKS I MODULS COMUNS</v>
          </cell>
          <cell r="J201" t="str">
            <v>ENGINYERIA PROGRAMARI, FRAMEWORKS I MODULS COMUNS</v>
          </cell>
        </row>
        <row r="202">
          <cell r="A202" t="str">
            <v>SER0207</v>
          </cell>
          <cell r="B202" t="str">
            <v>Serveis Comuns i Integracions SAP</v>
          </cell>
          <cell r="C202" t="str">
            <v>PUIG PONS, XAVIER</v>
          </cell>
          <cell r="D202" t="str">
            <v>LOPEZ BARBERO, RAFAEL</v>
          </cell>
          <cell r="E202" t="str">
            <v>LOPEZ BARBERO, RAFAEL</v>
          </cell>
          <cell r="F202" t="str">
            <v>IMI-TIC</v>
          </cell>
          <cell r="G202" t="str">
            <v>IMI-TIC</v>
          </cell>
          <cell r="H202" t="str">
            <v>Enginyeria, Frameworks i Moduls comuns</v>
          </cell>
          <cell r="I202" t="str">
            <v>ENGINYERIA PROGRAMARI, FRAMEWORKS I MODULS COMUNS</v>
          </cell>
          <cell r="J202" t="str">
            <v>ENGINYERIA PROGRAMARI, FRAMEWORKS I MODULS COMUNS</v>
          </cell>
        </row>
        <row r="203">
          <cell r="A203" t="str">
            <v>SER0208</v>
          </cell>
          <cell r="B203" t="str">
            <v>SAGE XRT Treasury</v>
          </cell>
          <cell r="C203" t="str">
            <v>LILLO ESPINOSA, ENRIQUE</v>
          </cell>
          <cell r="D203" t="str">
            <v>CASTRO MORAL, LLUIS</v>
          </cell>
          <cell r="E203" t="str">
            <v>TORTOLA FERNANDEZ, JOSE A.</v>
          </cell>
          <cell r="F203" t="str">
            <v>Gerència d'Economia, Empresa i Ocupació</v>
          </cell>
          <cell r="G203" t="str">
            <v>Gerència de Presidència i Economia</v>
          </cell>
          <cell r="H203" t="str">
            <v>Gestió Econòmico-Financera</v>
          </cell>
          <cell r="I203" t="str">
            <v>PRESIDÈNCIA I ECONOMIA</v>
          </cell>
          <cell r="J203" t="str">
            <v>PRESIDÈNCIA I ECONOMIA</v>
          </cell>
        </row>
        <row r="204">
          <cell r="A204" t="str">
            <v>SER0212</v>
          </cell>
          <cell r="B204" t="str">
            <v>Sap BPC Pressupostos</v>
          </cell>
          <cell r="C204" t="str">
            <v>CASADEMUNT TORRAS, JAVIER</v>
          </cell>
          <cell r="D204" t="str">
            <v>CASTRO MORAL, LLUIS</v>
          </cell>
          <cell r="E204" t="str">
            <v>TORTOLA FERNANDEZ, JOSE A.</v>
          </cell>
          <cell r="F204" t="str">
            <v>Gerència d'Economia, Empresa i Ocupació</v>
          </cell>
          <cell r="G204" t="str">
            <v>Gerència de Presidència i Economia</v>
          </cell>
          <cell r="H204" t="str">
            <v>Gestió Econòmico-Financera</v>
          </cell>
          <cell r="I204" t="str">
            <v>PRESIDÈNCIA I ECONOMIA</v>
          </cell>
          <cell r="J204" t="str">
            <v>PRESIDÈNCIA I ECONOMIA</v>
          </cell>
        </row>
        <row r="205">
          <cell r="A205" t="str">
            <v>SER0214</v>
          </cell>
          <cell r="B205" t="str">
            <v>Tècnics de Barri</v>
          </cell>
          <cell r="C205">
            <v>0</v>
          </cell>
          <cell r="D205" t="str">
            <v>TORTOLA FERNANDEZ, JOSE A.</v>
          </cell>
          <cell r="E205" t="str">
            <v>GALLARDO RUEDA, MONTSERRAT</v>
          </cell>
          <cell r="F205" t="str">
            <v>Gerència Adjunta de Coordinació Territorial</v>
          </cell>
          <cell r="G205" t="str">
            <v>Gerència Municipal</v>
          </cell>
          <cell r="H205" t="str">
            <v>Espai Urbà</v>
          </cell>
          <cell r="I205" t="str">
            <v>ECOLOGIA URBANA. URBANISME</v>
          </cell>
          <cell r="J205" t="str">
            <v>GERENCIA MPAL, OCUPACIÓ I DISTRICTES</v>
          </cell>
        </row>
        <row r="206">
          <cell r="A206" t="str">
            <v>SER0250</v>
          </cell>
          <cell r="B206" t="str">
            <v>Gestor d'Integracions (GdI)</v>
          </cell>
          <cell r="C206" t="str">
            <v>ALEMANY SERRA, FRANCESC</v>
          </cell>
          <cell r="D206" t="str">
            <v>TRIAS JUNCOSA, JAUME</v>
          </cell>
          <cell r="E206" t="str">
            <v>TRIAS JUNCOSA, JAUME</v>
          </cell>
          <cell r="F206" t="str">
            <v>IMI-IDB</v>
          </cell>
          <cell r="G206" t="str">
            <v>IMI-TIC</v>
          </cell>
          <cell r="H206" t="str">
            <v>Atenció al Ciutadà</v>
          </cell>
          <cell r="I206" t="str">
            <v>IMI - IDB</v>
          </cell>
          <cell r="J206" t="str">
            <v>IMI - IDB</v>
          </cell>
        </row>
        <row r="207">
          <cell r="A207" t="str">
            <v>SER0251</v>
          </cell>
          <cell r="B207" t="str">
            <v>Plataforma Sentilo</v>
          </cell>
          <cell r="C207" t="str">
            <v>CASAUS BARREDA, FRANCESC</v>
          </cell>
          <cell r="D207" t="str">
            <v>CIRERA GONZALEZ, JORDI</v>
          </cell>
          <cell r="E207" t="str">
            <v>CIRERA GONZALEZ, JORDI</v>
          </cell>
          <cell r="F207" t="str">
            <v>Gerència d'Hàbitat Urbà</v>
          </cell>
          <cell r="G207" t="str">
            <v>Gerència Ecologia Urbana</v>
          </cell>
          <cell r="H207" t="str">
            <v>sCity</v>
          </cell>
          <cell r="I207" t="str">
            <v>ECOLOGIA URBANA. URBANISME</v>
          </cell>
          <cell r="J207" t="str">
            <v>ECOLOGIA URBANA. URBANISME</v>
          </cell>
        </row>
        <row r="208">
          <cell r="A208" t="str">
            <v>SER0253</v>
          </cell>
          <cell r="B208" t="str">
            <v>Opendata</v>
          </cell>
          <cell r="C208" t="str">
            <v>FIGOLS PUIGBO, M MERCE</v>
          </cell>
          <cell r="D208" t="str">
            <v>ROCA VILALTA, XAVIER</v>
          </cell>
          <cell r="E208" t="str">
            <v>SANZ MARCO, LLUIS</v>
          </cell>
          <cell r="F208" t="str">
            <v>Recursos</v>
          </cell>
          <cell r="G208" t="str">
            <v>Gerència de Recursos</v>
          </cell>
          <cell r="H208" t="str">
            <v>DTI</v>
          </cell>
          <cell r="I208" t="str">
            <v>INFORMACIÓ DE BASE</v>
          </cell>
          <cell r="J208" t="str">
            <v>DTI</v>
          </cell>
        </row>
        <row r="209">
          <cell r="A209" t="str">
            <v>SER0254</v>
          </cell>
          <cell r="B209" t="str">
            <v>CRM</v>
          </cell>
          <cell r="C209" t="str">
            <v>MARCILLAS RIERA, SILVIA</v>
          </cell>
          <cell r="D209" t="str">
            <v>TRIAS JUNCOSA, JAUME</v>
          </cell>
          <cell r="E209" t="str">
            <v>ROCA VILALTA, XAVIER</v>
          </cell>
          <cell r="F209" t="str">
            <v>Gerència de Recursos</v>
          </cell>
          <cell r="G209" t="str">
            <v>Gerència de Drets de Ciutadania, Participació i Transpàrencia</v>
          </cell>
          <cell r="H209" t="str">
            <v>Atenció al Ciutadà</v>
          </cell>
          <cell r="I209" t="str">
            <v>DRETS CIUTADANIA, PARTICIPACIÓ I TRANSPARÈNCIA</v>
          </cell>
          <cell r="J209" t="str">
            <v>DRETS CIUTADANIA, PARTICIPACIÓ I TRANSPARÈNCIA</v>
          </cell>
        </row>
        <row r="210">
          <cell r="A210" t="str">
            <v>SER0260</v>
          </cell>
          <cell r="B210" t="str">
            <v>Gestor de tiquets de la OAC - Orchestra</v>
          </cell>
          <cell r="C210" t="str">
            <v>MARCILLAS RIERA, SILVIA</v>
          </cell>
          <cell r="D210" t="str">
            <v>TRIAS JUNCOSA, JAUME</v>
          </cell>
          <cell r="E210" t="str">
            <v>ROCA VILALTA, XAVIER</v>
          </cell>
          <cell r="F210" t="str">
            <v>Gerència de Recursos</v>
          </cell>
          <cell r="G210" t="str">
            <v>Gerència de Drets de Ciutadania, Participació i Transpàrencia</v>
          </cell>
          <cell r="H210" t="str">
            <v>Atenció al Ciutadà</v>
          </cell>
          <cell r="I210" t="str">
            <v>DRETS CIUTADANIA, PARTICIPACIÓ I TRANSPARÈNCIA</v>
          </cell>
          <cell r="J210" t="str">
            <v>DRETS CIUTADANIA, PARTICIPACIÓ I TRANSPARÈNCIA</v>
          </cell>
        </row>
        <row r="211">
          <cell r="A211" t="str">
            <v>SER0265</v>
          </cell>
          <cell r="B211" t="str">
            <v>Eines de Gestió de Peticions</v>
          </cell>
          <cell r="C211" t="str">
            <v>LILLO ESPINOSA, ROSA M.</v>
          </cell>
          <cell r="D211" t="str">
            <v>LAGE HUERTAS, JOSE</v>
          </cell>
          <cell r="E211" t="str">
            <v>LAGE HUERTAS, JOSE</v>
          </cell>
          <cell r="F211" t="str">
            <v>Gerència Adjunta de Coordinació Territorial</v>
          </cell>
          <cell r="G211" t="str">
            <v>IMI-TIC</v>
          </cell>
          <cell r="H211" t="str">
            <v>IMI-TIC</v>
          </cell>
          <cell r="I211" t="str">
            <v>SMO - Gestió de Serveis</v>
          </cell>
          <cell r="J211" t="str">
            <v>GERENCIA MPAL, OCUPACIÓ I DISTRICTES</v>
          </cell>
        </row>
        <row r="212">
          <cell r="A212" t="str">
            <v>SER0266</v>
          </cell>
          <cell r="B212" t="str">
            <v>Nomenclator Infraccions</v>
          </cell>
          <cell r="C212" t="str">
            <v>VENTURA AIXA, INMACULADA</v>
          </cell>
          <cell r="D212" t="str">
            <v>TORTOLA FERNANDEZ, JOSE A.</v>
          </cell>
          <cell r="E212" t="str">
            <v>GALLARDO RUEDA, MONTSERRAT</v>
          </cell>
          <cell r="F212" t="str">
            <v>Gerència Adjunta de Coordinació Territorial</v>
          </cell>
          <cell r="G212" t="str">
            <v>Gerència Municipal</v>
          </cell>
          <cell r="H212" t="str">
            <v>Espai Urbà</v>
          </cell>
          <cell r="I212" t="str">
            <v>GERENCIA MPAL, OCUPACIÓ I DISTRICTES</v>
          </cell>
          <cell r="J212" t="str">
            <v>GERENCIA MPAL, OCUPACIÓ I DISTRICTES</v>
          </cell>
        </row>
        <row r="213">
          <cell r="A213" t="str">
            <v>SER0267</v>
          </cell>
          <cell r="B213" t="str">
            <v>DRC</v>
          </cell>
          <cell r="C213" t="str">
            <v>FLORES GONZALEZ, MIRIAM</v>
          </cell>
          <cell r="D213" t="str">
            <v>LLUCH LOPEZ, JAIME</v>
          </cell>
          <cell r="E213" t="str">
            <v>LLUCH LOPEZ, JAIME</v>
          </cell>
          <cell r="F213" t="str">
            <v>Gerència d'Economia, Empresa i Ocupació</v>
          </cell>
          <cell r="G213" t="str">
            <v>Gerència de Ocupació, Empresa i Turisme</v>
          </cell>
          <cell r="H213" t="str">
            <v>Anàlisi de dades i Reporting</v>
          </cell>
          <cell r="I213" t="str">
            <v>ANÀLISI DE DADES I REPORTING</v>
          </cell>
          <cell r="J213" t="str">
            <v>ANÀLISI DE DADES I REPORTING</v>
          </cell>
        </row>
        <row r="214">
          <cell r="A214" t="str">
            <v>SER0271</v>
          </cell>
          <cell r="B214" t="str">
            <v>DWH Llicències</v>
          </cell>
          <cell r="C214">
            <v>0</v>
          </cell>
          <cell r="D214" t="str">
            <v>LLUCH LOPEZ, JAIME</v>
          </cell>
          <cell r="E214" t="str">
            <v>LLUCH LOPEZ, JAIME</v>
          </cell>
          <cell r="F214" t="str">
            <v>Gerència Adjunta de Coordinació Territorial</v>
          </cell>
          <cell r="G214" t="str">
            <v>Gerència Municipal</v>
          </cell>
          <cell r="H214" t="str">
            <v>Anàlisi de dades i Reporting</v>
          </cell>
          <cell r="I214" t="str">
            <v>ANÀLISI DE DADES I REPORTING</v>
          </cell>
          <cell r="J214" t="str">
            <v>ANÀLISI DE DADES I REPORTING</v>
          </cell>
        </row>
        <row r="215">
          <cell r="A215" t="str">
            <v>SER0273</v>
          </cell>
          <cell r="B215" t="str">
            <v>Aladdin</v>
          </cell>
          <cell r="C215" t="str">
            <v>MARCILLAS RIERA, SILVIA</v>
          </cell>
          <cell r="D215" t="str">
            <v>ROCA VILALTA, XAVIER</v>
          </cell>
          <cell r="E215" t="str">
            <v>MARCILLAS RIERA, SILVIA</v>
          </cell>
          <cell r="F215" t="str">
            <v>Gerència de Recursos</v>
          </cell>
          <cell r="G215" t="str">
            <v>Gerència de Recursos</v>
          </cell>
          <cell r="H215" t="str">
            <v>DTI</v>
          </cell>
          <cell r="I215" t="str">
            <v>DRETS CIUTADANIA, PARTICIPACIÓ I TRANSPARÈNCIA</v>
          </cell>
          <cell r="J215" t="str">
            <v>DTI</v>
          </cell>
        </row>
        <row r="216">
          <cell r="A216" t="str">
            <v>SER0274</v>
          </cell>
          <cell r="B216" t="str">
            <v>Eina EasyVista</v>
          </cell>
          <cell r="C216" t="str">
            <v>SENTIS ORTIZ, JOAN</v>
          </cell>
          <cell r="D216" t="str">
            <v>LAGE HUERTAS, JOSE</v>
          </cell>
          <cell r="E216" t="str">
            <v>LAGE HUERTAS, JOSE</v>
          </cell>
          <cell r="F216" t="str">
            <v>Gerència de Cultura, Coneixement, Creativitat i Innovació</v>
          </cell>
          <cell r="G216" t="str">
            <v>IMI-TIC</v>
          </cell>
          <cell r="H216" t="str">
            <v>Anàlisi de dades i Reporting</v>
          </cell>
          <cell r="I216" t="str">
            <v>SMO - Gestió de Serveis</v>
          </cell>
          <cell r="J216" t="str">
            <v>SMO - Gestió de Serveis</v>
          </cell>
        </row>
        <row r="217">
          <cell r="A217" t="str">
            <v>SER0274</v>
          </cell>
          <cell r="B217" t="str">
            <v>Eina EasyVista</v>
          </cell>
          <cell r="C217" t="str">
            <v>SENTIS ORTIZ, JOAN</v>
          </cell>
          <cell r="D217" t="str">
            <v>LAGE HUERTAS, JOSE</v>
          </cell>
          <cell r="E217" t="str">
            <v>LAGE HUERTAS, JOSE</v>
          </cell>
          <cell r="G217" t="str">
            <v>IMI-TIC</v>
          </cell>
          <cell r="H217">
            <v>0</v>
          </cell>
          <cell r="I217">
            <v>0</v>
          </cell>
          <cell r="J217">
            <v>0</v>
          </cell>
        </row>
        <row r="218">
          <cell r="A218" t="str">
            <v>SER0281</v>
          </cell>
          <cell r="B218" t="str">
            <v>Plataforma J2EE WAS</v>
          </cell>
          <cell r="C218" t="str">
            <v>SOLER ORTIZ, RUBEN</v>
          </cell>
          <cell r="D218" t="str">
            <v>SOLER ORTIZ, RUBEN  </v>
          </cell>
          <cell r="E218" t="str">
            <v>SOLER ORTIZ, RUBEN</v>
          </cell>
          <cell r="F218" t="str">
            <v>IM-TIC</v>
          </cell>
          <cell r="G218" t="str">
            <v>IMI-TIC</v>
          </cell>
          <cell r="H218" t="str">
            <v>Enginyeria, Frameworks i Moduls comuns</v>
          </cell>
          <cell r="I218" t="str">
            <v>CPD</v>
          </cell>
          <cell r="J218" t="str">
            <v>ENGINYERIA PROGRAMARI, FRAMEWORKS I MODULS COMUNS</v>
          </cell>
        </row>
        <row r="219">
          <cell r="A219" t="str">
            <v>SER0283</v>
          </cell>
          <cell r="B219" t="str">
            <v>CityDB</v>
          </cell>
          <cell r="C219" t="str">
            <v>LLUCH LOPEZ, JAIME</v>
          </cell>
          <cell r="D219" t="str">
            <v>LLUCH LOPEZ, JAIME</v>
          </cell>
          <cell r="E219" t="str">
            <v>LLUCH LOPEZ, JAIME</v>
          </cell>
          <cell r="F219" t="str">
            <v>Gerència Adjunta de Coordinació Territorial</v>
          </cell>
          <cell r="G219" t="str">
            <v>Gerència Municipal</v>
          </cell>
          <cell r="H219" t="str">
            <v>Anàlisi de dades i Reporting</v>
          </cell>
          <cell r="I219" t="str">
            <v>ANÀLISI DE DADES I REPORTING</v>
          </cell>
          <cell r="J219" t="str">
            <v>ANÀLISI DE DADES I REPORTING</v>
          </cell>
        </row>
        <row r="220">
          <cell r="A220" t="str">
            <v>SER0284</v>
          </cell>
          <cell r="B220" t="str">
            <v>Binotes</v>
          </cell>
          <cell r="C220" t="str">
            <v>ORTIZ QUINTANA, IVAN</v>
          </cell>
          <cell r="D220" t="str">
            <v>LLUCH LOPEZ, JAIME</v>
          </cell>
          <cell r="E220" t="str">
            <v>LLUCH LOPEZ, JAIME</v>
          </cell>
          <cell r="F220" t="str">
            <v>Gerència Adjunta de Coordinació Territorial</v>
          </cell>
          <cell r="G220" t="str">
            <v>Gerència Municipal</v>
          </cell>
          <cell r="H220" t="str">
            <v>Anàlisi de dades i Reporting</v>
          </cell>
          <cell r="I220" t="str">
            <v>ANÀLISI DE DADES I REPORTING</v>
          </cell>
          <cell r="J220" t="str">
            <v>Anàlisi de dades i Reporting</v>
          </cell>
        </row>
        <row r="221">
          <cell r="A221" t="str">
            <v>SER0291</v>
          </cell>
          <cell r="B221" t="str">
            <v>Seu Electrònica</v>
          </cell>
          <cell r="C221" t="str">
            <v>GONZALEZ GARCIA, SUSANA</v>
          </cell>
          <cell r="D221" t="str">
            <v>ROCA VILALTA, XAVIER</v>
          </cell>
          <cell r="E221" t="str">
            <v>SANTAMARIA PEREZ, GLORIA</v>
          </cell>
          <cell r="F221" t="str">
            <v>Gerència de Recursos</v>
          </cell>
          <cell r="G221" t="str">
            <v>Gerència de Recursos</v>
          </cell>
          <cell r="H221" t="str">
            <v>DTI</v>
          </cell>
          <cell r="I221" t="str">
            <v>RECURSOS</v>
          </cell>
          <cell r="J221" t="str">
            <v>DTI</v>
          </cell>
        </row>
        <row r="222">
          <cell r="A222" t="str">
            <v>SER0292</v>
          </cell>
          <cell r="B222" t="str">
            <v>Gestió d’Actius d’Hàbitat Urbà</v>
          </cell>
          <cell r="C222" t="str">
            <v>BOBIS VALERIO, JUAN</v>
          </cell>
          <cell r="D222" t="str">
            <v>TORTOLA FERNANDEZ, JOSE A.</v>
          </cell>
          <cell r="E222" t="str">
            <v>GUILLEN BELLIDO, JOSÉ MIGUEL</v>
          </cell>
          <cell r="F222" t="str">
            <v>Gerència d'Hàbitat Urbà</v>
          </cell>
          <cell r="G222" t="str">
            <v>Gerència Ecologia Urbana</v>
          </cell>
          <cell r="H222" t="str">
            <v>Espai Urbà</v>
          </cell>
          <cell r="I222" t="str">
            <v>ECOLOGIA URBANA. URBANISME</v>
          </cell>
          <cell r="J222" t="str">
            <v>ECOLOGIA URBANA. URBANISME</v>
          </cell>
        </row>
        <row r="223">
          <cell r="A223" t="str">
            <v>SER0296</v>
          </cell>
          <cell r="B223" t="str">
            <v>Gestió pressupost SAP</v>
          </cell>
          <cell r="C223" t="str">
            <v>RODRIGUEZ PASCUAL, M. LUISA</v>
          </cell>
          <cell r="D223" t="str">
            <v>PUY CASTELLS, JOSEP</v>
          </cell>
          <cell r="E223" t="str">
            <v>PUY CASTELLS, JOSEP</v>
          </cell>
          <cell r="F223" t="str">
            <v>Gerència de Recursos Humans i Organització</v>
          </cell>
          <cell r="G223" t="str">
            <v>Gerència de Recursos Humans i Organització</v>
          </cell>
          <cell r="H223" t="str">
            <v>Recursos Humans</v>
          </cell>
          <cell r="I223" t="str">
            <v>RRHH I ORGANITZACIÓ</v>
          </cell>
          <cell r="J223" t="str">
            <v>RRHH I ORGANITZACIÓ</v>
          </cell>
        </row>
        <row r="224">
          <cell r="A224" t="str">
            <v>SER0297</v>
          </cell>
          <cell r="B224" t="str">
            <v>Nòmines SIP</v>
          </cell>
          <cell r="C224" t="str">
            <v>VARELA PINART, GEMMA</v>
          </cell>
          <cell r="D224" t="str">
            <v>PUY CASTELLS, JOSEP</v>
          </cell>
          <cell r="E224" t="str">
            <v>PUY CASTELLS, JOSEP</v>
          </cell>
          <cell r="F224" t="str">
            <v>Gerència de Recursos Humans i Organització</v>
          </cell>
          <cell r="G224" t="str">
            <v>Gerència de Recursos Humans i Organització</v>
          </cell>
          <cell r="H224" t="str">
            <v>Recursos Humans</v>
          </cell>
          <cell r="I224" t="str">
            <v>RRHH I ORGANITZACIÓ</v>
          </cell>
          <cell r="J224" t="str">
            <v>RRHH I ORGANITZACIÓ</v>
          </cell>
        </row>
        <row r="225">
          <cell r="A225" t="str">
            <v>SER0299</v>
          </cell>
          <cell r="B225" t="str">
            <v>Servei Aplicacions Mobils</v>
          </cell>
          <cell r="C225" t="str">
            <v>LOPEZ MARTINEZ, XAVIER</v>
          </cell>
          <cell r="D225" t="str">
            <v>ROCA VILALTA, XAVIER</v>
          </cell>
          <cell r="E225" t="str">
            <v>COMAPOSADA MARTI, MONTSERRAT</v>
          </cell>
          <cell r="F225" t="str">
            <v>Gerència de Recursos</v>
          </cell>
          <cell r="G225" t="str">
            <v>Gerència de Recursos</v>
          </cell>
          <cell r="H225" t="str">
            <v>DTI</v>
          </cell>
          <cell r="I225" t="str">
            <v>INTERNET I CANALS</v>
          </cell>
          <cell r="J225" t="str">
            <v>DRETS CIUTADANIA, PARTICIPACIÓ I TRANSPARÈNCIA</v>
          </cell>
        </row>
        <row r="226">
          <cell r="A226" t="str">
            <v>SER0300</v>
          </cell>
          <cell r="B226" t="str">
            <v>OMIC/JAC</v>
          </cell>
          <cell r="C226" t="str">
            <v>DOMINGUEZ MANCERA, MIGUEL</v>
          </cell>
          <cell r="D226" t="str">
            <v>TORTOLA FERNANDEZ, JOSE A.</v>
          </cell>
          <cell r="E226" t="str">
            <v>TORTOLA FERNANDEZ, JOSE A.</v>
          </cell>
          <cell r="F226" t="str">
            <v>Gerència d'Economia, Empresa i Ocupació</v>
          </cell>
          <cell r="G226" t="str">
            <v>Gerència de Ocupació, Empresa i Turisme</v>
          </cell>
          <cell r="H226" t="str">
            <v>Secretaria, Administració General i Gestió Documental</v>
          </cell>
          <cell r="I226" t="str">
            <v>GERENCIA MPAL, OCUPACIÓ I DISTRICTES</v>
          </cell>
          <cell r="J226" t="str">
            <v>GERENCIA MPAL, OCUPACIÓ I DISTRICTES</v>
          </cell>
        </row>
        <row r="227">
          <cell r="A227" t="str">
            <v>SER0303</v>
          </cell>
          <cell r="B227" t="str">
            <v>Middleware mobilitat</v>
          </cell>
          <cell r="C227" t="str">
            <v>ALMATO GUITERAS, GLORIA</v>
          </cell>
          <cell r="D227" t="str">
            <v>ROCA VILALTA, XAVIER</v>
          </cell>
          <cell r="E227" t="str">
            <v>COMAPOSADA MARTI, MONTSERRAT</v>
          </cell>
          <cell r="F227" t="str">
            <v>Gerencia d’Ecologia Urbana</v>
          </cell>
          <cell r="G227" t="str">
            <v>Gerència de Drets de Ciutadania, Participació i Transpàrencia</v>
          </cell>
          <cell r="H227" t="str">
            <v>DTI</v>
          </cell>
          <cell r="I227" t="str">
            <v>INTERNET I CANALS</v>
          </cell>
          <cell r="J227" t="str">
            <v>DTI</v>
          </cell>
        </row>
        <row r="228">
          <cell r="A228" t="str">
            <v>SER0366</v>
          </cell>
          <cell r="B228" t="str">
            <v>Platafroma de participació</v>
          </cell>
          <cell r="C228" t="str">
            <v>ALMATO GUITERAS, GLORIA</v>
          </cell>
          <cell r="D228" t="str">
            <v>ROCA VILALTA, XAVIER</v>
          </cell>
          <cell r="E228" t="e">
            <v>#N/A</v>
          </cell>
          <cell r="F228" t="str">
            <v>Gerència  de Drets Socials, participació i transparència</v>
          </cell>
          <cell r="G228" t="str">
            <v>Gerència  de Drets Socials, participació i transparència</v>
          </cell>
          <cell r="H228" t="str">
            <v>DTI</v>
          </cell>
          <cell r="I228" t="e">
            <v>#N/A</v>
          </cell>
          <cell r="J228" t="str">
            <v>DTI</v>
          </cell>
        </row>
        <row r="229">
          <cell r="A229" t="str">
            <v>SER0368</v>
          </cell>
          <cell r="B229" t="str">
            <v>Contactless</v>
          </cell>
          <cell r="C229" t="str">
            <v>LOPEZ MARTINEZ, XAVIER</v>
          </cell>
          <cell r="D229" t="str">
            <v>ROCA VILALTA, XAVIER</v>
          </cell>
          <cell r="E229" t="str">
            <v>MARCILLAS RIERA, SILVIA</v>
          </cell>
          <cell r="F229" t="str">
            <v>Gerència de Recursos</v>
          </cell>
          <cell r="G229" t="str">
            <v>Gerència de Recursos</v>
          </cell>
          <cell r="H229">
            <v>0</v>
          </cell>
          <cell r="I229" t="str">
            <v>DRETS CIUTADANIA, PARTICIPACIÓ I TRANSPARÈNCIA</v>
          </cell>
          <cell r="J229">
            <v>0</v>
          </cell>
        </row>
        <row r="230">
          <cell r="A230" t="str">
            <v>SER0371</v>
          </cell>
          <cell r="B230" t="str">
            <v>WIKI de Qualitat i Arquitectura</v>
          </cell>
          <cell r="C230" t="str">
            <v>ORTIZ QUINTANA, IVAN</v>
          </cell>
          <cell r="D230" t="str">
            <v>LOPEZ BARBERO, RAFAEL</v>
          </cell>
          <cell r="E230" t="str">
            <v>LOPEZ BARBERO, RAFAEL</v>
          </cell>
          <cell r="F230">
            <v>0</v>
          </cell>
          <cell r="G230" t="str">
            <v>IMI-TIC</v>
          </cell>
          <cell r="H230" t="str">
            <v>Enginyeria, Frameworks i Moduls comuns</v>
          </cell>
          <cell r="I230" t="str">
            <v>ENGINYERIA PROGRAMARI, FRAMEWORKS I MODULS COMUNS</v>
          </cell>
          <cell r="J230" t="str">
            <v>ENGINYERIA PROGRAMARI, FRAMEWORKS I MODULS COMUNS</v>
          </cell>
        </row>
        <row r="231">
          <cell r="A231" t="str">
            <v>SER0372</v>
          </cell>
          <cell r="B231" t="str">
            <v>eArxiu i Gestió Documental</v>
          </cell>
          <cell r="C231" t="str">
            <v>CAPELLA MINGUELL, ROSA M.</v>
          </cell>
          <cell r="D231" t="str">
            <v>CAPELLA MINGUELL, ROSA M.</v>
          </cell>
          <cell r="E231" t="str">
            <v>CAPELLA MINGUELL, ROSA M.</v>
          </cell>
          <cell r="F231">
            <v>0</v>
          </cell>
          <cell r="G231" t="str">
            <v>Gerència de Recursos</v>
          </cell>
          <cell r="H231" t="str">
            <v>Secretaria, Administració General i Gestió Documental</v>
          </cell>
          <cell r="I231" t="str">
            <v>REGISTRE, ARXIU I GESTIÓ DOCUMENTAL</v>
          </cell>
          <cell r="J231" t="str">
            <v>REGISTRE, ARXIU I GESTIÓ DOCUMENTAL</v>
          </cell>
        </row>
        <row r="232">
          <cell r="A232" t="str">
            <v>SER0373</v>
          </cell>
          <cell r="B232" t="str">
            <v>Estudis d'Opinió</v>
          </cell>
          <cell r="C232" t="str">
            <v>GALLARDO RUEDA, MONTSERRAT</v>
          </cell>
          <cell r="D232" t="str">
            <v>CAPELLA MINGUELL, ROSA M.</v>
          </cell>
          <cell r="E232" t="str">
            <v>GALLARDO RUEDA, MONTSERRAT</v>
          </cell>
          <cell r="F232">
            <v>0</v>
          </cell>
          <cell r="G232" t="str">
            <v>Gerència de Presidència i Economia</v>
          </cell>
          <cell r="H232" t="str">
            <v>Secretaria, Administració General i Gestió Documental</v>
          </cell>
          <cell r="I232" t="str">
            <v>GERENCIA MPAL, OCUPACIÓ I DISTRICTES</v>
          </cell>
          <cell r="J232" t="str">
            <v>GERENCIA MPAL, OCUPACIÓ I DISTRICTES</v>
          </cell>
        </row>
        <row r="233">
          <cell r="A233" t="str">
            <v>SER0393</v>
          </cell>
          <cell r="B233" t="str">
            <v>Vincles</v>
          </cell>
          <cell r="C233" t="str">
            <v>BOIX RODRIGUEZ, JORDI</v>
          </cell>
          <cell r="D233" t="str">
            <v>BOIX RODRIGUEZ, JORDI</v>
          </cell>
          <cell r="E233" t="str">
            <v>BOIX RODRIGUEZ, JORDI</v>
          </cell>
          <cell r="F233" t="str">
            <v>Gerència de Qualitat de Vida, Igualtat i Esports</v>
          </cell>
          <cell r="G233" t="str">
            <v>Gerència de Drets Socials</v>
          </cell>
          <cell r="H233" t="str">
            <v>Atenció a les Persones</v>
          </cell>
          <cell r="I233" t="str">
            <v>DRETS SOCIALS</v>
          </cell>
          <cell r="J233" t="str">
            <v>DRETS SOCIALS</v>
          </cell>
        </row>
        <row r="234">
          <cell r="A234" t="str">
            <v>SER0394</v>
          </cell>
          <cell r="B234" t="str">
            <v>Tambor</v>
          </cell>
          <cell r="C234" t="str">
            <v>DOMINGUEZ MANCERA, MIGUEL</v>
          </cell>
          <cell r="D234" t="str">
            <v>CAPELLA MINGUELL, ROSA M.</v>
          </cell>
          <cell r="E234" t="str">
            <v>GALLARDO RUEDA, MONTSERRAT</v>
          </cell>
          <cell r="F234" t="str">
            <v>Gerència de Recursos</v>
          </cell>
          <cell r="G234" t="str">
            <v>Gerència Municipal</v>
          </cell>
          <cell r="H234" t="str">
            <v>Secretaria, Administració General i Gestió Documental</v>
          </cell>
          <cell r="I234" t="str">
            <v>GERENCIA MPAL, OCUPACIÓ I DISTRICTES</v>
          </cell>
          <cell r="J234" t="str">
            <v>RECURSOS I ALCALDIA</v>
          </cell>
        </row>
        <row r="235">
          <cell r="A235" t="str">
            <v>SER0395</v>
          </cell>
          <cell r="B235" t="str">
            <v>Cloud4Cities</v>
          </cell>
          <cell r="C235" t="str">
            <v>BITLLOCH PUIGVERT, JOAN R</v>
          </cell>
          <cell r="D235" t="str">
            <v>TRIAS JUNCOSA, JAUME</v>
          </cell>
          <cell r="E235" t="str">
            <v>BITLLOCH PUIGVERT, JOAN R</v>
          </cell>
          <cell r="F235" t="str">
            <v>Gerència de Recursos</v>
          </cell>
          <cell r="G235" t="str">
            <v>Gerència de Drets de Ciutadania, Participació i Transpàrencia</v>
          </cell>
          <cell r="H235" t="str">
            <v>Atenció al Ciutadà</v>
          </cell>
          <cell r="I235" t="str">
            <v>DRETS CIUTADANIA, PARTICIPACIÓ I TRANSPARÈNCIA</v>
          </cell>
          <cell r="J235" t="str">
            <v>DRETS CIUTADANIA, PARTICIPACIÓ I TRANSPARÈNCIA</v>
          </cell>
        </row>
        <row r="236">
          <cell r="A236" t="str">
            <v>SER0396</v>
          </cell>
          <cell r="B236" t="str">
            <v>Portal d'Informació Urbanística</v>
          </cell>
          <cell r="C236" t="str">
            <v>LLINARES GINER, JAVIER</v>
          </cell>
          <cell r="E236">
            <v>0</v>
          </cell>
          <cell r="G236" t="str">
            <v>Gerència Ecologia Urbana</v>
          </cell>
          <cell r="I236" t="str">
            <v>IMI - IDB</v>
          </cell>
          <cell r="J236" t="str">
            <v>RECURSOS I ALCALDIA</v>
          </cell>
        </row>
        <row r="237">
          <cell r="A237" t="str">
            <v>SER0397</v>
          </cell>
          <cell r="B237" t="str">
            <v>Gestió de relacions amb tercers Drets Ciutadania</v>
          </cell>
          <cell r="C237" t="str">
            <v>ROCA VILALTA, XAVIER</v>
          </cell>
          <cell r="D237" t="str">
            <v>ROCA VILALTA, XAVIER</v>
          </cell>
          <cell r="E237" t="str">
            <v>ROCA VILALTA, XAVIER</v>
          </cell>
          <cell r="F237" t="str">
            <v>Gerència de Recursos</v>
          </cell>
          <cell r="G237" t="str">
            <v>Gerència de Drets de Ciutadania, Participació i Transpàrencia</v>
          </cell>
          <cell r="H237" t="str">
            <v>Atenció al Ciutadà</v>
          </cell>
          <cell r="I237" t="str">
            <v>DRETS CIUTADANIA, PARTICIPACIÓ I TRANSPARÈNCIA</v>
          </cell>
          <cell r="J237" t="str">
            <v>DRETS CIUTADANIA, PARTICIPACIÓ I TRANSPARÈNCIA</v>
          </cell>
        </row>
        <row r="238">
          <cell r="A238" t="str">
            <v>SER0412</v>
          </cell>
          <cell r="B238" t="str">
            <v>Canals d’entrada i sortida de factures</v>
          </cell>
          <cell r="C238" t="str">
            <v>SANTAMARIA PEREZ, GLORIA</v>
          </cell>
          <cell r="D238" t="str">
            <v>CAPELLA MINGUELL, ROSA M.</v>
          </cell>
          <cell r="E238" t="str">
            <v>SANTAMARIA PEREZ, GLORIA</v>
          </cell>
          <cell r="F238" t="str">
            <v>Gerència de Recursos</v>
          </cell>
          <cell r="G238" t="str">
            <v>Gerència de Recursos</v>
          </cell>
          <cell r="H238" t="str">
            <v>Secretaria, Administració General i Gestió Documental</v>
          </cell>
          <cell r="I238" t="str">
            <v>RECURSOS</v>
          </cell>
          <cell r="J238" t="str">
            <v>RECURSOS I ALCALDIA</v>
          </cell>
        </row>
        <row r="239">
          <cell r="A239" t="str">
            <v>SER0413</v>
          </cell>
          <cell r="B239" t="str">
            <v>Gestió Actes de protocol</v>
          </cell>
          <cell r="C239" t="str">
            <v>DOMINGUEZ MANCERA, MIGUEL</v>
          </cell>
          <cell r="D239" t="str">
            <v>CAPELLA MINGUELL, ROSA M.</v>
          </cell>
          <cell r="E239" t="str">
            <v>SANTAMARIA PEREZ, GLORIA</v>
          </cell>
          <cell r="F239" t="str">
            <v>Gerència de Recursos</v>
          </cell>
          <cell r="G239" t="str">
            <v>Gerència de Recursos</v>
          </cell>
          <cell r="H239" t="str">
            <v>Secretaria, Administració General i Gestió Documental</v>
          </cell>
          <cell r="I239" t="str">
            <v>RECURSOS</v>
          </cell>
          <cell r="J239" t="str">
            <v>RECURSOS I ALCALDIA</v>
          </cell>
        </row>
        <row r="240">
          <cell r="A240" t="str">
            <v>SER0414</v>
          </cell>
          <cell r="B240" t="str">
            <v>Gestió Gabinet Alcaldia</v>
          </cell>
          <cell r="C240" t="str">
            <v>DOMINGUEZ MANCERA, MIGUEL</v>
          </cell>
          <cell r="D240" t="str">
            <v>CAPELLA MINGUELL, ROSA M.</v>
          </cell>
          <cell r="E240" t="str">
            <v>SANTAMARIA PEREZ, GLORIA</v>
          </cell>
          <cell r="F240" t="str">
            <v>Gerència de Recursos</v>
          </cell>
          <cell r="G240" t="str">
            <v>Gerència de Recursos</v>
          </cell>
          <cell r="H240" t="str">
            <v>Secretaria, Administració General i Gestió Documental</v>
          </cell>
          <cell r="I240" t="str">
            <v>RECURSOS</v>
          </cell>
          <cell r="J240" t="str">
            <v>RECURSOS I ALCALDIA</v>
          </cell>
        </row>
        <row r="241">
          <cell r="A241" t="str">
            <v>SER0ARQ</v>
          </cell>
          <cell r="B241" t="str">
            <v>Servei Arquitectura BI</v>
          </cell>
          <cell r="C241" t="str">
            <v>LLUCH LOPEZ, JAIME</v>
          </cell>
          <cell r="D241" t="str">
            <v>LLUCH LOPEZ, JAIME</v>
          </cell>
          <cell r="E241" t="e">
            <v>#N/A</v>
          </cell>
          <cell r="F241" t="str">
            <v>Gerència Municipal</v>
          </cell>
          <cell r="G241" t="str">
            <v>Gerència Municipal</v>
          </cell>
          <cell r="H241" t="str">
            <v>Anàlisi de dades i Reporting</v>
          </cell>
          <cell r="I241" t="e">
            <v>#N/A</v>
          </cell>
          <cell r="J241" t="str">
            <v>Anàlisi de dades i Reporting</v>
          </cell>
        </row>
        <row r="242">
          <cell r="A242" t="str">
            <v>SER0CAT</v>
          </cell>
          <cell r="B242" t="str">
            <v>Servei Catàleg Master Data</v>
          </cell>
          <cell r="C242" t="str">
            <v>LLUCH LOPEZ, JAIME</v>
          </cell>
          <cell r="D242" t="str">
            <v>LLUCH LOPEZ, JAIME</v>
          </cell>
          <cell r="E242" t="e">
            <v>#N/A</v>
          </cell>
          <cell r="F242" t="str">
            <v>Gerència Municipal</v>
          </cell>
          <cell r="G242" t="str">
            <v>Gerència Municipal</v>
          </cell>
          <cell r="H242" t="str">
            <v>Anàlisi de dades i Reporting</v>
          </cell>
          <cell r="I242" t="e">
            <v>#N/A</v>
          </cell>
          <cell r="J242" t="str">
            <v>Anàlisi de dades i Reporting</v>
          </cell>
        </row>
        <row r="243">
          <cell r="A243" t="str">
            <v>SER0PRO</v>
          </cell>
          <cell r="B243" t="str">
            <v>Servei prototipatge Reporting</v>
          </cell>
          <cell r="C243" t="str">
            <v>LLUCH LOPEZ, JAIME</v>
          </cell>
          <cell r="D243" t="str">
            <v>LLUCH LOPEZ, JAIME</v>
          </cell>
          <cell r="E243" t="e">
            <v>#N/A</v>
          </cell>
          <cell r="F243" t="str">
            <v>Gerència Municipal</v>
          </cell>
          <cell r="G243" t="str">
            <v>Gerència Municipal</v>
          </cell>
          <cell r="H243" t="str">
            <v>Anàlisi de dades i Reporting</v>
          </cell>
          <cell r="I243" t="e">
            <v>#N/A</v>
          </cell>
          <cell r="J243" t="str">
            <v>Anàlisi de dades i Reporting</v>
          </cell>
        </row>
        <row r="244">
          <cell r="A244" t="str">
            <v>SER0X10</v>
          </cell>
          <cell r="B244" t="str">
            <v xml:space="preserve">Gestió de Projectes </v>
          </cell>
          <cell r="C244" t="str">
            <v>RODRIGUEZ, ALEJANDRO</v>
          </cell>
          <cell r="D244" t="str">
            <v>RODRIGUEZ, ALEJANDRO</v>
          </cell>
          <cell r="E244" t="e">
            <v>#N/A</v>
          </cell>
          <cell r="F244" t="str">
            <v>IMI-TIC</v>
          </cell>
          <cell r="G244" t="str">
            <v>IMI-TIC</v>
          </cell>
          <cell r="H244" t="str">
            <v>PMO</v>
          </cell>
          <cell r="I244" t="e">
            <v>#N/A</v>
          </cell>
          <cell r="J244" t="str">
            <v>PMO</v>
          </cell>
        </row>
        <row r="245">
          <cell r="A245" t="str">
            <v>SER0X11</v>
          </cell>
          <cell r="B245" t="str">
            <v>PSAB</v>
          </cell>
          <cell r="C245" t="str">
            <v>CASAUS BARREDA, FRANCESC</v>
          </cell>
          <cell r="D245" t="str">
            <v>CIRERA GONZALEZ, JORDI</v>
          </cell>
          <cell r="E245" t="e">
            <v>#N/A</v>
          </cell>
          <cell r="F245" t="str">
            <v>Gerència d'Hàbitat Urbà</v>
          </cell>
          <cell r="G245" t="str">
            <v>Gerència Ecologia Urbana</v>
          </cell>
          <cell r="H245" t="str">
            <v>sCity</v>
          </cell>
          <cell r="I245" t="e">
            <v>#N/A</v>
          </cell>
          <cell r="J245" t="str">
            <v>ECOLOGIA URBANA. URBANISME</v>
          </cell>
        </row>
        <row r="246">
          <cell r="A246" t="str">
            <v>SER0X12</v>
          </cell>
          <cell r="B246" t="str">
            <v>per determinar</v>
          </cell>
          <cell r="C246" t="str">
            <v>per determinar</v>
          </cell>
          <cell r="D246" t="str">
            <v>SEIJAS, FERNANDO</v>
          </cell>
          <cell r="E246" t="e">
            <v>#N/A</v>
          </cell>
          <cell r="F246" t="str">
            <v>IMI-IDB</v>
          </cell>
          <cell r="G246" t="str">
            <v>IMI-IDB</v>
          </cell>
          <cell r="H246" t="str">
            <v>IDB-Cartografia</v>
          </cell>
          <cell r="I246" t="e">
            <v>#N/A</v>
          </cell>
          <cell r="J246" t="str">
            <v>IDB-Cartografia</v>
          </cell>
        </row>
        <row r="247">
          <cell r="A247" t="str">
            <v>SER0X23</v>
          </cell>
          <cell r="B247" t="str">
            <v>Reforç serveis Ecologia Urbana</v>
          </cell>
          <cell r="C247" t="str">
            <v>CIRERA GONZALEZ, JORDI</v>
          </cell>
          <cell r="D247" t="str">
            <v>CIRERA GONZALEZ, JORDI</v>
          </cell>
          <cell r="E247" t="str">
            <v>CIRERA GONZALEZ, JORDI</v>
          </cell>
          <cell r="F247" t="str">
            <v>Gerència Ecologia Urbana</v>
          </cell>
          <cell r="G247" t="str">
            <v>Gerència Ecologia Urbana</v>
          </cell>
          <cell r="H247" t="str">
            <v>Espai Urbà</v>
          </cell>
          <cell r="I247" t="str">
            <v>ECOLOGIA URBANA. MEDI AMBIENT I SERVEIS URBANS</v>
          </cell>
          <cell r="J247" t="str">
            <v>ECOLOGIA URBANA. MEDI AMBIENT I SERVEIS URBANS</v>
          </cell>
        </row>
        <row r="248">
          <cell r="A248" t="str">
            <v>SER0X24</v>
          </cell>
          <cell r="B248" t="str">
            <v>Datawarehouse AUTORITAT</v>
          </cell>
          <cell r="C248" t="str">
            <v>SOLA PUY, ALFRED</v>
          </cell>
          <cell r="D248" t="str">
            <v>LLUCH LOPEZ, JAIME</v>
          </cell>
          <cell r="E248" t="e">
            <v>#N/A</v>
          </cell>
          <cell r="F248" t="str">
            <v>Gerència d'Hàbitat Urbà</v>
          </cell>
          <cell r="G248" t="str">
            <v>Gerència Ecologia Urbana</v>
          </cell>
          <cell r="H248" t="str">
            <v>Anàlisi de dades i Reporting</v>
          </cell>
          <cell r="I248" t="e">
            <v>#N/A</v>
          </cell>
          <cell r="J248" t="str">
            <v>Anàlisi de dades i Reporting</v>
          </cell>
        </row>
        <row r="249">
          <cell r="A249" t="str">
            <v>SER0xx1</v>
          </cell>
          <cell r="B249" t="str">
            <v>DIVERSOS PSH FASE 2 A CONCRETAR</v>
          </cell>
          <cell r="C249" t="str">
            <v>per determinar</v>
          </cell>
          <cell r="D249" t="str">
            <v>SERRA FERRANDO, MARTA</v>
          </cell>
          <cell r="E249" t="str">
            <v>SERRA FERRANDO, MARTA</v>
          </cell>
          <cell r="F249" t="str">
            <v>Institut Municipal d'Hisenda de Barcelona</v>
          </cell>
          <cell r="G249" t="str">
            <v>Institut Municipal d'Hisenda de Barcelona</v>
          </cell>
          <cell r="H249" t="str">
            <v>IMH</v>
          </cell>
          <cell r="I249" t="str">
            <v>IMH</v>
          </cell>
          <cell r="J249" t="str">
            <v>IMH</v>
          </cell>
        </row>
        <row r="250">
          <cell r="A250" t="str">
            <v>SER0xx2</v>
          </cell>
          <cell r="B250" t="str">
            <v>Gestió de la demanda, de projectes i de serveis</v>
          </cell>
          <cell r="C250" t="str">
            <v>LAGE HUERTAS, JOSE</v>
          </cell>
          <cell r="D250" t="str">
            <v>LAGE HUERTAS, JOSE</v>
          </cell>
          <cell r="E250" t="e">
            <v>#N/A</v>
          </cell>
          <cell r="F250" t="str">
            <v>IMI-TIC</v>
          </cell>
          <cell r="G250" t="str">
            <v>IMI-TIC</v>
          </cell>
          <cell r="H250" t="str">
            <v>Gestió Serveis TIC</v>
          </cell>
          <cell r="I250" t="e">
            <v>#N/A</v>
          </cell>
          <cell r="J250" t="str">
            <v>Gestió Serveis TIC</v>
          </cell>
        </row>
        <row r="251">
          <cell r="A251" t="str">
            <v>SER0xx3</v>
          </cell>
          <cell r="B251" t="str">
            <v xml:space="preserve">Serveis de suport de gestió Direcció Desenvolupament  </v>
          </cell>
          <cell r="C251" t="str">
            <v>LILLO ESPINOSA, ROSA M.</v>
          </cell>
          <cell r="D251" t="str">
            <v>LENDINEZ PALACIOS, NICOLAS</v>
          </cell>
          <cell r="E251" t="e">
            <v>#N/A</v>
          </cell>
          <cell r="F251" t="str">
            <v>IMI-TIC</v>
          </cell>
          <cell r="G251" t="str">
            <v>IMI-TIC</v>
          </cell>
          <cell r="H251" t="str">
            <v>Gestió Serveis TIC</v>
          </cell>
          <cell r="I251" t="e">
            <v>#N/A</v>
          </cell>
          <cell r="J251" t="str">
            <v>Gestió Serveis TIC</v>
          </cell>
        </row>
        <row r="252">
          <cell r="A252" t="str">
            <v>SER0XX5</v>
          </cell>
          <cell r="B252" t="str">
            <v>NOU SERVEI (Equip d'atenció a la Dona)</v>
          </cell>
          <cell r="C252" t="str">
            <v>BOIX RODRIGUEZ, JORDI</v>
          </cell>
          <cell r="D252" t="str">
            <v>BOIX RODRIGUEZ, JORDI</v>
          </cell>
          <cell r="E252" t="str">
            <v>BOIX RODRIGUEZ, JORDI</v>
          </cell>
          <cell r="F252" t="str">
            <v>Gerència de Qualitat de Vida, Igualtat i Esports</v>
          </cell>
          <cell r="G252" t="str">
            <v>Gerència de Drets Socials</v>
          </cell>
          <cell r="H252" t="str">
            <v>Atenció a les Persones</v>
          </cell>
          <cell r="I252" t="str">
            <v>DRETS SOCIALS</v>
          </cell>
          <cell r="J252" t="str">
            <v>DRETS SOCIALS</v>
          </cell>
        </row>
        <row r="253">
          <cell r="A253" t="str">
            <v>SER0XX6</v>
          </cell>
          <cell r="B253" t="str">
            <v>OFICINA GESTIÓ SERVEIS QVIE</v>
          </cell>
          <cell r="C253" t="str">
            <v>BOIX RODRIGUEZ, JORDI</v>
          </cell>
          <cell r="D253" t="str">
            <v>BOIX RODRIGUEZ, JORDI</v>
          </cell>
          <cell r="E253" t="str">
            <v>BOIX RODRIGUEZ, JORDI</v>
          </cell>
          <cell r="F253" t="str">
            <v>Gerència de Qualitat de Vida, Igualtat i Esports</v>
          </cell>
          <cell r="G253" t="str">
            <v>Gerència de Drets Socials</v>
          </cell>
          <cell r="H253" t="str">
            <v>Atenció a les Persones</v>
          </cell>
          <cell r="I253" t="e">
            <v>#N/A</v>
          </cell>
          <cell r="J253" t="str">
            <v>DRETS SOCIALS</v>
          </cell>
        </row>
        <row r="254">
          <cell r="A254" t="str">
            <v>SER0XX7</v>
          </cell>
          <cell r="B254" t="str">
            <v>OFICINA PROJECTES eObres</v>
          </cell>
          <cell r="C254" t="str">
            <v>EVA TERRER</v>
          </cell>
          <cell r="D254" t="str">
            <v>RODRIGUEZ</v>
          </cell>
          <cell r="E254" t="e">
            <v>#N/A</v>
          </cell>
          <cell r="F254" t="str">
            <v>IMI-TIC</v>
          </cell>
          <cell r="G254" t="str">
            <v>IMI-TIC</v>
          </cell>
          <cell r="H254" t="str">
            <v>PMO</v>
          </cell>
          <cell r="I254" t="e">
            <v>#N/A</v>
          </cell>
          <cell r="J254" t="str">
            <v>PMO</v>
          </cell>
        </row>
        <row r="255">
          <cell r="A255" t="str">
            <v>SER0XX8</v>
          </cell>
          <cell r="B255" t="str">
            <v>OFICINA QUALITAT</v>
          </cell>
          <cell r="C255" t="str">
            <v>FERNANDEZ MAS, JOSEP</v>
          </cell>
          <cell r="D255" t="str">
            <v>FERNANDEZ MAS, JOSEP</v>
          </cell>
          <cell r="E255" t="e">
            <v>#N/A</v>
          </cell>
          <cell r="F255" t="str">
            <v>IMI-TIC</v>
          </cell>
          <cell r="G255" t="str">
            <v>IMI-TIC</v>
          </cell>
          <cell r="H255" t="str">
            <v>Direcció de Recursos</v>
          </cell>
          <cell r="I255" t="e">
            <v>#N/A</v>
          </cell>
          <cell r="J255" t="str">
            <v>Direcció de Recursos</v>
          </cell>
        </row>
        <row r="256">
          <cell r="A256" t="str">
            <v>SER0XX9</v>
          </cell>
          <cell r="B256" t="str">
            <v>OFICINA DE TRANSFORMACIÓ</v>
          </cell>
          <cell r="C256" t="str">
            <v>RODRIGUEZ RODRIGUEZ, AMPARO</v>
          </cell>
          <cell r="D256" t="str">
            <v>RODRIGUEZ RODRIGUEZ, AMPARO</v>
          </cell>
          <cell r="E256" t="e">
            <v>#N/A</v>
          </cell>
          <cell r="F256" t="str">
            <v>IMI-TIC</v>
          </cell>
          <cell r="G256" t="str">
            <v>IMI-TIC</v>
          </cell>
          <cell r="H256" t="str">
            <v>Oficina T&amp;T</v>
          </cell>
          <cell r="I256" t="e">
            <v>#N/A</v>
          </cell>
          <cell r="J256" t="str">
            <v>Oficina T&amp;T</v>
          </cell>
        </row>
        <row r="257">
          <cell r="A257" t="str">
            <v>SER0XXX</v>
          </cell>
          <cell r="B257" t="str">
            <v>Phyton, php</v>
          </cell>
          <cell r="C257" t="str">
            <v>ORTIZ QUINTANA, IVAN </v>
          </cell>
          <cell r="D257" t="str">
            <v>LOPEZ BARBERO, RAFAEL</v>
          </cell>
          <cell r="E257" t="str">
            <v>LOPEZ BARBERO, RAFAEL</v>
          </cell>
          <cell r="F257" t="str">
            <v>IMI-TIC</v>
          </cell>
          <cell r="G257" t="str">
            <v>IMI-TIC</v>
          </cell>
          <cell r="H257" t="str">
            <v>Enginyeria, Frameworks i Moduls comuns</v>
          </cell>
          <cell r="I257" t="e">
            <v>#N/A</v>
          </cell>
          <cell r="J257" t="str">
            <v>ENGINYERIA PROGRAMARI, FRAMEWORKS I MODULS COMUNS</v>
          </cell>
        </row>
        <row r="258">
          <cell r="A258" t="str">
            <v>SERBI15</v>
          </cell>
          <cell r="B258" t="str">
            <v>Pressupost Analisi i Reporing 2015</v>
          </cell>
          <cell r="C258" t="str">
            <v>LLUCH LOPEZ, JAIME</v>
          </cell>
          <cell r="D258" t="str">
            <v>LLUCH LOPEZ, JAIME</v>
          </cell>
          <cell r="E258" t="e">
            <v>#N/A</v>
          </cell>
          <cell r="F258" t="str">
            <v>Direcció desenvolupament</v>
          </cell>
          <cell r="G258" t="str">
            <v>Direcció desenvolupament</v>
          </cell>
          <cell r="H258" t="str">
            <v>Anàlisi de dades i Reporting</v>
          </cell>
          <cell r="I258" t="e">
            <v>#N/A</v>
          </cell>
          <cell r="J258" t="str">
            <v>Anàlisi de dades i Reporting</v>
          </cell>
        </row>
        <row r="259">
          <cell r="A259" t="str">
            <v>SERFEND</v>
          </cell>
          <cell r="B259" t="str">
            <v>Frontend de càrregues</v>
          </cell>
          <cell r="C259" t="str">
            <v>LOPEZ JALLE, JOSÉ RAMON</v>
          </cell>
          <cell r="D259" t="str">
            <v>LLUCH LOPEZ, JAIME</v>
          </cell>
          <cell r="E259" t="e">
            <v>#N/A</v>
          </cell>
          <cell r="F259" t="str">
            <v>Gerència Municipal</v>
          </cell>
          <cell r="G259" t="str">
            <v>Gerència Municipal</v>
          </cell>
          <cell r="H259" t="str">
            <v>Anàlisi de dades i Reporting</v>
          </cell>
          <cell r="I259" t="e">
            <v>#N/A</v>
          </cell>
          <cell r="J259" t="str">
            <v>Anàlisi de dades i Reporting</v>
          </cell>
        </row>
        <row r="260">
          <cell r="A260" t="str">
            <v>SERIRIS</v>
          </cell>
          <cell r="B260" t="str">
            <v>Datawarehouse QDC IRIS</v>
          </cell>
          <cell r="C260" t="str">
            <v>LLUCH LOPEZ, JAIME</v>
          </cell>
          <cell r="D260" t="str">
            <v>LLUCH LOPEZ, JAIME</v>
          </cell>
          <cell r="E260" t="e">
            <v>#N/A</v>
          </cell>
          <cell r="F260" t="str">
            <v>Gerència de Recursos</v>
          </cell>
          <cell r="G260" t="str">
            <v>Gerència Municipal</v>
          </cell>
          <cell r="H260" t="str">
            <v>Anàlisi de dades i Reporting</v>
          </cell>
          <cell r="I260" t="e">
            <v>#N/A</v>
          </cell>
          <cell r="J260" t="str">
            <v>Anàlisi de dades i Reporting</v>
          </cell>
        </row>
        <row r="261">
          <cell r="A261" t="str">
            <v>SERQVI1</v>
          </cell>
          <cell r="B261" t="str">
            <v>SUPORT A LA CONTRACTACIÓ QVIE</v>
          </cell>
          <cell r="C261" t="str">
            <v>BOIX RODRIGUEZ, JORDI</v>
          </cell>
          <cell r="D261" t="str">
            <v>BOIX RODRIGUEZ, JORDI</v>
          </cell>
          <cell r="E261" t="e">
            <v>#N/A</v>
          </cell>
          <cell r="F261" t="str">
            <v>Gerència de Qualitat de Vida, Igualtat i Esports</v>
          </cell>
          <cell r="G261" t="str">
            <v>Gerència de Drets Socials</v>
          </cell>
          <cell r="H261" t="str">
            <v>Atenció a les Persones</v>
          </cell>
          <cell r="I261" t="e">
            <v>#N/A</v>
          </cell>
          <cell r="J261" t="str">
            <v>Atenció a les Persones</v>
          </cell>
        </row>
        <row r="262">
          <cell r="A262" t="str">
            <v>SERROOM</v>
          </cell>
          <cell r="B262" t="str">
            <v>Manteniment i serveis Situation Room</v>
          </cell>
          <cell r="C262" t="str">
            <v>Otero Escribano, Fernando</v>
          </cell>
          <cell r="D262" t="str">
            <v>TORTOLA FERNANDEZ, JOSE A.</v>
          </cell>
          <cell r="E262" t="str">
            <v>ORTUÑO RIBE, JORDI</v>
          </cell>
          <cell r="F262" t="str">
            <v>Gerència d'Hàbitat Urbà</v>
          </cell>
          <cell r="G262" t="str">
            <v>Gerència Ecologia Urbana</v>
          </cell>
          <cell r="H262" t="str">
            <v>Espai Urbà</v>
          </cell>
          <cell r="I262" t="str">
            <v>ECOLOGIA URBANA. MOBILITAT I INFRASTRUCTURES</v>
          </cell>
          <cell r="J262" t="str">
            <v>ECOLOGIA URBANA. MEDI AMBIENT I SERVEIS URBANS</v>
          </cell>
        </row>
      </sheetData>
      <sheetData sheetId="30"/>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ontrol" Target="../activeX/activeX3.xml"/><Relationship Id="rId13" Type="http://schemas.openxmlformats.org/officeDocument/2006/relationships/image" Target="../media/image5.emf"/><Relationship Id="rId3" Type="http://schemas.openxmlformats.org/officeDocument/2006/relationships/vmlDrawing" Target="../drawings/vmlDrawing1.vml"/><Relationship Id="rId7" Type="http://schemas.openxmlformats.org/officeDocument/2006/relationships/image" Target="../media/image2.emf"/><Relationship Id="rId12" Type="http://schemas.openxmlformats.org/officeDocument/2006/relationships/control" Target="../activeX/activeX5.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ntrol" Target="../activeX/activeX2.xml"/><Relationship Id="rId11" Type="http://schemas.openxmlformats.org/officeDocument/2006/relationships/image" Target="../media/image4.emf"/><Relationship Id="rId5" Type="http://schemas.openxmlformats.org/officeDocument/2006/relationships/image" Target="../media/image1.emf"/><Relationship Id="rId10" Type="http://schemas.openxmlformats.org/officeDocument/2006/relationships/control" Target="../activeX/activeX4.xml"/><Relationship Id="rId4" Type="http://schemas.openxmlformats.org/officeDocument/2006/relationships/control" Target="../activeX/activeX1.xml"/><Relationship Id="rId9" Type="http://schemas.openxmlformats.org/officeDocument/2006/relationships/image" Target="../media/image3.emf"/></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ull1"/>
  <dimension ref="A1:AI206"/>
  <sheetViews>
    <sheetView tabSelected="1" zoomScale="55" zoomScaleNormal="55" workbookViewId="0">
      <pane ySplit="13" topLeftCell="A14" activePane="bottomLeft" state="frozen"/>
      <selection activeCell="E1" sqref="E1"/>
      <selection pane="bottomLeft" activeCell="J2" sqref="J2"/>
    </sheetView>
  </sheetViews>
  <sheetFormatPr defaultColWidth="11.453125" defaultRowHeight="14.5"/>
  <cols>
    <col min="1" max="1" width="36.81640625" style="60" bestFit="1" customWidth="1"/>
    <col min="2" max="2" width="39.54296875" style="59" bestFit="1" customWidth="1"/>
    <col min="3" max="3" width="39" style="58" customWidth="1"/>
    <col min="4" max="4" width="56.6328125" style="59" customWidth="1"/>
    <col min="5" max="5" width="17.54296875" style="58" customWidth="1"/>
    <col min="6" max="6" width="17.81640625" style="58" customWidth="1"/>
    <col min="7" max="7" width="32.1796875" style="60" bestFit="1" customWidth="1"/>
    <col min="8" max="8" width="18.453125" style="60" bestFit="1" customWidth="1"/>
    <col min="9" max="9" width="18.7265625" style="60" customWidth="1"/>
    <col min="10" max="10" width="25.453125" style="60" bestFit="1" customWidth="1"/>
    <col min="11" max="11" width="25.54296875" style="60" bestFit="1" customWidth="1"/>
    <col min="12" max="12" width="16.453125" style="60" customWidth="1"/>
    <col min="13" max="13" width="19" style="60" bestFit="1" customWidth="1"/>
    <col min="14" max="14" width="16.81640625" style="60" bestFit="1" customWidth="1"/>
    <col min="15" max="15" width="30.453125" style="60" bestFit="1" customWidth="1"/>
    <col min="16" max="16" width="14.453125" style="60" bestFit="1" customWidth="1"/>
    <col min="17" max="17" width="28.7265625" style="60" bestFit="1" customWidth="1"/>
    <col min="18" max="18" width="20.54296875" style="60" bestFit="1" customWidth="1"/>
    <col min="19" max="19" width="14.453125" style="60" customWidth="1"/>
    <col min="20" max="20" width="11.7265625" style="60" customWidth="1"/>
    <col min="21" max="21" width="18.7265625" style="60" customWidth="1"/>
    <col min="22" max="22" width="29.1796875" style="60" bestFit="1" customWidth="1"/>
    <col min="23" max="23" width="32.1796875" style="61" bestFit="1" customWidth="1"/>
    <col min="24" max="24" width="41.453125" style="61" bestFit="1" customWidth="1"/>
    <col min="25" max="25" width="19" style="71" bestFit="1" customWidth="1"/>
    <col min="26" max="26" width="16.81640625" style="61" bestFit="1" customWidth="1"/>
    <col min="27" max="27" width="26" style="61" bestFit="1" customWidth="1"/>
    <col min="28" max="28" width="18.81640625" style="61" bestFit="1" customWidth="1"/>
    <col min="29" max="29" width="8.1796875" style="60" bestFit="1" customWidth="1"/>
    <col min="30" max="30" width="18.81640625" style="60" customWidth="1"/>
    <col min="31" max="31" width="16.26953125" style="60" customWidth="1"/>
    <col min="32" max="32" width="12.7265625" style="60" bestFit="1" customWidth="1"/>
    <col min="33" max="16384" width="11.453125" style="60"/>
  </cols>
  <sheetData>
    <row r="1" spans="1:34" ht="31.5" customHeight="1">
      <c r="A1" s="66" t="s">
        <v>190</v>
      </c>
      <c r="B1" s="77"/>
      <c r="C1" s="109"/>
      <c r="D1" s="66"/>
      <c r="E1" s="61"/>
      <c r="F1" s="60"/>
      <c r="G1" s="69"/>
      <c r="W1" s="60"/>
      <c r="X1" s="60"/>
      <c r="AA1" s="60"/>
      <c r="AB1" s="60"/>
    </row>
    <row r="2" spans="1:34">
      <c r="A2" s="62" t="s">
        <v>115</v>
      </c>
      <c r="B2" s="257">
        <v>45761</v>
      </c>
      <c r="C2" s="63"/>
      <c r="D2" s="72"/>
      <c r="E2" s="69"/>
      <c r="F2" s="69"/>
      <c r="G2" s="69"/>
      <c r="H2" s="69"/>
      <c r="I2" s="69"/>
      <c r="J2" s="255"/>
      <c r="S2" s="71"/>
      <c r="U2" s="71"/>
      <c r="W2" s="60"/>
      <c r="X2" s="60"/>
      <c r="Y2" s="60"/>
      <c r="Z2" s="60"/>
      <c r="AA2" s="60"/>
      <c r="AB2" s="60"/>
    </row>
    <row r="3" spans="1:34">
      <c r="A3" s="65" t="s">
        <v>411</v>
      </c>
      <c r="B3" s="257">
        <v>45869</v>
      </c>
      <c r="C3" s="115"/>
      <c r="D3" s="72"/>
      <c r="E3" s="256"/>
      <c r="F3" s="70"/>
      <c r="G3" s="70"/>
      <c r="H3" s="70"/>
      <c r="I3" s="70"/>
      <c r="S3" s="71"/>
      <c r="U3" s="71"/>
      <c r="W3" s="60"/>
      <c r="X3" s="60"/>
      <c r="Y3" s="60"/>
      <c r="Z3" s="60"/>
      <c r="AA3" s="60"/>
      <c r="AB3" s="60"/>
    </row>
    <row r="4" spans="1:34">
      <c r="A4" s="62" t="s">
        <v>192</v>
      </c>
      <c r="B4" s="257">
        <v>43466</v>
      </c>
      <c r="C4" s="63"/>
      <c r="D4" s="72"/>
      <c r="E4" s="72"/>
      <c r="J4" s="107"/>
      <c r="S4" s="71"/>
      <c r="U4" s="71"/>
      <c r="V4" s="61"/>
      <c r="W4" s="60"/>
      <c r="X4" s="60"/>
      <c r="Y4" s="60"/>
      <c r="Z4" s="60"/>
      <c r="AA4" s="60"/>
      <c r="AB4" s="60"/>
    </row>
    <row r="5" spans="1:34">
      <c r="A5" s="62" t="s">
        <v>126</v>
      </c>
      <c r="B5" s="257">
        <v>47221</v>
      </c>
      <c r="C5" s="64"/>
      <c r="D5" s="79" t="s">
        <v>0</v>
      </c>
      <c r="E5" s="57" t="s">
        <v>197</v>
      </c>
      <c r="F5" s="57" t="s">
        <v>198</v>
      </c>
      <c r="G5" s="57" t="s">
        <v>199</v>
      </c>
      <c r="H5" s="57" t="s">
        <v>200</v>
      </c>
      <c r="I5" s="57" t="s">
        <v>298</v>
      </c>
      <c r="J5" s="113" t="s">
        <v>134</v>
      </c>
      <c r="K5" s="113" t="s">
        <v>133</v>
      </c>
      <c r="S5" s="71"/>
      <c r="U5" s="71"/>
      <c r="W5" s="60"/>
      <c r="X5" s="60"/>
      <c r="Y5" s="60"/>
      <c r="Z5" s="60"/>
      <c r="AA5" s="60"/>
      <c r="AB5" s="60"/>
    </row>
    <row r="6" spans="1:34">
      <c r="A6" s="62" t="s">
        <v>191</v>
      </c>
      <c r="B6" s="257">
        <v>47222</v>
      </c>
      <c r="C6" s="140" t="s">
        <v>193</v>
      </c>
      <c r="D6" s="80" t="s">
        <v>7</v>
      </c>
      <c r="E6" s="69">
        <f>W47</f>
        <v>507275.55</v>
      </c>
      <c r="F6" s="69">
        <f>W84</f>
        <v>1135861.04</v>
      </c>
      <c r="G6" s="69">
        <f>W121</f>
        <v>1135861.04</v>
      </c>
      <c r="H6" s="69">
        <f>W158</f>
        <v>1135861.04</v>
      </c>
      <c r="I6" s="69">
        <f>W195</f>
        <v>320530.64</v>
      </c>
      <c r="J6" s="69">
        <f>SUM(E6:I6)</f>
        <v>4235389.3099999996</v>
      </c>
      <c r="K6" s="114">
        <f>+ROUND(J6/1.21,2)</f>
        <v>3500321.74</v>
      </c>
      <c r="U6" s="71"/>
      <c r="W6" s="60"/>
      <c r="X6" s="65"/>
      <c r="Y6" s="75"/>
      <c r="Z6" s="60"/>
      <c r="AA6" s="60"/>
      <c r="AB6" s="60"/>
    </row>
    <row r="7" spans="1:34">
      <c r="A7" s="62" t="s">
        <v>299</v>
      </c>
      <c r="B7" s="257">
        <v>47586</v>
      </c>
      <c r="C7" s="140" t="s">
        <v>194</v>
      </c>
      <c r="D7" s="80" t="s">
        <v>13</v>
      </c>
      <c r="E7" s="69">
        <f>X47</f>
        <v>309909.28999999998</v>
      </c>
      <c r="F7" s="69">
        <f>X84</f>
        <v>665077.48</v>
      </c>
      <c r="G7" s="69">
        <f>X121</f>
        <v>665077.48</v>
      </c>
      <c r="H7" s="69">
        <f>X158</f>
        <v>665077.48</v>
      </c>
      <c r="I7" s="69">
        <f>X195</f>
        <v>187679.39</v>
      </c>
      <c r="J7" s="69">
        <f>SUM(E7:I7)</f>
        <v>2492821.12</v>
      </c>
      <c r="K7" s="114">
        <f>+ROUND(J7/1.21,2)</f>
        <v>2060182.74</v>
      </c>
      <c r="U7" s="71"/>
      <c r="W7" s="60"/>
      <c r="X7" s="65"/>
      <c r="Y7" s="72"/>
      <c r="Z7" s="60"/>
      <c r="AA7" s="60"/>
      <c r="AB7" s="60"/>
    </row>
    <row r="8" spans="1:34">
      <c r="A8" s="62" t="s">
        <v>300</v>
      </c>
      <c r="B8" s="257">
        <v>47484</v>
      </c>
      <c r="C8" s="140" t="s">
        <v>195</v>
      </c>
      <c r="D8" s="81" t="s">
        <v>138</v>
      </c>
      <c r="E8" s="69">
        <f>Y47</f>
        <v>184124.78</v>
      </c>
      <c r="F8" s="69">
        <f>Y84</f>
        <v>426062.72</v>
      </c>
      <c r="G8" s="69">
        <f>Y121</f>
        <v>419922.47</v>
      </c>
      <c r="H8" s="69">
        <f>Y158</f>
        <v>418216.7</v>
      </c>
      <c r="I8" s="69">
        <f>Y195</f>
        <v>115671.32</v>
      </c>
      <c r="J8" s="69">
        <f>SUM(E8:I8)</f>
        <v>1563997.99</v>
      </c>
      <c r="K8" s="114">
        <f>+ROUND(J8/1.21,2)</f>
        <v>1292560.32</v>
      </c>
      <c r="U8" s="71"/>
      <c r="W8" s="60"/>
      <c r="X8" s="60"/>
      <c r="Y8" s="60"/>
      <c r="Z8" s="60"/>
      <c r="AA8" s="60"/>
      <c r="AB8" s="60"/>
    </row>
    <row r="9" spans="1:34">
      <c r="C9" s="140" t="s">
        <v>195</v>
      </c>
      <c r="D9" s="81" t="s">
        <v>129</v>
      </c>
      <c r="E9" s="69">
        <f>Z47</f>
        <v>41630.82</v>
      </c>
      <c r="F9" s="69">
        <f>Z84</f>
        <v>144382</v>
      </c>
      <c r="G9" s="69">
        <f>Z121</f>
        <v>150522.25</v>
      </c>
      <c r="H9" s="69">
        <f>Z158</f>
        <v>152228.01999999999</v>
      </c>
      <c r="I9" s="69">
        <f>Z195</f>
        <v>97948.61</v>
      </c>
      <c r="J9" s="69">
        <f>SUM(E9:I9)</f>
        <v>586711.69999999995</v>
      </c>
      <c r="K9" s="114">
        <f>+ROUND(J9/1.21,2)</f>
        <v>484885.7</v>
      </c>
      <c r="U9" s="71"/>
      <c r="W9" s="60"/>
      <c r="X9" s="60"/>
      <c r="Y9" s="60"/>
      <c r="Z9" s="60"/>
      <c r="AA9" s="60"/>
      <c r="AB9" s="60"/>
    </row>
    <row r="10" spans="1:34">
      <c r="C10" s="140" t="s">
        <v>194</v>
      </c>
      <c r="D10" s="81" t="s">
        <v>196</v>
      </c>
      <c r="E10" s="69">
        <f>AA47</f>
        <v>1866992.18</v>
      </c>
      <c r="F10" s="69">
        <f>AA84</f>
        <v>2614401.98</v>
      </c>
      <c r="G10" s="69">
        <f>AA121</f>
        <v>2732325.31</v>
      </c>
      <c r="H10" s="69">
        <f>AA158</f>
        <v>2607387.69</v>
      </c>
      <c r="I10" s="69">
        <f>AA195</f>
        <v>735783.37</v>
      </c>
      <c r="J10" s="69">
        <f>SUM(E10:I10)</f>
        <v>10556890.529999999</v>
      </c>
      <c r="K10" s="114">
        <f>+ROUND(J10/1.21,2)</f>
        <v>8724702.9199999999</v>
      </c>
      <c r="U10" s="71"/>
      <c r="W10" s="60"/>
      <c r="X10" s="60"/>
      <c r="Y10" s="60"/>
      <c r="Z10" s="60"/>
      <c r="AA10" s="60"/>
      <c r="AB10" s="60"/>
    </row>
    <row r="11" spans="1:34">
      <c r="D11" s="82" t="s">
        <v>121</v>
      </c>
      <c r="E11" s="111">
        <f t="shared" ref="E11:H11" si="0">SUM(E6:E10)</f>
        <v>2909932.62</v>
      </c>
      <c r="F11" s="111">
        <f t="shared" si="0"/>
        <v>4985785.2200000007</v>
      </c>
      <c r="G11" s="111">
        <f t="shared" si="0"/>
        <v>5103708.5500000007</v>
      </c>
      <c r="H11" s="111">
        <f t="shared" si="0"/>
        <v>4978770.93</v>
      </c>
      <c r="I11" s="111">
        <f>SUM(I6:I10)</f>
        <v>1457613.33</v>
      </c>
      <c r="J11" s="111">
        <f>SUM(J6:J10)</f>
        <v>19435810.649999999</v>
      </c>
      <c r="K11" s="111">
        <f>SUM(K6:K10)</f>
        <v>16062653.420000002</v>
      </c>
      <c r="U11" s="71"/>
      <c r="W11" s="60"/>
      <c r="X11" s="60"/>
      <c r="Y11" s="60"/>
      <c r="Z11" s="60"/>
      <c r="AA11" s="60"/>
      <c r="AB11" s="60"/>
    </row>
    <row r="12" spans="1:34">
      <c r="C12" s="60"/>
      <c r="D12" s="78"/>
      <c r="E12" s="70"/>
      <c r="F12" s="70"/>
      <c r="G12" s="70"/>
      <c r="H12" s="70"/>
      <c r="I12" s="70"/>
      <c r="J12" s="70"/>
      <c r="W12" s="60"/>
      <c r="X12" s="116"/>
      <c r="Z12" s="60"/>
      <c r="AA12" s="60"/>
      <c r="AB12" s="60"/>
    </row>
    <row r="13" spans="1:34">
      <c r="C13" s="60"/>
      <c r="D13" s="78"/>
      <c r="E13" s="60"/>
      <c r="F13" s="60"/>
      <c r="S13" s="76"/>
      <c r="T13" s="76"/>
      <c r="U13" s="76"/>
      <c r="W13" s="74">
        <v>46022</v>
      </c>
      <c r="X13" s="116"/>
      <c r="Y13" s="116"/>
      <c r="Z13" s="116"/>
      <c r="AA13" s="116"/>
      <c r="AB13" s="60"/>
      <c r="AC13" s="65"/>
    </row>
    <row r="14" spans="1:34">
      <c r="C14" s="65" t="s">
        <v>201</v>
      </c>
      <c r="D14" s="78"/>
      <c r="S14" s="76" t="s">
        <v>304</v>
      </c>
      <c r="T14" s="76"/>
      <c r="U14" s="76" t="s">
        <v>291</v>
      </c>
      <c r="V14" s="65"/>
      <c r="W14" s="74" t="s">
        <v>227</v>
      </c>
      <c r="Y14" s="118"/>
      <c r="Z14" s="60"/>
      <c r="AA14" s="60"/>
      <c r="AB14" s="60"/>
    </row>
    <row r="15" spans="1:34" s="65" customFormat="1" ht="54" customHeight="1">
      <c r="C15" s="67" t="s">
        <v>0</v>
      </c>
      <c r="D15" s="67" t="s">
        <v>123</v>
      </c>
      <c r="E15" s="68" t="s">
        <v>120</v>
      </c>
      <c r="F15" s="68" t="s">
        <v>108</v>
      </c>
      <c r="G15" s="68" t="s">
        <v>2</v>
      </c>
      <c r="H15" s="68" t="s">
        <v>205</v>
      </c>
      <c r="I15" s="68" t="s">
        <v>108</v>
      </c>
      <c r="J15" s="68" t="s">
        <v>15</v>
      </c>
      <c r="K15" s="68" t="s">
        <v>136</v>
      </c>
      <c r="L15" s="68" t="s">
        <v>108</v>
      </c>
      <c r="M15" s="68" t="s">
        <v>137</v>
      </c>
      <c r="N15" s="68" t="s">
        <v>130</v>
      </c>
      <c r="O15" s="68" t="s">
        <v>396</v>
      </c>
      <c r="P15" s="68" t="s">
        <v>108</v>
      </c>
      <c r="Q15" s="68" t="s">
        <v>206</v>
      </c>
      <c r="R15" s="68" t="s">
        <v>207</v>
      </c>
      <c r="S15" s="67" t="s">
        <v>125</v>
      </c>
      <c r="T15" s="67" t="s">
        <v>122</v>
      </c>
      <c r="U15" s="68" t="s">
        <v>189</v>
      </c>
      <c r="W15" s="68" t="s">
        <v>2</v>
      </c>
      <c r="X15" s="68" t="s">
        <v>15</v>
      </c>
      <c r="Y15" s="68" t="s">
        <v>137</v>
      </c>
      <c r="Z15" s="68" t="s">
        <v>130</v>
      </c>
      <c r="AA15" s="68" t="s">
        <v>223</v>
      </c>
      <c r="AB15" s="60"/>
      <c r="AC15" s="60"/>
      <c r="AD15" s="60"/>
      <c r="AE15" s="60"/>
      <c r="AF15" s="60"/>
      <c r="AG15" s="60"/>
    </row>
    <row r="16" spans="1:34" s="65" customFormat="1">
      <c r="C16" s="120" t="s">
        <v>143</v>
      </c>
      <c r="D16" s="120" t="s">
        <v>144</v>
      </c>
      <c r="E16" s="128">
        <v>1303.7132999999999</v>
      </c>
      <c r="F16" s="129">
        <f>Perfils!$G$9</f>
        <v>62.77</v>
      </c>
      <c r="G16" s="130">
        <f>ROUND(E16*F16,2)</f>
        <v>81834.080000000002</v>
      </c>
      <c r="H16" s="128">
        <v>1016.5214999999999</v>
      </c>
      <c r="I16" s="129">
        <f>Perfils!$G$16</f>
        <v>62.77</v>
      </c>
      <c r="J16" s="130">
        <f>ROUND(H16*I16,2)</f>
        <v>63807.05</v>
      </c>
      <c r="K16" s="128">
        <v>774.07979999999998</v>
      </c>
      <c r="L16" s="129">
        <f>Perfils!$G$23</f>
        <v>62.77</v>
      </c>
      <c r="M16" s="130">
        <f>ROUND(K16*L16,2)</f>
        <v>48588.99</v>
      </c>
      <c r="N16" s="130">
        <v>0</v>
      </c>
      <c r="O16" s="128">
        <v>1218.5526</v>
      </c>
      <c r="P16" s="129">
        <f>Perfils!$G$30</f>
        <v>71.540000000000006</v>
      </c>
      <c r="Q16" s="130">
        <f>ROUND(O16*P16,2)</f>
        <v>87175.25</v>
      </c>
      <c r="R16" s="130">
        <f>G16+J16+M16+N16+Q16</f>
        <v>281405.37</v>
      </c>
      <c r="S16" s="88">
        <f>Transició!C3</f>
        <v>45761</v>
      </c>
      <c r="T16" s="88">
        <f>Transició!D3</f>
        <v>45869</v>
      </c>
      <c r="U16" s="127">
        <v>20086.400000000001</v>
      </c>
      <c r="V16" s="133"/>
      <c r="W16" s="126">
        <f t="shared" ref="W16:W36" si="1">ROUND(G16*($W$13-$T16-31)/334,2)</f>
        <v>29891.49</v>
      </c>
      <c r="X16" s="126">
        <f t="shared" ref="X16:X36" si="2">ROUND(J16*($W$13-$T16-31)/334,2)</f>
        <v>23306.77</v>
      </c>
      <c r="Y16" s="126">
        <f t="shared" ref="Y16:Y36" si="3">ROUND(M16*($W$13-$T16-31)/334,2)</f>
        <v>17748.07</v>
      </c>
      <c r="Z16" s="145">
        <f>N16</f>
        <v>0</v>
      </c>
      <c r="AA16" s="145">
        <f>Q16</f>
        <v>87175.25</v>
      </c>
      <c r="AB16" s="60"/>
      <c r="AC16" s="60"/>
      <c r="AD16" s="60"/>
      <c r="AE16" s="60"/>
      <c r="AF16" s="60"/>
      <c r="AG16" s="60"/>
      <c r="AH16" s="117"/>
    </row>
    <row r="17" spans="3:34" s="65" customFormat="1">
      <c r="C17" s="120" t="s">
        <v>145</v>
      </c>
      <c r="D17" s="120" t="s">
        <v>146</v>
      </c>
      <c r="E17" s="128">
        <f>4624.5024-0.001</f>
        <v>4624.5014000000001</v>
      </c>
      <c r="F17" s="129">
        <f>Perfils!$G$9</f>
        <v>62.77</v>
      </c>
      <c r="G17" s="130">
        <f t="shared" ref="G17:G46" si="4">ROUND(E17*F17,2)</f>
        <v>290279.95</v>
      </c>
      <c r="H17" s="128">
        <f>1448.6908</f>
        <v>1448.6908000000001</v>
      </c>
      <c r="I17" s="129">
        <f>Perfils!$G$16</f>
        <v>62.77</v>
      </c>
      <c r="J17" s="130">
        <f t="shared" ref="J17:J46" si="5">ROUND(H17*I17,2)</f>
        <v>90934.32</v>
      </c>
      <c r="K17" s="128">
        <f>385.3752-0.0005</f>
        <v>385.37470000000002</v>
      </c>
      <c r="L17" s="129">
        <f>Perfils!$G$23</f>
        <v>62.77</v>
      </c>
      <c r="M17" s="130">
        <f t="shared" ref="M17:M46" si="6">ROUND(K17*L17,2)</f>
        <v>24189.97</v>
      </c>
      <c r="N17" s="130">
        <v>0</v>
      </c>
      <c r="O17" s="128">
        <f>1595.3874+0.0001</f>
        <v>1595.3875</v>
      </c>
      <c r="P17" s="129">
        <f>Perfils!$G$30</f>
        <v>71.540000000000006</v>
      </c>
      <c r="Q17" s="130">
        <f t="shared" ref="Q17:Q46" si="7">ROUND(O17*P17,2)</f>
        <v>114134.02</v>
      </c>
      <c r="R17" s="130">
        <f t="shared" ref="R17:R46" si="8">G17+J17+M17+N17+Q17</f>
        <v>519538.26</v>
      </c>
      <c r="S17" s="88">
        <f>Transició!C4</f>
        <v>45761</v>
      </c>
      <c r="T17" s="88">
        <f>Transició!D4</f>
        <v>45869</v>
      </c>
      <c r="U17" s="127">
        <v>28120.960000000006</v>
      </c>
      <c r="W17" s="126">
        <f t="shared" si="1"/>
        <v>106030.39999999999</v>
      </c>
      <c r="X17" s="126">
        <f t="shared" si="2"/>
        <v>33215.53</v>
      </c>
      <c r="Y17" s="126">
        <f t="shared" si="3"/>
        <v>8835.86</v>
      </c>
      <c r="Z17" s="145">
        <f t="shared" ref="Z17:Z46" si="9">N17</f>
        <v>0</v>
      </c>
      <c r="AA17" s="145">
        <f t="shared" ref="AA17:AA46" si="10">Q17</f>
        <v>114134.02</v>
      </c>
      <c r="AB17" s="60"/>
      <c r="AC17" s="60"/>
      <c r="AD17" s="60"/>
      <c r="AE17" s="60"/>
      <c r="AF17" s="60"/>
      <c r="AG17" s="60"/>
      <c r="AH17" s="117"/>
    </row>
    <row r="18" spans="3:34" s="65" customFormat="1">
      <c r="C18" s="120" t="s">
        <v>147</v>
      </c>
      <c r="D18" s="120" t="s">
        <v>148</v>
      </c>
      <c r="E18" s="128">
        <v>83.770600000000002</v>
      </c>
      <c r="F18" s="129">
        <f>Perfils!$G$9</f>
        <v>62.77</v>
      </c>
      <c r="G18" s="130">
        <f t="shared" si="4"/>
        <v>5258.28</v>
      </c>
      <c r="H18" s="128">
        <v>132.29400000000001</v>
      </c>
      <c r="I18" s="129">
        <f>Perfils!$G$16</f>
        <v>62.77</v>
      </c>
      <c r="J18" s="130">
        <f t="shared" si="5"/>
        <v>8304.09</v>
      </c>
      <c r="K18" s="128">
        <v>25.997800000000002</v>
      </c>
      <c r="L18" s="129">
        <f>Perfils!$G$23</f>
        <v>62.77</v>
      </c>
      <c r="M18" s="130">
        <f t="shared" si="6"/>
        <v>1631.88</v>
      </c>
      <c r="N18" s="130">
        <v>0</v>
      </c>
      <c r="O18" s="128">
        <v>51.3765</v>
      </c>
      <c r="P18" s="129">
        <f>Perfils!$G$30</f>
        <v>71.540000000000006</v>
      </c>
      <c r="Q18" s="130">
        <f t="shared" si="7"/>
        <v>3675.47</v>
      </c>
      <c r="R18" s="130">
        <f t="shared" si="8"/>
        <v>18869.72</v>
      </c>
      <c r="S18" s="88">
        <f>Transició!C5</f>
        <v>45761</v>
      </c>
      <c r="T18" s="88">
        <f>Transició!D5</f>
        <v>45791</v>
      </c>
      <c r="U18" s="127">
        <v>502.16000000000008</v>
      </c>
      <c r="W18" s="126">
        <f t="shared" si="1"/>
        <v>3148.67</v>
      </c>
      <c r="X18" s="126">
        <f t="shared" si="2"/>
        <v>4972.51</v>
      </c>
      <c r="Y18" s="126">
        <f t="shared" si="3"/>
        <v>977.17</v>
      </c>
      <c r="Z18" s="145">
        <f t="shared" si="9"/>
        <v>0</v>
      </c>
      <c r="AA18" s="145">
        <f t="shared" si="10"/>
        <v>3675.47</v>
      </c>
      <c r="AB18" s="60"/>
      <c r="AC18" s="60"/>
      <c r="AD18" s="60"/>
      <c r="AE18" s="60"/>
      <c r="AF18" s="60"/>
      <c r="AG18" s="60"/>
      <c r="AH18" s="117"/>
    </row>
    <row r="19" spans="3:34" s="65" customFormat="1">
      <c r="C19" s="120" t="s">
        <v>149</v>
      </c>
      <c r="D19" s="120" t="s">
        <v>216</v>
      </c>
      <c r="E19" s="128">
        <v>944.45590000000004</v>
      </c>
      <c r="F19" s="129">
        <f>Perfils!$G$9</f>
        <v>62.77</v>
      </c>
      <c r="G19" s="130">
        <f t="shared" si="4"/>
        <v>59283.5</v>
      </c>
      <c r="H19" s="128">
        <v>1395.2963</v>
      </c>
      <c r="I19" s="129">
        <f>Perfils!$G$16</f>
        <v>62.77</v>
      </c>
      <c r="J19" s="130">
        <f t="shared" si="5"/>
        <v>87582.75</v>
      </c>
      <c r="K19" s="128">
        <v>213.26419999999999</v>
      </c>
      <c r="L19" s="129">
        <f>Perfils!$G$23</f>
        <v>62.77</v>
      </c>
      <c r="M19" s="130">
        <f t="shared" si="6"/>
        <v>13386.59</v>
      </c>
      <c r="N19" s="130">
        <v>0</v>
      </c>
      <c r="O19" s="128">
        <v>642.76459999999997</v>
      </c>
      <c r="P19" s="129">
        <f>Perfils!$G$30</f>
        <v>71.540000000000006</v>
      </c>
      <c r="Q19" s="130">
        <f t="shared" si="7"/>
        <v>45983.38</v>
      </c>
      <c r="R19" s="130">
        <f t="shared" si="8"/>
        <v>206236.22</v>
      </c>
      <c r="S19" s="88">
        <f>Transició!C6</f>
        <v>45792</v>
      </c>
      <c r="T19" s="88">
        <f>Transició!D6</f>
        <v>45852</v>
      </c>
      <c r="U19" s="127">
        <v>12051.840000000002</v>
      </c>
      <c r="W19" s="126">
        <f t="shared" si="1"/>
        <v>24671.88</v>
      </c>
      <c r="X19" s="126">
        <f t="shared" si="2"/>
        <v>36449.11</v>
      </c>
      <c r="Y19" s="126">
        <f t="shared" si="3"/>
        <v>5571.07</v>
      </c>
      <c r="Z19" s="145">
        <f t="shared" si="9"/>
        <v>0</v>
      </c>
      <c r="AA19" s="145">
        <f t="shared" si="10"/>
        <v>45983.38</v>
      </c>
      <c r="AB19" s="60"/>
      <c r="AC19" s="60"/>
      <c r="AD19" s="60"/>
      <c r="AE19" s="60"/>
      <c r="AF19" s="60"/>
      <c r="AG19" s="60"/>
      <c r="AH19" s="117"/>
    </row>
    <row r="20" spans="3:34" s="65" customFormat="1">
      <c r="C20" s="120" t="s">
        <v>150</v>
      </c>
      <c r="D20" s="120" t="s">
        <v>217</v>
      </c>
      <c r="E20" s="128">
        <v>3456.2458000000001</v>
      </c>
      <c r="F20" s="129">
        <f>Perfils!$G$9</f>
        <v>62.77</v>
      </c>
      <c r="G20" s="130">
        <f t="shared" si="4"/>
        <v>216948.55</v>
      </c>
      <c r="H20" s="128">
        <v>1242.6717000000001</v>
      </c>
      <c r="I20" s="129">
        <f>Perfils!$G$16</f>
        <v>62.77</v>
      </c>
      <c r="J20" s="130">
        <f t="shared" si="5"/>
        <v>78002.5</v>
      </c>
      <c r="K20" s="128">
        <v>942.61249999999995</v>
      </c>
      <c r="L20" s="129">
        <f>Perfils!$G$23</f>
        <v>62.77</v>
      </c>
      <c r="M20" s="130">
        <f t="shared" si="6"/>
        <v>59167.79</v>
      </c>
      <c r="N20" s="130">
        <v>0</v>
      </c>
      <c r="O20" s="128">
        <v>2490.7139999999999</v>
      </c>
      <c r="P20" s="129">
        <f>Perfils!$G$30</f>
        <v>71.540000000000006</v>
      </c>
      <c r="Q20" s="130">
        <f t="shared" si="7"/>
        <v>178185.68</v>
      </c>
      <c r="R20" s="130">
        <f t="shared" si="8"/>
        <v>532304.52</v>
      </c>
      <c r="S20" s="88">
        <f>Transició!C7</f>
        <v>45761</v>
      </c>
      <c r="T20" s="88">
        <f>Transició!D7</f>
        <v>45869</v>
      </c>
      <c r="U20" s="127">
        <v>28120.960000000006</v>
      </c>
      <c r="W20" s="126">
        <f t="shared" si="1"/>
        <v>79244.679999999993</v>
      </c>
      <c r="X20" s="126">
        <f t="shared" si="2"/>
        <v>28491.93</v>
      </c>
      <c r="Y20" s="126">
        <f t="shared" si="3"/>
        <v>21612.19</v>
      </c>
      <c r="Z20" s="145">
        <f t="shared" si="9"/>
        <v>0</v>
      </c>
      <c r="AA20" s="145">
        <f t="shared" si="10"/>
        <v>178185.68</v>
      </c>
      <c r="AB20" s="60"/>
      <c r="AC20" s="60"/>
      <c r="AD20" s="60"/>
      <c r="AE20" s="60"/>
      <c r="AF20" s="60"/>
      <c r="AG20" s="60"/>
      <c r="AH20" s="117"/>
    </row>
    <row r="21" spans="3:34" s="65" customFormat="1">
      <c r="C21" s="120" t="s">
        <v>151</v>
      </c>
      <c r="D21" s="120" t="s">
        <v>152</v>
      </c>
      <c r="E21" s="128">
        <v>398.07459999999998</v>
      </c>
      <c r="F21" s="129">
        <f>Perfils!$G$9</f>
        <v>62.77</v>
      </c>
      <c r="G21" s="130">
        <f t="shared" si="4"/>
        <v>24987.14</v>
      </c>
      <c r="H21" s="128">
        <v>152.0247</v>
      </c>
      <c r="I21" s="129">
        <f>Perfils!$G$16</f>
        <v>62.77</v>
      </c>
      <c r="J21" s="130">
        <f t="shared" si="5"/>
        <v>9542.59</v>
      </c>
      <c r="K21" s="128">
        <v>68.897499999999994</v>
      </c>
      <c r="L21" s="129">
        <f>Perfils!$G$23</f>
        <v>62.77</v>
      </c>
      <c r="M21" s="130">
        <f t="shared" si="6"/>
        <v>4324.7</v>
      </c>
      <c r="N21" s="130">
        <v>0</v>
      </c>
      <c r="O21" s="128">
        <v>167.37299999999999</v>
      </c>
      <c r="P21" s="129">
        <f>Perfils!$G$30</f>
        <v>71.540000000000006</v>
      </c>
      <c r="Q21" s="130">
        <f t="shared" si="7"/>
        <v>11973.86</v>
      </c>
      <c r="R21" s="130">
        <f t="shared" si="8"/>
        <v>50828.289999999994</v>
      </c>
      <c r="S21" s="88">
        <f>Transició!C8</f>
        <v>45792</v>
      </c>
      <c r="T21" s="88">
        <f>Transició!D8</f>
        <v>45822</v>
      </c>
      <c r="U21" s="127">
        <v>2008.6400000000003</v>
      </c>
      <c r="W21" s="126">
        <f t="shared" si="1"/>
        <v>12643.19</v>
      </c>
      <c r="X21" s="126">
        <f t="shared" si="2"/>
        <v>4828.4399999999996</v>
      </c>
      <c r="Y21" s="126">
        <f t="shared" si="3"/>
        <v>2188.25</v>
      </c>
      <c r="Z21" s="145">
        <f t="shared" si="9"/>
        <v>0</v>
      </c>
      <c r="AA21" s="145">
        <f t="shared" si="10"/>
        <v>11973.86</v>
      </c>
      <c r="AB21" s="60"/>
      <c r="AC21" s="60"/>
      <c r="AD21" s="60"/>
      <c r="AE21" s="60"/>
      <c r="AF21" s="60"/>
      <c r="AG21" s="60"/>
      <c r="AH21" s="117"/>
    </row>
    <row r="22" spans="3:34" s="65" customFormat="1">
      <c r="C22" s="120" t="s">
        <v>153</v>
      </c>
      <c r="D22" s="120" t="s">
        <v>154</v>
      </c>
      <c r="E22" s="128">
        <v>62.9587</v>
      </c>
      <c r="F22" s="129">
        <f>Perfils!$G$9</f>
        <v>62.77</v>
      </c>
      <c r="G22" s="130">
        <f t="shared" si="4"/>
        <v>3951.92</v>
      </c>
      <c r="H22" s="128">
        <v>40.8018</v>
      </c>
      <c r="I22" s="129">
        <f>Perfils!$G$16</f>
        <v>62.77</v>
      </c>
      <c r="J22" s="130">
        <f t="shared" si="5"/>
        <v>2561.13</v>
      </c>
      <c r="K22" s="128">
        <v>47.695999999999998</v>
      </c>
      <c r="L22" s="129">
        <f>Perfils!$G$23</f>
        <v>62.77</v>
      </c>
      <c r="M22" s="130">
        <f t="shared" si="6"/>
        <v>2993.88</v>
      </c>
      <c r="N22" s="130">
        <v>0</v>
      </c>
      <c r="O22" s="128">
        <v>40.619500000000002</v>
      </c>
      <c r="P22" s="129">
        <f>Perfils!$G$30</f>
        <v>71.540000000000006</v>
      </c>
      <c r="Q22" s="130">
        <f t="shared" si="7"/>
        <v>2905.92</v>
      </c>
      <c r="R22" s="130">
        <f t="shared" si="8"/>
        <v>12412.85</v>
      </c>
      <c r="S22" s="88">
        <f>Transició!C9</f>
        <v>45761</v>
      </c>
      <c r="T22" s="88">
        <f>Transició!D9</f>
        <v>45791</v>
      </c>
      <c r="U22" s="127">
        <v>251.08000000000004</v>
      </c>
      <c r="W22" s="126">
        <f t="shared" si="1"/>
        <v>2366.42</v>
      </c>
      <c r="X22" s="126">
        <f t="shared" si="2"/>
        <v>1533.61</v>
      </c>
      <c r="Y22" s="126">
        <f t="shared" si="3"/>
        <v>1792.74</v>
      </c>
      <c r="Z22" s="145">
        <f t="shared" si="9"/>
        <v>0</v>
      </c>
      <c r="AA22" s="145">
        <f t="shared" si="10"/>
        <v>2905.92</v>
      </c>
      <c r="AB22" s="60"/>
      <c r="AC22" s="60"/>
      <c r="AD22" s="60"/>
      <c r="AE22" s="60"/>
      <c r="AF22" s="60"/>
      <c r="AG22" s="60"/>
      <c r="AH22" s="117"/>
    </row>
    <row r="23" spans="3:34" s="65" customFormat="1">
      <c r="C23" s="120" t="s">
        <v>155</v>
      </c>
      <c r="D23" s="120" t="s">
        <v>156</v>
      </c>
      <c r="E23" s="128">
        <v>68.441599999999994</v>
      </c>
      <c r="F23" s="129">
        <f>Perfils!$G$9</f>
        <v>62.77</v>
      </c>
      <c r="G23" s="130">
        <f t="shared" si="4"/>
        <v>4296.08</v>
      </c>
      <c r="H23" s="128">
        <v>39.206800000000001</v>
      </c>
      <c r="I23" s="129">
        <f>Perfils!$G$16</f>
        <v>62.77</v>
      </c>
      <c r="J23" s="130">
        <f t="shared" si="5"/>
        <v>2461.0100000000002</v>
      </c>
      <c r="K23" s="128">
        <v>25.665600000000001</v>
      </c>
      <c r="L23" s="129">
        <f>Perfils!$G$23</f>
        <v>62.77</v>
      </c>
      <c r="M23" s="130">
        <f t="shared" si="6"/>
        <v>1611.03</v>
      </c>
      <c r="N23" s="130">
        <v>0</v>
      </c>
      <c r="O23" s="128">
        <v>39.178199999999997</v>
      </c>
      <c r="P23" s="129">
        <f>Perfils!$G$30</f>
        <v>71.540000000000006</v>
      </c>
      <c r="Q23" s="130">
        <f t="shared" si="7"/>
        <v>2802.81</v>
      </c>
      <c r="R23" s="130">
        <f t="shared" si="8"/>
        <v>11170.93</v>
      </c>
      <c r="S23" s="88">
        <f>Transició!C10</f>
        <v>45792</v>
      </c>
      <c r="T23" s="88">
        <f>Transició!D10</f>
        <v>45822</v>
      </c>
      <c r="U23" s="127">
        <v>251.08000000000004</v>
      </c>
      <c r="W23" s="126">
        <f t="shared" si="1"/>
        <v>2173.77</v>
      </c>
      <c r="X23" s="126">
        <f t="shared" si="2"/>
        <v>1245.24</v>
      </c>
      <c r="Y23" s="126">
        <f t="shared" si="3"/>
        <v>815.16</v>
      </c>
      <c r="Z23" s="145">
        <f t="shared" si="9"/>
        <v>0</v>
      </c>
      <c r="AA23" s="145">
        <f t="shared" si="10"/>
        <v>2802.81</v>
      </c>
      <c r="AB23" s="60"/>
      <c r="AC23" s="60"/>
      <c r="AD23" s="60"/>
      <c r="AE23" s="60"/>
      <c r="AF23" s="60"/>
      <c r="AG23" s="60"/>
      <c r="AH23" s="117"/>
    </row>
    <row r="24" spans="3:34" s="65" customFormat="1">
      <c r="C24" s="120" t="s">
        <v>157</v>
      </c>
      <c r="D24" s="120" t="s">
        <v>158</v>
      </c>
      <c r="E24" s="128">
        <v>18.060600000000001</v>
      </c>
      <c r="F24" s="129">
        <f>Perfils!$G$9</f>
        <v>62.77</v>
      </c>
      <c r="G24" s="130">
        <f t="shared" si="4"/>
        <v>1133.6600000000001</v>
      </c>
      <c r="H24" s="128">
        <v>11.6166</v>
      </c>
      <c r="I24" s="129">
        <f>Perfils!$G$16</f>
        <v>62.77</v>
      </c>
      <c r="J24" s="130">
        <f t="shared" si="5"/>
        <v>729.17</v>
      </c>
      <c r="K24" s="128">
        <v>54.181899999999999</v>
      </c>
      <c r="L24" s="129">
        <f>Perfils!$G$23</f>
        <v>62.77</v>
      </c>
      <c r="M24" s="130">
        <f t="shared" si="6"/>
        <v>3401</v>
      </c>
      <c r="N24" s="130">
        <v>0</v>
      </c>
      <c r="O24" s="128">
        <v>14.247</v>
      </c>
      <c r="P24" s="129">
        <f>Perfils!$G$30</f>
        <v>71.540000000000006</v>
      </c>
      <c r="Q24" s="130">
        <f t="shared" si="7"/>
        <v>1019.23</v>
      </c>
      <c r="R24" s="130">
        <f t="shared" si="8"/>
        <v>6283.0599999999995</v>
      </c>
      <c r="S24" s="88">
        <f>Transició!C11</f>
        <v>45792</v>
      </c>
      <c r="T24" s="88">
        <f>Transició!D11</f>
        <v>45822</v>
      </c>
      <c r="U24" s="127">
        <v>251.08000000000004</v>
      </c>
      <c r="W24" s="126">
        <f t="shared" si="1"/>
        <v>573.62</v>
      </c>
      <c r="X24" s="126">
        <f t="shared" si="2"/>
        <v>368.95</v>
      </c>
      <c r="Y24" s="126">
        <f t="shared" si="3"/>
        <v>1720.87</v>
      </c>
      <c r="Z24" s="145">
        <f t="shared" si="9"/>
        <v>0</v>
      </c>
      <c r="AA24" s="145">
        <f t="shared" si="10"/>
        <v>1019.23</v>
      </c>
      <c r="AB24" s="60"/>
      <c r="AC24" s="60"/>
      <c r="AD24" s="60"/>
      <c r="AE24" s="60"/>
      <c r="AF24" s="60"/>
      <c r="AG24" s="60"/>
      <c r="AH24" s="117"/>
    </row>
    <row r="25" spans="3:34" s="65" customFormat="1">
      <c r="C25" s="120" t="s">
        <v>159</v>
      </c>
      <c r="D25" s="120" t="s">
        <v>160</v>
      </c>
      <c r="E25" s="128">
        <v>17.760000000000002</v>
      </c>
      <c r="F25" s="129">
        <f>Perfils!$G$9</f>
        <v>62.77</v>
      </c>
      <c r="G25" s="130">
        <f t="shared" si="4"/>
        <v>1114.8</v>
      </c>
      <c r="H25" s="128">
        <v>10.1738</v>
      </c>
      <c r="I25" s="129">
        <f>Perfils!$G$16</f>
        <v>62.77</v>
      </c>
      <c r="J25" s="130">
        <f t="shared" si="5"/>
        <v>638.61</v>
      </c>
      <c r="K25" s="128">
        <v>6.66</v>
      </c>
      <c r="L25" s="129">
        <f>Perfils!$G$23</f>
        <v>62.77</v>
      </c>
      <c r="M25" s="130">
        <f t="shared" si="6"/>
        <v>418.05</v>
      </c>
      <c r="N25" s="130">
        <v>0</v>
      </c>
      <c r="O25" s="128">
        <v>12.943300000000001</v>
      </c>
      <c r="P25" s="129">
        <f>Perfils!$G$30</f>
        <v>71.540000000000006</v>
      </c>
      <c r="Q25" s="130">
        <f t="shared" si="7"/>
        <v>925.96</v>
      </c>
      <c r="R25" s="130">
        <f t="shared" si="8"/>
        <v>3097.42</v>
      </c>
      <c r="S25" s="88">
        <f>Transició!C12</f>
        <v>45761</v>
      </c>
      <c r="T25" s="88">
        <f>Transició!D12</f>
        <v>45791</v>
      </c>
      <c r="U25" s="127">
        <v>251.08000000000004</v>
      </c>
      <c r="W25" s="126">
        <f t="shared" si="1"/>
        <v>667.54</v>
      </c>
      <c r="X25" s="126">
        <f t="shared" si="2"/>
        <v>382.4</v>
      </c>
      <c r="Y25" s="126">
        <f t="shared" si="3"/>
        <v>250.33</v>
      </c>
      <c r="Z25" s="145">
        <f t="shared" si="9"/>
        <v>0</v>
      </c>
      <c r="AA25" s="145">
        <f t="shared" si="10"/>
        <v>925.96</v>
      </c>
      <c r="AB25" s="60"/>
      <c r="AC25" s="60"/>
      <c r="AD25" s="60"/>
      <c r="AE25" s="60"/>
      <c r="AF25" s="60"/>
      <c r="AG25" s="60"/>
      <c r="AH25" s="117"/>
    </row>
    <row r="26" spans="3:34" s="65" customFormat="1">
      <c r="C26" s="120" t="s">
        <v>161</v>
      </c>
      <c r="D26" s="120" t="s">
        <v>162</v>
      </c>
      <c r="E26" s="128">
        <v>653.51880000000006</v>
      </c>
      <c r="F26" s="129">
        <f>Perfils!$G$9</f>
        <v>62.77</v>
      </c>
      <c r="G26" s="130">
        <f t="shared" si="4"/>
        <v>41021.379999999997</v>
      </c>
      <c r="H26" s="128">
        <v>248.06620000000001</v>
      </c>
      <c r="I26" s="129">
        <f>Perfils!$G$16</f>
        <v>62.77</v>
      </c>
      <c r="J26" s="130">
        <f t="shared" si="5"/>
        <v>15571.12</v>
      </c>
      <c r="K26" s="128">
        <v>47.528599999999997</v>
      </c>
      <c r="L26" s="129">
        <f>Perfils!$G$23</f>
        <v>62.77</v>
      </c>
      <c r="M26" s="130">
        <f t="shared" si="6"/>
        <v>2983.37</v>
      </c>
      <c r="N26" s="130">
        <v>0</v>
      </c>
      <c r="O26" s="128">
        <v>254.1584</v>
      </c>
      <c r="P26" s="129">
        <f>Perfils!$G$30</f>
        <v>71.540000000000006</v>
      </c>
      <c r="Q26" s="130">
        <f t="shared" si="7"/>
        <v>18182.490000000002</v>
      </c>
      <c r="R26" s="130">
        <f t="shared" si="8"/>
        <v>77758.36</v>
      </c>
      <c r="S26" s="88">
        <f>Transició!C13</f>
        <v>45792</v>
      </c>
      <c r="T26" s="88">
        <f>Transició!D13</f>
        <v>45852</v>
      </c>
      <c r="U26" s="127">
        <v>2008.6400000000003</v>
      </c>
      <c r="W26" s="126">
        <f t="shared" si="1"/>
        <v>17071.77</v>
      </c>
      <c r="X26" s="126">
        <f t="shared" si="2"/>
        <v>6480.2</v>
      </c>
      <c r="Y26" s="126">
        <f t="shared" si="3"/>
        <v>1241.58</v>
      </c>
      <c r="Z26" s="145">
        <f t="shared" si="9"/>
        <v>0</v>
      </c>
      <c r="AA26" s="145">
        <f t="shared" si="10"/>
        <v>18182.490000000002</v>
      </c>
      <c r="AB26" s="60"/>
      <c r="AC26" s="60"/>
      <c r="AD26" s="60"/>
      <c r="AE26" s="60"/>
      <c r="AF26" s="60"/>
      <c r="AG26" s="60"/>
      <c r="AH26" s="117"/>
    </row>
    <row r="27" spans="3:34" s="65" customFormat="1">
      <c r="C27" s="120" t="s">
        <v>163</v>
      </c>
      <c r="D27" s="120" t="s">
        <v>164</v>
      </c>
      <c r="E27" s="128">
        <v>1064.6400000000001</v>
      </c>
      <c r="F27" s="129">
        <f>Perfils!$G$9</f>
        <v>62.77</v>
      </c>
      <c r="G27" s="130">
        <f t="shared" si="4"/>
        <v>66827.45</v>
      </c>
      <c r="H27" s="128">
        <v>664.09050000000002</v>
      </c>
      <c r="I27" s="129">
        <f>Perfils!$G$16</f>
        <v>62.77</v>
      </c>
      <c r="J27" s="130">
        <f t="shared" si="5"/>
        <v>41684.959999999999</v>
      </c>
      <c r="K27" s="128">
        <v>292.77600000000001</v>
      </c>
      <c r="L27" s="129">
        <f>Perfils!$G$23</f>
        <v>62.77</v>
      </c>
      <c r="M27" s="130">
        <f t="shared" si="6"/>
        <v>18377.55</v>
      </c>
      <c r="N27" s="130">
        <v>0</v>
      </c>
      <c r="O27" s="128">
        <v>675.08770000000004</v>
      </c>
      <c r="P27" s="129">
        <f>Perfils!$G$30</f>
        <v>71.540000000000006</v>
      </c>
      <c r="Q27" s="130">
        <f t="shared" si="7"/>
        <v>48295.77</v>
      </c>
      <c r="R27" s="130">
        <f t="shared" si="8"/>
        <v>175185.73</v>
      </c>
      <c r="S27" s="88">
        <f>Transició!C14</f>
        <v>45761</v>
      </c>
      <c r="T27" s="88">
        <f>Transició!D14</f>
        <v>45822</v>
      </c>
      <c r="U27" s="127">
        <v>5021.6000000000004</v>
      </c>
      <c r="W27" s="126">
        <f t="shared" si="1"/>
        <v>33813.89</v>
      </c>
      <c r="X27" s="126">
        <f t="shared" si="2"/>
        <v>21092.09</v>
      </c>
      <c r="Y27" s="126">
        <f t="shared" si="3"/>
        <v>9298.82</v>
      </c>
      <c r="Z27" s="145">
        <f t="shared" si="9"/>
        <v>0</v>
      </c>
      <c r="AA27" s="145">
        <f t="shared" si="10"/>
        <v>48295.77</v>
      </c>
      <c r="AB27" s="60"/>
      <c r="AC27" s="60"/>
      <c r="AD27" s="60"/>
      <c r="AE27" s="60"/>
      <c r="AF27" s="60"/>
      <c r="AG27" s="60"/>
      <c r="AH27" s="117"/>
    </row>
    <row r="28" spans="3:34" s="65" customFormat="1">
      <c r="C28" s="120" t="s">
        <v>165</v>
      </c>
      <c r="D28" s="120" t="s">
        <v>166</v>
      </c>
      <c r="E28" s="128">
        <v>2308.8937000000001</v>
      </c>
      <c r="F28" s="129">
        <f>Perfils!$G$9</f>
        <v>62.77</v>
      </c>
      <c r="G28" s="130">
        <f t="shared" si="4"/>
        <v>144929.26</v>
      </c>
      <c r="H28" s="128">
        <v>1405.0913</v>
      </c>
      <c r="I28" s="129">
        <f>Perfils!$G$16</f>
        <v>62.77</v>
      </c>
      <c r="J28" s="130">
        <f t="shared" si="5"/>
        <v>88197.58</v>
      </c>
      <c r="K28" s="128">
        <v>563.14480000000003</v>
      </c>
      <c r="L28" s="129">
        <f>Perfils!$G$23</f>
        <v>62.77</v>
      </c>
      <c r="M28" s="130">
        <f t="shared" si="6"/>
        <v>35348.6</v>
      </c>
      <c r="N28" s="130">
        <v>0</v>
      </c>
      <c r="O28" s="128">
        <v>1569.6732999999999</v>
      </c>
      <c r="P28" s="129">
        <f>Perfils!$G$30</f>
        <v>71.540000000000006</v>
      </c>
      <c r="Q28" s="130">
        <f t="shared" si="7"/>
        <v>112294.43</v>
      </c>
      <c r="R28" s="130">
        <f t="shared" si="8"/>
        <v>380769.87</v>
      </c>
      <c r="S28" s="88">
        <f>Transició!C15</f>
        <v>45761</v>
      </c>
      <c r="T28" s="88">
        <f>Transició!D15</f>
        <v>45869</v>
      </c>
      <c r="U28" s="127">
        <v>20086.400000000001</v>
      </c>
      <c r="W28" s="126">
        <f t="shared" si="1"/>
        <v>52938.23</v>
      </c>
      <c r="X28" s="126">
        <f t="shared" si="2"/>
        <v>32215.88</v>
      </c>
      <c r="Y28" s="126">
        <f t="shared" si="3"/>
        <v>12911.76</v>
      </c>
      <c r="Z28" s="145">
        <f t="shared" si="9"/>
        <v>0</v>
      </c>
      <c r="AA28" s="145">
        <f t="shared" si="10"/>
        <v>112294.43</v>
      </c>
      <c r="AB28" s="60"/>
      <c r="AC28" s="60"/>
      <c r="AD28" s="60"/>
      <c r="AE28" s="60"/>
      <c r="AF28" s="60"/>
      <c r="AG28" s="60"/>
      <c r="AH28" s="117"/>
    </row>
    <row r="29" spans="3:34" s="65" customFormat="1">
      <c r="C29" s="120" t="s">
        <v>167</v>
      </c>
      <c r="D29" s="120" t="s">
        <v>168</v>
      </c>
      <c r="E29" s="128">
        <v>22.812799999999999</v>
      </c>
      <c r="F29" s="129">
        <f>Perfils!$G$9</f>
        <v>62.77</v>
      </c>
      <c r="G29" s="130">
        <f t="shared" si="4"/>
        <v>1431.96</v>
      </c>
      <c r="H29" s="128">
        <v>13.068300000000001</v>
      </c>
      <c r="I29" s="129">
        <f>Perfils!$G$16</f>
        <v>62.77</v>
      </c>
      <c r="J29" s="130">
        <f t="shared" si="5"/>
        <v>820.3</v>
      </c>
      <c r="K29" s="128">
        <v>8.5548000000000002</v>
      </c>
      <c r="L29" s="129">
        <f>Perfils!$G$23</f>
        <v>62.77</v>
      </c>
      <c r="M29" s="130">
        <f t="shared" si="6"/>
        <v>536.98</v>
      </c>
      <c r="N29" s="130">
        <v>0</v>
      </c>
      <c r="O29" s="128">
        <v>15.5588</v>
      </c>
      <c r="P29" s="129">
        <f>Perfils!$G$30</f>
        <v>71.540000000000006</v>
      </c>
      <c r="Q29" s="130">
        <f t="shared" si="7"/>
        <v>1113.08</v>
      </c>
      <c r="R29" s="130">
        <f t="shared" si="8"/>
        <v>3902.32</v>
      </c>
      <c r="S29" s="88">
        <f>Transició!C16</f>
        <v>45761</v>
      </c>
      <c r="T29" s="88">
        <f>Transició!D16</f>
        <v>45791</v>
      </c>
      <c r="U29" s="127">
        <v>251.08000000000004</v>
      </c>
      <c r="W29" s="126">
        <f t="shared" si="1"/>
        <v>857.46</v>
      </c>
      <c r="X29" s="126">
        <f t="shared" si="2"/>
        <v>491.2</v>
      </c>
      <c r="Y29" s="126">
        <f t="shared" si="3"/>
        <v>321.54000000000002</v>
      </c>
      <c r="Z29" s="145">
        <f t="shared" si="9"/>
        <v>0</v>
      </c>
      <c r="AA29" s="145">
        <f t="shared" si="10"/>
        <v>1113.08</v>
      </c>
      <c r="AB29" s="60"/>
      <c r="AC29" s="60"/>
      <c r="AD29" s="60"/>
      <c r="AE29" s="60"/>
      <c r="AF29" s="60"/>
      <c r="AG29" s="60"/>
      <c r="AH29" s="117"/>
    </row>
    <row r="30" spans="3:34" s="65" customFormat="1" ht="14.15" customHeight="1">
      <c r="C30" s="120" t="s">
        <v>169</v>
      </c>
      <c r="D30" s="120" t="s">
        <v>214</v>
      </c>
      <c r="E30" s="128">
        <v>114.0685</v>
      </c>
      <c r="F30" s="129">
        <f>Perfils!$G$9</f>
        <v>62.77</v>
      </c>
      <c r="G30" s="130">
        <f t="shared" si="4"/>
        <v>7160.08</v>
      </c>
      <c r="H30" s="128">
        <v>573.57619999999997</v>
      </c>
      <c r="I30" s="129">
        <f>Perfils!$G$16</f>
        <v>62.77</v>
      </c>
      <c r="J30" s="130">
        <f t="shared" si="5"/>
        <v>36003.379999999997</v>
      </c>
      <c r="K30" s="128">
        <v>185.3613</v>
      </c>
      <c r="L30" s="129">
        <f>Perfils!$G$23</f>
        <v>62.77</v>
      </c>
      <c r="M30" s="130">
        <f t="shared" si="6"/>
        <v>11635.13</v>
      </c>
      <c r="N30" s="130">
        <v>64059.336000000003</v>
      </c>
      <c r="O30" s="128">
        <v>574.54690000000005</v>
      </c>
      <c r="P30" s="129">
        <f>Perfils!$G$30</f>
        <v>71.540000000000006</v>
      </c>
      <c r="Q30" s="130">
        <f t="shared" si="7"/>
        <v>41103.089999999997</v>
      </c>
      <c r="R30" s="130">
        <f t="shared" si="8"/>
        <v>159961.016</v>
      </c>
      <c r="S30" s="88">
        <f>Transició!C17</f>
        <v>45761</v>
      </c>
      <c r="T30" s="88">
        <f>Transició!D17</f>
        <v>45822</v>
      </c>
      <c r="U30" s="127">
        <v>3766.2000000000007</v>
      </c>
      <c r="W30" s="126">
        <f t="shared" si="1"/>
        <v>3622.91</v>
      </c>
      <c r="X30" s="126">
        <f t="shared" si="2"/>
        <v>18217.28</v>
      </c>
      <c r="Y30" s="126">
        <f t="shared" si="3"/>
        <v>5887.24</v>
      </c>
      <c r="Z30" s="145">
        <f>N30-62314.2</f>
        <v>1745.1360000000059</v>
      </c>
      <c r="AA30" s="145">
        <f t="shared" si="10"/>
        <v>41103.089999999997</v>
      </c>
      <c r="AB30" s="60"/>
      <c r="AC30" s="60"/>
      <c r="AD30" s="60"/>
      <c r="AE30" s="60"/>
      <c r="AF30" s="60"/>
      <c r="AG30" s="60"/>
      <c r="AH30" s="117"/>
    </row>
    <row r="31" spans="3:34" s="65" customFormat="1">
      <c r="C31" s="120" t="s">
        <v>170</v>
      </c>
      <c r="D31" s="120" t="s">
        <v>171</v>
      </c>
      <c r="E31" s="128">
        <v>136.8826</v>
      </c>
      <c r="F31" s="129">
        <f>Perfils!$G$9</f>
        <v>62.77</v>
      </c>
      <c r="G31" s="130">
        <f t="shared" si="4"/>
        <v>8592.1200000000008</v>
      </c>
      <c r="H31" s="128">
        <v>453.0539</v>
      </c>
      <c r="I31" s="129">
        <f>Perfils!$G$16</f>
        <v>62.77</v>
      </c>
      <c r="J31" s="130">
        <f t="shared" si="5"/>
        <v>28438.19</v>
      </c>
      <c r="K31" s="128">
        <v>114.0688</v>
      </c>
      <c r="L31" s="129">
        <f>Perfils!$G$23</f>
        <v>62.77</v>
      </c>
      <c r="M31" s="130">
        <f t="shared" si="6"/>
        <v>7160.1</v>
      </c>
      <c r="N31" s="130">
        <v>0</v>
      </c>
      <c r="O31" s="128">
        <v>465.64010000000002</v>
      </c>
      <c r="P31" s="129">
        <f>Perfils!$G$30</f>
        <v>71.540000000000006</v>
      </c>
      <c r="Q31" s="130">
        <f t="shared" si="7"/>
        <v>33311.89</v>
      </c>
      <c r="R31" s="130">
        <f t="shared" si="8"/>
        <v>77502.299999999988</v>
      </c>
      <c r="S31" s="88">
        <f>Transició!C18</f>
        <v>45792</v>
      </c>
      <c r="T31" s="88">
        <f>Transició!D18</f>
        <v>45852</v>
      </c>
      <c r="U31" s="127">
        <v>3766.2000000000007</v>
      </c>
      <c r="W31" s="126">
        <f t="shared" si="1"/>
        <v>3575.76</v>
      </c>
      <c r="X31" s="126">
        <f t="shared" si="2"/>
        <v>11835.06</v>
      </c>
      <c r="Y31" s="126">
        <f t="shared" si="3"/>
        <v>2979.8</v>
      </c>
      <c r="Z31" s="145">
        <f t="shared" si="9"/>
        <v>0</v>
      </c>
      <c r="AA31" s="145">
        <f t="shared" si="10"/>
        <v>33311.89</v>
      </c>
      <c r="AB31" s="60"/>
      <c r="AC31" s="60"/>
      <c r="AD31" s="60"/>
      <c r="AE31" s="60"/>
      <c r="AF31" s="60"/>
      <c r="AG31" s="60"/>
      <c r="AH31" s="117"/>
    </row>
    <row r="32" spans="3:34" s="65" customFormat="1">
      <c r="C32" s="120" t="s">
        <v>172</v>
      </c>
      <c r="D32" s="120" t="s">
        <v>173</v>
      </c>
      <c r="E32" s="128">
        <v>124.8535</v>
      </c>
      <c r="F32" s="129">
        <f>Perfils!$G$9</f>
        <v>62.77</v>
      </c>
      <c r="G32" s="130">
        <f t="shared" si="4"/>
        <v>7837.05</v>
      </c>
      <c r="H32" s="128">
        <v>150.57320000000001</v>
      </c>
      <c r="I32" s="129">
        <f>Perfils!$G$16</f>
        <v>62.77</v>
      </c>
      <c r="J32" s="130">
        <f t="shared" si="5"/>
        <v>9451.48</v>
      </c>
      <c r="K32" s="128">
        <v>41.617800000000003</v>
      </c>
      <c r="L32" s="129">
        <f>Perfils!$G$23</f>
        <v>62.77</v>
      </c>
      <c r="M32" s="130">
        <f t="shared" si="6"/>
        <v>2612.35</v>
      </c>
      <c r="N32" s="130">
        <v>0</v>
      </c>
      <c r="O32" s="128">
        <v>64.968199999999996</v>
      </c>
      <c r="P32" s="129">
        <f>Perfils!$G$30</f>
        <v>71.540000000000006</v>
      </c>
      <c r="Q32" s="130">
        <f t="shared" si="7"/>
        <v>4647.83</v>
      </c>
      <c r="R32" s="130">
        <f t="shared" si="8"/>
        <v>24548.71</v>
      </c>
      <c r="S32" s="88">
        <f>Transició!C19</f>
        <v>45792</v>
      </c>
      <c r="T32" s="88">
        <f>Transició!D19</f>
        <v>45822</v>
      </c>
      <c r="U32" s="127">
        <v>502.16000000000008</v>
      </c>
      <c r="W32" s="126">
        <f t="shared" si="1"/>
        <v>3965.45</v>
      </c>
      <c r="X32" s="126">
        <f t="shared" si="2"/>
        <v>4782.34</v>
      </c>
      <c r="Y32" s="126">
        <f t="shared" si="3"/>
        <v>1321.82</v>
      </c>
      <c r="Z32" s="145">
        <f t="shared" si="9"/>
        <v>0</v>
      </c>
      <c r="AA32" s="145">
        <f t="shared" si="10"/>
        <v>4647.83</v>
      </c>
      <c r="AB32" s="60"/>
      <c r="AC32" s="60"/>
      <c r="AD32" s="60"/>
      <c r="AE32" s="60"/>
      <c r="AF32" s="60"/>
      <c r="AG32" s="60"/>
      <c r="AH32" s="117"/>
    </row>
    <row r="33" spans="1:35" s="65" customFormat="1">
      <c r="C33" s="120" t="s">
        <v>174</v>
      </c>
      <c r="D33" s="120" t="s">
        <v>175</v>
      </c>
      <c r="E33" s="128">
        <v>93.075800000000001</v>
      </c>
      <c r="F33" s="129">
        <f>Perfils!$G$9</f>
        <v>62.77</v>
      </c>
      <c r="G33" s="130">
        <f t="shared" si="4"/>
        <v>5842.37</v>
      </c>
      <c r="H33" s="128">
        <v>20.8247</v>
      </c>
      <c r="I33" s="129">
        <f>Perfils!$G$16</f>
        <v>62.77</v>
      </c>
      <c r="J33" s="130">
        <f t="shared" si="5"/>
        <v>1307.17</v>
      </c>
      <c r="K33" s="128">
        <v>7.0511999999999997</v>
      </c>
      <c r="L33" s="129">
        <f>Perfils!$G$23</f>
        <v>62.77</v>
      </c>
      <c r="M33" s="130">
        <f t="shared" si="6"/>
        <v>442.6</v>
      </c>
      <c r="N33" s="130">
        <v>0</v>
      </c>
      <c r="O33" s="128">
        <v>22.567699999999999</v>
      </c>
      <c r="P33" s="129">
        <f>Perfils!$G$30</f>
        <v>71.540000000000006</v>
      </c>
      <c r="Q33" s="130">
        <f t="shared" si="7"/>
        <v>1614.49</v>
      </c>
      <c r="R33" s="130">
        <f t="shared" si="8"/>
        <v>9206.630000000001</v>
      </c>
      <c r="S33" s="88">
        <f>Transició!C20</f>
        <v>45761</v>
      </c>
      <c r="T33" s="88">
        <f>Transició!D20</f>
        <v>45791</v>
      </c>
      <c r="U33" s="127">
        <v>251.08000000000004</v>
      </c>
      <c r="W33" s="126">
        <f t="shared" si="1"/>
        <v>3498.43</v>
      </c>
      <c r="X33" s="126">
        <f t="shared" si="2"/>
        <v>782.74</v>
      </c>
      <c r="Y33" s="126">
        <f t="shared" si="3"/>
        <v>265.02999999999997</v>
      </c>
      <c r="Z33" s="145">
        <f t="shared" si="9"/>
        <v>0</v>
      </c>
      <c r="AA33" s="145">
        <f t="shared" si="10"/>
        <v>1614.49</v>
      </c>
      <c r="AB33" s="60"/>
      <c r="AC33" s="60"/>
      <c r="AD33" s="60"/>
      <c r="AE33" s="60"/>
      <c r="AF33" s="60"/>
      <c r="AG33" s="60"/>
      <c r="AH33" s="117"/>
    </row>
    <row r="34" spans="1:35" s="65" customFormat="1">
      <c r="C34" s="120" t="s">
        <v>176</v>
      </c>
      <c r="D34" s="120" t="s">
        <v>177</v>
      </c>
      <c r="E34" s="128">
        <v>199.24160000000001</v>
      </c>
      <c r="F34" s="129">
        <f>Perfils!$G$9</f>
        <v>62.77</v>
      </c>
      <c r="G34" s="130">
        <f t="shared" si="4"/>
        <v>12506.4</v>
      </c>
      <c r="H34" s="128">
        <v>48.977699999999999</v>
      </c>
      <c r="I34" s="129">
        <f>Perfils!$G$16</f>
        <v>62.77</v>
      </c>
      <c r="J34" s="130">
        <f t="shared" si="5"/>
        <v>3074.33</v>
      </c>
      <c r="K34" s="128">
        <v>48.092799999999997</v>
      </c>
      <c r="L34" s="129">
        <f>Perfils!$G$23</f>
        <v>62.77</v>
      </c>
      <c r="M34" s="130">
        <f t="shared" si="6"/>
        <v>3018.79</v>
      </c>
      <c r="N34" s="130">
        <v>0</v>
      </c>
      <c r="O34" s="128">
        <v>51.757399999999997</v>
      </c>
      <c r="P34" s="129">
        <f>Perfils!$G$30</f>
        <v>71.540000000000006</v>
      </c>
      <c r="Q34" s="130">
        <f t="shared" si="7"/>
        <v>3702.72</v>
      </c>
      <c r="R34" s="130">
        <f t="shared" si="8"/>
        <v>22302.240000000002</v>
      </c>
      <c r="S34" s="88">
        <f>Transició!C21</f>
        <v>45761</v>
      </c>
      <c r="T34" s="88">
        <f>Transició!D21</f>
        <v>45791</v>
      </c>
      <c r="U34" s="127">
        <v>502.16000000000008</v>
      </c>
      <c r="W34" s="126">
        <f t="shared" si="1"/>
        <v>7488.86</v>
      </c>
      <c r="X34" s="126">
        <f t="shared" si="2"/>
        <v>1840.92</v>
      </c>
      <c r="Y34" s="126">
        <f t="shared" si="3"/>
        <v>1807.66</v>
      </c>
      <c r="Z34" s="145">
        <f t="shared" si="9"/>
        <v>0</v>
      </c>
      <c r="AA34" s="145">
        <f t="shared" si="10"/>
        <v>3702.72</v>
      </c>
      <c r="AB34" s="60"/>
      <c r="AC34" s="60"/>
      <c r="AD34" s="60"/>
      <c r="AE34" s="60"/>
      <c r="AF34" s="60"/>
      <c r="AG34" s="60"/>
      <c r="AH34" s="117"/>
    </row>
    <row r="35" spans="1:35" s="65" customFormat="1">
      <c r="C35" s="120" t="s">
        <v>178</v>
      </c>
      <c r="D35" s="120" t="s">
        <v>179</v>
      </c>
      <c r="E35" s="128">
        <v>256.65550000000002</v>
      </c>
      <c r="F35" s="129">
        <f>Perfils!$G$9</f>
        <v>62.77</v>
      </c>
      <c r="G35" s="130">
        <f t="shared" si="4"/>
        <v>16110.27</v>
      </c>
      <c r="H35" s="128">
        <v>94.386499999999998</v>
      </c>
      <c r="I35" s="129">
        <f>Perfils!$G$16</f>
        <v>62.77</v>
      </c>
      <c r="J35" s="130">
        <f t="shared" si="5"/>
        <v>5924.64</v>
      </c>
      <c r="K35" s="128">
        <v>33.270200000000003</v>
      </c>
      <c r="L35" s="129">
        <f>Perfils!$G$23</f>
        <v>62.77</v>
      </c>
      <c r="M35" s="130">
        <f t="shared" si="6"/>
        <v>2088.37</v>
      </c>
      <c r="N35" s="130">
        <v>0</v>
      </c>
      <c r="O35" s="128">
        <v>115.2898</v>
      </c>
      <c r="P35" s="129">
        <f>Perfils!$G$30</f>
        <v>71.540000000000006</v>
      </c>
      <c r="Q35" s="130">
        <f t="shared" si="7"/>
        <v>8247.83</v>
      </c>
      <c r="R35" s="130">
        <f t="shared" si="8"/>
        <v>32371.11</v>
      </c>
      <c r="S35" s="88">
        <f>Transició!C22</f>
        <v>45792</v>
      </c>
      <c r="T35" s="88">
        <f>Transició!D22</f>
        <v>45852</v>
      </c>
      <c r="U35" s="127">
        <v>2008.6400000000003</v>
      </c>
      <c r="W35" s="126">
        <f t="shared" si="1"/>
        <v>6704.57</v>
      </c>
      <c r="X35" s="126">
        <f t="shared" si="2"/>
        <v>2465.64</v>
      </c>
      <c r="Y35" s="126">
        <f t="shared" si="3"/>
        <v>869.11</v>
      </c>
      <c r="Z35" s="145">
        <f t="shared" si="9"/>
        <v>0</v>
      </c>
      <c r="AA35" s="145">
        <f t="shared" si="10"/>
        <v>8247.83</v>
      </c>
      <c r="AB35" s="60"/>
      <c r="AC35" s="60"/>
      <c r="AD35" s="60"/>
      <c r="AE35" s="60"/>
      <c r="AF35" s="60"/>
      <c r="AG35" s="60"/>
      <c r="AH35" s="117"/>
    </row>
    <row r="36" spans="1:35" s="65" customFormat="1">
      <c r="C36" s="120" t="s">
        <v>180</v>
      </c>
      <c r="D36" s="120" t="s">
        <v>280</v>
      </c>
      <c r="E36" s="128">
        <v>0</v>
      </c>
      <c r="F36" s="129">
        <f>Perfils!$G$9</f>
        <v>62.77</v>
      </c>
      <c r="G36" s="130">
        <f t="shared" si="4"/>
        <v>0</v>
      </c>
      <c r="H36" s="128">
        <v>192</v>
      </c>
      <c r="I36" s="129">
        <f>Perfils!$G$16</f>
        <v>62.77</v>
      </c>
      <c r="J36" s="130">
        <f t="shared" si="5"/>
        <v>12051.84</v>
      </c>
      <c r="K36" s="128">
        <v>2029.76</v>
      </c>
      <c r="L36" s="129">
        <f>Perfils!$G$23</f>
        <v>62.77</v>
      </c>
      <c r="M36" s="130">
        <f t="shared" si="6"/>
        <v>127408.04</v>
      </c>
      <c r="N36" s="130">
        <v>0</v>
      </c>
      <c r="O36" s="128">
        <v>14531.0627</v>
      </c>
      <c r="P36" s="129">
        <f>Perfils!$G$30</f>
        <v>71.540000000000006</v>
      </c>
      <c r="Q36" s="130">
        <f t="shared" si="7"/>
        <v>1039552.23</v>
      </c>
      <c r="R36" s="130">
        <f t="shared" si="8"/>
        <v>1179012.1099999999</v>
      </c>
      <c r="S36" s="88">
        <f>Transició!C23</f>
        <v>45761</v>
      </c>
      <c r="T36" s="88">
        <f>Transició!D23</f>
        <v>45869</v>
      </c>
      <c r="U36" s="127">
        <v>12051.840000000002</v>
      </c>
      <c r="W36" s="126">
        <f t="shared" si="1"/>
        <v>0</v>
      </c>
      <c r="X36" s="126">
        <f t="shared" si="2"/>
        <v>4402.17</v>
      </c>
      <c r="Y36" s="126">
        <f t="shared" si="3"/>
        <v>46538.27</v>
      </c>
      <c r="Z36" s="145">
        <f t="shared" si="9"/>
        <v>0</v>
      </c>
      <c r="AA36" s="145">
        <f t="shared" si="10"/>
        <v>1039552.23</v>
      </c>
      <c r="AB36" s="60"/>
      <c r="AC36" s="60"/>
      <c r="AD36" s="60"/>
      <c r="AE36" s="60"/>
      <c r="AF36" s="60"/>
      <c r="AG36" s="60"/>
      <c r="AH36" s="117"/>
    </row>
    <row r="37" spans="1:35" s="65" customFormat="1">
      <c r="C37" s="120" t="s">
        <v>181</v>
      </c>
      <c r="D37" s="120" t="s">
        <v>182</v>
      </c>
      <c r="E37" s="128">
        <v>0</v>
      </c>
      <c r="F37" s="129">
        <f>Perfils!$G$9</f>
        <v>62.77</v>
      </c>
      <c r="G37" s="130">
        <f t="shared" si="4"/>
        <v>0</v>
      </c>
      <c r="H37" s="128">
        <v>0</v>
      </c>
      <c r="I37" s="129">
        <f>Perfils!$G$16</f>
        <v>62.77</v>
      </c>
      <c r="J37" s="130">
        <f t="shared" si="5"/>
        <v>0</v>
      </c>
      <c r="K37" s="128">
        <v>0</v>
      </c>
      <c r="L37" s="129">
        <f>Perfils!$G$23</f>
        <v>62.77</v>
      </c>
      <c r="M37" s="130">
        <f t="shared" si="6"/>
        <v>0</v>
      </c>
      <c r="N37" s="130">
        <v>53595.21</v>
      </c>
      <c r="O37" s="128">
        <v>0</v>
      </c>
      <c r="P37" s="129">
        <f>Perfils!$G$30</f>
        <v>71.540000000000006</v>
      </c>
      <c r="Q37" s="130">
        <f t="shared" si="7"/>
        <v>0</v>
      </c>
      <c r="R37" s="130">
        <f t="shared" si="8"/>
        <v>53595.21</v>
      </c>
      <c r="S37" s="88">
        <f>Transició!C24</f>
        <v>45761</v>
      </c>
      <c r="T37" s="88">
        <f>Transició!D24</f>
        <v>45791</v>
      </c>
      <c r="U37" s="127">
        <v>0</v>
      </c>
      <c r="W37" s="126">
        <f t="shared" ref="W37:W46" si="11">ROUND(G37*($W$13-$T37)/365,2)</f>
        <v>0</v>
      </c>
      <c r="X37" s="126">
        <f t="shared" ref="X37:X46" si="12">ROUND(J37*($W$13-$T37)/365,2)</f>
        <v>0</v>
      </c>
      <c r="Y37" s="126">
        <f t="shared" ref="Y37:Y46" si="13">ROUND(M37*($W$13-$T37)/365,2)</f>
        <v>0</v>
      </c>
      <c r="Z37" s="145">
        <f>N37-42391.8*7/11</f>
        <v>26618.609999999997</v>
      </c>
      <c r="AA37" s="145">
        <f t="shared" si="10"/>
        <v>0</v>
      </c>
      <c r="AB37" s="60"/>
      <c r="AC37" s="60"/>
      <c r="AD37" s="60"/>
      <c r="AE37" s="60"/>
      <c r="AF37" s="60"/>
      <c r="AG37" s="60"/>
      <c r="AH37" s="117"/>
    </row>
    <row r="38" spans="1:35" s="65" customFormat="1">
      <c r="C38" s="30" t="s">
        <v>294</v>
      </c>
      <c r="D38" s="30" t="s">
        <v>295</v>
      </c>
      <c r="E38" s="128">
        <v>0</v>
      </c>
      <c r="F38" s="129">
        <f>Perfils!$G$9</f>
        <v>62.77</v>
      </c>
      <c r="G38" s="130">
        <f t="shared" si="4"/>
        <v>0</v>
      </c>
      <c r="H38" s="128">
        <v>0</v>
      </c>
      <c r="I38" s="129">
        <f>Perfils!$G$16</f>
        <v>62.77</v>
      </c>
      <c r="J38" s="130">
        <f t="shared" si="5"/>
        <v>0</v>
      </c>
      <c r="K38" s="128">
        <v>0</v>
      </c>
      <c r="L38" s="129">
        <f>Perfils!$G$23</f>
        <v>62.77</v>
      </c>
      <c r="M38" s="130">
        <f t="shared" si="6"/>
        <v>0</v>
      </c>
      <c r="N38" s="130">
        <v>25119.599999999999</v>
      </c>
      <c r="O38" s="128">
        <v>0</v>
      </c>
      <c r="P38" s="129">
        <f>Perfils!$G$30</f>
        <v>71.540000000000006</v>
      </c>
      <c r="Q38" s="130">
        <f t="shared" si="7"/>
        <v>0</v>
      </c>
      <c r="R38" s="130">
        <f t="shared" si="8"/>
        <v>25119.599999999999</v>
      </c>
      <c r="S38" s="88">
        <f>Transició!C25</f>
        <v>45761</v>
      </c>
      <c r="T38" s="88">
        <f>Transició!D25</f>
        <v>45791</v>
      </c>
      <c r="U38" s="127">
        <v>0</v>
      </c>
      <c r="W38" s="126">
        <f t="shared" si="11"/>
        <v>0</v>
      </c>
      <c r="X38" s="126">
        <f t="shared" si="12"/>
        <v>0</v>
      </c>
      <c r="Y38" s="126">
        <f t="shared" si="13"/>
        <v>0</v>
      </c>
      <c r="Z38" s="145">
        <f>N38-18625.4*7/11</f>
        <v>13267.072727272724</v>
      </c>
      <c r="AA38" s="145">
        <f t="shared" si="10"/>
        <v>0</v>
      </c>
      <c r="AB38" s="60"/>
      <c r="AC38" s="60"/>
      <c r="AD38" s="60"/>
      <c r="AE38" s="60"/>
      <c r="AF38" s="60"/>
      <c r="AG38" s="60"/>
      <c r="AH38" s="117"/>
    </row>
    <row r="39" spans="1:35" s="65" customFormat="1">
      <c r="C39" s="120" t="s">
        <v>210</v>
      </c>
      <c r="D39" s="120" t="s">
        <v>183</v>
      </c>
      <c r="E39" s="128">
        <v>317.50319999999999</v>
      </c>
      <c r="F39" s="129">
        <f>Perfils!$G$9</f>
        <v>62.77</v>
      </c>
      <c r="G39" s="130">
        <f t="shared" si="4"/>
        <v>19929.68</v>
      </c>
      <c r="H39" s="128">
        <v>254.05699999999999</v>
      </c>
      <c r="I39" s="129">
        <f>Perfils!$G$16</f>
        <v>62.77</v>
      </c>
      <c r="J39" s="130">
        <f t="shared" si="5"/>
        <v>15947.16</v>
      </c>
      <c r="K39" s="128">
        <v>90.715199999999996</v>
      </c>
      <c r="L39" s="129">
        <f>Perfils!$G$23</f>
        <v>62.77</v>
      </c>
      <c r="M39" s="130">
        <f t="shared" si="6"/>
        <v>5694.19</v>
      </c>
      <c r="N39" s="130">
        <v>0</v>
      </c>
      <c r="O39" s="128">
        <v>259.5718</v>
      </c>
      <c r="P39" s="129">
        <f>Perfils!$G$30</f>
        <v>71.540000000000006</v>
      </c>
      <c r="Q39" s="130">
        <f t="shared" si="7"/>
        <v>18569.77</v>
      </c>
      <c r="R39" s="130">
        <f t="shared" si="8"/>
        <v>60140.800000000003</v>
      </c>
      <c r="S39" s="88">
        <f>Transició!C26</f>
        <v>45792</v>
      </c>
      <c r="T39" s="88">
        <f>Transició!D26</f>
        <v>45852</v>
      </c>
      <c r="U39" s="127">
        <v>2008.6400000000003</v>
      </c>
      <c r="W39" s="126">
        <f>ROUND(G39*($W$13-$T39-31)/334,2)</f>
        <v>8294.09</v>
      </c>
      <c r="X39" s="126">
        <f>ROUND(J39*($W$13-$T39-31)/334,2)</f>
        <v>6636.69</v>
      </c>
      <c r="Y39" s="126">
        <f>ROUND(M39*($W$13-$T39-31)/334,2)</f>
        <v>2369.7399999999998</v>
      </c>
      <c r="Z39" s="145">
        <f t="shared" si="9"/>
        <v>0</v>
      </c>
      <c r="AA39" s="145">
        <f t="shared" si="10"/>
        <v>18569.77</v>
      </c>
      <c r="AB39" s="60"/>
      <c r="AC39" s="60"/>
      <c r="AD39" s="60"/>
      <c r="AE39" s="60"/>
      <c r="AF39" s="60"/>
      <c r="AG39" s="60"/>
      <c r="AH39" s="117"/>
    </row>
    <row r="40" spans="1:35" s="65" customFormat="1">
      <c r="C40" s="30" t="s">
        <v>213</v>
      </c>
      <c r="D40" s="120" t="s">
        <v>215</v>
      </c>
      <c r="E40" s="128">
        <v>266.15960000000001</v>
      </c>
      <c r="F40" s="129">
        <f>Perfils!$G$9</f>
        <v>62.77</v>
      </c>
      <c r="G40" s="130">
        <f t="shared" si="4"/>
        <v>16706.84</v>
      </c>
      <c r="H40" s="128">
        <v>232.33449999999999</v>
      </c>
      <c r="I40" s="129">
        <f>Perfils!$G$16</f>
        <v>62.77</v>
      </c>
      <c r="J40" s="130">
        <f t="shared" si="5"/>
        <v>14583.64</v>
      </c>
      <c r="K40" s="128">
        <v>38.022799999999997</v>
      </c>
      <c r="L40" s="129">
        <f>Perfils!$G$23</f>
        <v>62.77</v>
      </c>
      <c r="M40" s="130">
        <f t="shared" si="6"/>
        <v>2386.69</v>
      </c>
      <c r="N40" s="130">
        <v>0</v>
      </c>
      <c r="O40" s="128">
        <v>239.94290000000001</v>
      </c>
      <c r="P40" s="129">
        <f>Perfils!$G$30</f>
        <v>71.540000000000006</v>
      </c>
      <c r="Q40" s="130">
        <f t="shared" si="7"/>
        <v>17165.52</v>
      </c>
      <c r="R40" s="130">
        <f t="shared" si="8"/>
        <v>50842.69</v>
      </c>
      <c r="S40" s="88">
        <f>Transició!C27</f>
        <v>45792</v>
      </c>
      <c r="T40" s="88">
        <f>Transició!D27</f>
        <v>45822</v>
      </c>
      <c r="U40" s="127">
        <v>2008.6400000000003</v>
      </c>
      <c r="W40" s="126">
        <f>ROUND(G40*($W$13-$T40-31)/334,2)</f>
        <v>8453.4599999999991</v>
      </c>
      <c r="X40" s="126">
        <f>ROUND(J40*($W$13-$T40-31)/334,2)</f>
        <v>7379.15</v>
      </c>
      <c r="Y40" s="126">
        <f>ROUND(M40*($W$13-$T40-31)/334,2)</f>
        <v>1207.6400000000001</v>
      </c>
      <c r="Z40" s="145">
        <f t="shared" si="9"/>
        <v>0</v>
      </c>
      <c r="AA40" s="145">
        <f t="shared" si="10"/>
        <v>17165.52</v>
      </c>
      <c r="AB40" s="60"/>
      <c r="AC40" s="60"/>
      <c r="AD40" s="60"/>
      <c r="AE40" s="60"/>
      <c r="AF40" s="60"/>
      <c r="AG40" s="60"/>
      <c r="AH40" s="117"/>
    </row>
    <row r="41" spans="1:35" s="65" customFormat="1">
      <c r="C41" s="30" t="s">
        <v>211</v>
      </c>
      <c r="D41" s="30" t="s">
        <v>212</v>
      </c>
      <c r="E41" s="128">
        <v>74.143699999999995</v>
      </c>
      <c r="F41" s="129">
        <f>Perfils!$G$9</f>
        <v>62.77</v>
      </c>
      <c r="G41" s="130">
        <f t="shared" si="4"/>
        <v>4654</v>
      </c>
      <c r="H41" s="128">
        <v>97.289100000000005</v>
      </c>
      <c r="I41" s="129">
        <f>Perfils!$G$16</f>
        <v>62.77</v>
      </c>
      <c r="J41" s="130">
        <f t="shared" si="5"/>
        <v>6106.84</v>
      </c>
      <c r="K41" s="128">
        <v>19.9618</v>
      </c>
      <c r="L41" s="129">
        <f>Perfils!$G$23</f>
        <v>62.77</v>
      </c>
      <c r="M41" s="130">
        <f t="shared" si="6"/>
        <v>1253</v>
      </c>
      <c r="N41" s="130">
        <v>0</v>
      </c>
      <c r="O41" s="128">
        <v>95.412700000000001</v>
      </c>
      <c r="P41" s="129">
        <f>Perfils!$G$30</f>
        <v>71.540000000000006</v>
      </c>
      <c r="Q41" s="130">
        <f t="shared" si="7"/>
        <v>6825.82</v>
      </c>
      <c r="R41" s="130">
        <f t="shared" si="8"/>
        <v>18839.66</v>
      </c>
      <c r="S41" s="88">
        <f>Transició!C28</f>
        <v>45792</v>
      </c>
      <c r="T41" s="88">
        <f>Transició!D28</f>
        <v>45822</v>
      </c>
      <c r="U41" s="127">
        <v>502.16000000000008</v>
      </c>
      <c r="W41" s="126">
        <f>ROUND(G41*($W$13-$T41-31)/334,2)</f>
        <v>2354.87</v>
      </c>
      <c r="X41" s="126">
        <f>ROUND(J41*($W$13-$T41-31)/334,2)</f>
        <v>3089.99</v>
      </c>
      <c r="Y41" s="126">
        <f>ROUND(M41*($W$13-$T41-31)/334,2)</f>
        <v>634</v>
      </c>
      <c r="Z41" s="145">
        <f t="shared" si="9"/>
        <v>0</v>
      </c>
      <c r="AA41" s="145">
        <f t="shared" si="10"/>
        <v>6825.82</v>
      </c>
      <c r="AB41" s="60"/>
      <c r="AC41" s="60"/>
      <c r="AD41" s="60"/>
      <c r="AE41" s="60"/>
      <c r="AF41" s="60"/>
      <c r="AG41" s="60"/>
      <c r="AH41" s="117"/>
    </row>
    <row r="42" spans="1:35" s="65" customFormat="1">
      <c r="C42" s="120" t="s">
        <v>208</v>
      </c>
      <c r="D42" s="120" t="s">
        <v>209</v>
      </c>
      <c r="E42" s="128">
        <v>380.22730000000001</v>
      </c>
      <c r="F42" s="129">
        <f>Perfils!$G$9</f>
        <v>62.77</v>
      </c>
      <c r="G42" s="130">
        <f t="shared" si="4"/>
        <v>23866.87</v>
      </c>
      <c r="H42" s="128">
        <v>217.81319999999999</v>
      </c>
      <c r="I42" s="129">
        <f>Perfils!$G$16</f>
        <v>62.77</v>
      </c>
      <c r="J42" s="130">
        <f t="shared" si="5"/>
        <v>13672.13</v>
      </c>
      <c r="K42" s="128">
        <v>142.58519999999999</v>
      </c>
      <c r="L42" s="129">
        <f>Perfils!$G$23</f>
        <v>62.77</v>
      </c>
      <c r="M42" s="130">
        <f t="shared" si="6"/>
        <v>8950.07</v>
      </c>
      <c r="N42" s="130">
        <v>0</v>
      </c>
      <c r="O42" s="128">
        <v>226.8211</v>
      </c>
      <c r="P42" s="129">
        <f>Perfils!$G$30</f>
        <v>71.540000000000006</v>
      </c>
      <c r="Q42" s="130">
        <f t="shared" si="7"/>
        <v>16226.78</v>
      </c>
      <c r="R42" s="130">
        <f t="shared" si="8"/>
        <v>62715.85</v>
      </c>
      <c r="S42" s="88">
        <f>Transició!C29</f>
        <v>45761</v>
      </c>
      <c r="T42" s="88">
        <f>Transició!D29</f>
        <v>45791</v>
      </c>
      <c r="U42" s="127">
        <v>2008.6400000000003</v>
      </c>
      <c r="W42" s="126">
        <f>ROUND(G42*365/365,2)</f>
        <v>23866.87</v>
      </c>
      <c r="X42" s="126">
        <f>ROUND(J42*365/365,2)</f>
        <v>13672.13</v>
      </c>
      <c r="Y42" s="126">
        <f>ROUND(M42*365/365,2)</f>
        <v>8950.07</v>
      </c>
      <c r="Z42" s="145">
        <f t="shared" si="9"/>
        <v>0</v>
      </c>
      <c r="AA42" s="145">
        <f t="shared" si="10"/>
        <v>16226.78</v>
      </c>
      <c r="AB42" s="60"/>
      <c r="AC42" s="60"/>
      <c r="AD42" s="60"/>
      <c r="AE42" s="60"/>
      <c r="AF42" s="60"/>
      <c r="AG42" s="60"/>
      <c r="AH42" s="117"/>
    </row>
    <row r="43" spans="1:35" s="65" customFormat="1">
      <c r="C43" s="120" t="s">
        <v>221</v>
      </c>
      <c r="D43" s="120" t="s">
        <v>218</v>
      </c>
      <c r="E43" s="128">
        <v>456.27379999999999</v>
      </c>
      <c r="F43" s="129">
        <f>Perfils!$G$9</f>
        <v>62.77</v>
      </c>
      <c r="G43" s="130">
        <f t="shared" si="4"/>
        <v>28640.31</v>
      </c>
      <c r="H43" s="128">
        <v>261.37639999999999</v>
      </c>
      <c r="I43" s="129">
        <f>Perfils!$G$16</f>
        <v>62.77</v>
      </c>
      <c r="J43" s="130">
        <f t="shared" si="5"/>
        <v>16406.599999999999</v>
      </c>
      <c r="K43" s="128">
        <v>171.1027</v>
      </c>
      <c r="L43" s="129">
        <f>Perfils!$G$23</f>
        <v>62.77</v>
      </c>
      <c r="M43" s="130">
        <f t="shared" si="6"/>
        <v>10740.12</v>
      </c>
      <c r="N43" s="130">
        <v>0</v>
      </c>
      <c r="O43" s="128">
        <v>266.18579999999997</v>
      </c>
      <c r="P43" s="129">
        <f>Perfils!$G$30</f>
        <v>71.540000000000006</v>
      </c>
      <c r="Q43" s="130">
        <f t="shared" si="7"/>
        <v>19042.93</v>
      </c>
      <c r="R43" s="130">
        <f t="shared" si="8"/>
        <v>74829.960000000006</v>
      </c>
      <c r="S43" s="88">
        <f>Transició!C30</f>
        <v>45761</v>
      </c>
      <c r="T43" s="88">
        <f>Transició!D30</f>
        <v>45822</v>
      </c>
      <c r="U43" s="127">
        <v>2008.6400000000003</v>
      </c>
      <c r="W43" s="126">
        <f>ROUND(G43*365/365,2)</f>
        <v>28640.31</v>
      </c>
      <c r="X43" s="126">
        <f>ROUND(J43*365/365,2)</f>
        <v>16406.599999999999</v>
      </c>
      <c r="Y43" s="126">
        <f>ROUND(M43*365/365,2)</f>
        <v>10740.12</v>
      </c>
      <c r="Z43" s="145">
        <f t="shared" si="9"/>
        <v>0</v>
      </c>
      <c r="AA43" s="145">
        <f t="shared" si="10"/>
        <v>19042.93</v>
      </c>
      <c r="AB43" s="60"/>
      <c r="AC43" s="60"/>
      <c r="AD43" s="60"/>
      <c r="AE43" s="60"/>
      <c r="AF43" s="60"/>
      <c r="AG43" s="60"/>
      <c r="AH43" s="117"/>
    </row>
    <row r="44" spans="1:35" s="65" customFormat="1">
      <c r="C44" s="120" t="s">
        <v>289</v>
      </c>
      <c r="D44" s="120" t="s">
        <v>290</v>
      </c>
      <c r="E44" s="128">
        <v>382.5095</v>
      </c>
      <c r="F44" s="129">
        <f>Perfils!$G$9</f>
        <v>62.77</v>
      </c>
      <c r="G44" s="130">
        <f t="shared" si="4"/>
        <v>24010.12</v>
      </c>
      <c r="H44" s="128">
        <v>219.1206</v>
      </c>
      <c r="I44" s="129">
        <f>Perfils!$G$16</f>
        <v>62.77</v>
      </c>
      <c r="J44" s="130">
        <f t="shared" si="5"/>
        <v>13754.2</v>
      </c>
      <c r="K44" s="128">
        <v>143.44110000000001</v>
      </c>
      <c r="L44" s="129">
        <f>Perfils!$G$23</f>
        <v>62.77</v>
      </c>
      <c r="M44" s="130">
        <f t="shared" si="6"/>
        <v>9003.7999999999993</v>
      </c>
      <c r="N44" s="130">
        <v>0</v>
      </c>
      <c r="O44" s="128">
        <v>228.0025</v>
      </c>
      <c r="P44" s="129">
        <f>Perfils!$G$30</f>
        <v>71.540000000000006</v>
      </c>
      <c r="Q44" s="130">
        <f t="shared" si="7"/>
        <v>16311.3</v>
      </c>
      <c r="R44" s="130">
        <f t="shared" si="8"/>
        <v>63079.42</v>
      </c>
      <c r="S44" s="88">
        <f>Transició!C31</f>
        <v>45761</v>
      </c>
      <c r="T44" s="88">
        <f>Transició!D31</f>
        <v>45869</v>
      </c>
      <c r="U44" s="127">
        <v>2008.6400000000003</v>
      </c>
      <c r="W44" s="126">
        <f>ROUND(G44*365/365,2)</f>
        <v>24010.12</v>
      </c>
      <c r="X44" s="126">
        <f>ROUND(J44*365/365,2)</f>
        <v>13754.2</v>
      </c>
      <c r="Y44" s="126">
        <f>ROUND(M44*365/365,2)</f>
        <v>9003.7999999999993</v>
      </c>
      <c r="Z44" s="145">
        <f t="shared" si="9"/>
        <v>0</v>
      </c>
      <c r="AA44" s="145">
        <f t="shared" si="10"/>
        <v>16311.3</v>
      </c>
      <c r="AB44" s="60"/>
      <c r="AC44" s="60"/>
      <c r="AD44" s="60"/>
      <c r="AE44" s="60"/>
      <c r="AF44" s="60"/>
      <c r="AG44" s="60"/>
      <c r="AH44" s="117"/>
    </row>
    <row r="45" spans="1:35" s="65" customFormat="1">
      <c r="C45" s="120" t="s">
        <v>292</v>
      </c>
      <c r="D45" s="120" t="s">
        <v>293</v>
      </c>
      <c r="E45" s="128">
        <v>266.15969999999999</v>
      </c>
      <c r="F45" s="129">
        <f>Perfils!$G$9</f>
        <v>62.77</v>
      </c>
      <c r="G45" s="130">
        <f t="shared" si="4"/>
        <v>16706.84</v>
      </c>
      <c r="H45" s="128">
        <v>152.46960000000001</v>
      </c>
      <c r="I45" s="129">
        <f>Perfils!$G$16</f>
        <v>62.77</v>
      </c>
      <c r="J45" s="130">
        <f t="shared" si="5"/>
        <v>9570.52</v>
      </c>
      <c r="K45" s="128">
        <v>99.809899999999999</v>
      </c>
      <c r="L45" s="129">
        <f>Perfils!$G$23</f>
        <v>62.77</v>
      </c>
      <c r="M45" s="130">
        <f t="shared" si="6"/>
        <v>6265.07</v>
      </c>
      <c r="N45" s="130">
        <v>0</v>
      </c>
      <c r="O45" s="128">
        <v>167.77510000000001</v>
      </c>
      <c r="P45" s="129">
        <f>Perfils!$G$30</f>
        <v>71.540000000000006</v>
      </c>
      <c r="Q45" s="130">
        <f t="shared" si="7"/>
        <v>12002.63</v>
      </c>
      <c r="R45" s="130">
        <f t="shared" ref="R45" si="14">G45+J45+M45+N45+Q45</f>
        <v>44545.06</v>
      </c>
      <c r="S45" s="88">
        <f>Transició!C32</f>
        <v>45761</v>
      </c>
      <c r="T45" s="88">
        <f>Transició!D32</f>
        <v>45791</v>
      </c>
      <c r="U45" s="127">
        <v>2008.6400000000003</v>
      </c>
      <c r="W45" s="126">
        <f>ROUND(G45*365/365,2)</f>
        <v>16706.84</v>
      </c>
      <c r="X45" s="126">
        <f>ROUND(J45*365/365,2)</f>
        <v>9570.52</v>
      </c>
      <c r="Y45" s="126">
        <f>ROUND(M45*365/365,2)</f>
        <v>6265.07</v>
      </c>
      <c r="Z45" s="145">
        <f t="shared" ref="Z45" si="15">N45</f>
        <v>0</v>
      </c>
      <c r="AA45" s="145">
        <f t="shared" ref="AA45" si="16">Q45</f>
        <v>12002.63</v>
      </c>
      <c r="AB45" s="60"/>
      <c r="AC45" s="60"/>
      <c r="AD45" s="60"/>
      <c r="AE45" s="60"/>
      <c r="AF45" s="60"/>
      <c r="AG45" s="60"/>
      <c r="AH45" s="117"/>
    </row>
    <row r="46" spans="1:35" s="65" customFormat="1">
      <c r="C46" s="120" t="s">
        <v>220</v>
      </c>
      <c r="D46" s="120" t="s">
        <v>219</v>
      </c>
      <c r="E46" s="128">
        <v>0</v>
      </c>
      <c r="F46" s="129">
        <f>Perfils!$G$9</f>
        <v>62.77</v>
      </c>
      <c r="G46" s="130">
        <f t="shared" si="4"/>
        <v>0</v>
      </c>
      <c r="H46" s="128">
        <v>0</v>
      </c>
      <c r="I46" s="129">
        <f>Perfils!$G$16</f>
        <v>62.77</v>
      </c>
      <c r="J46" s="130">
        <f t="shared" si="5"/>
        <v>0</v>
      </c>
      <c r="K46" s="128">
        <v>0</v>
      </c>
      <c r="L46" s="129">
        <f>Perfils!$G$23</f>
        <v>62.77</v>
      </c>
      <c r="M46" s="130">
        <f t="shared" si="6"/>
        <v>0</v>
      </c>
      <c r="N46" s="130">
        <v>0</v>
      </c>
      <c r="O46" s="128">
        <v>0</v>
      </c>
      <c r="P46" s="129">
        <f>Perfils!$G$30</f>
        <v>71.540000000000006</v>
      </c>
      <c r="Q46" s="130">
        <f t="shared" si="7"/>
        <v>0</v>
      </c>
      <c r="R46" s="130">
        <f t="shared" si="8"/>
        <v>0</v>
      </c>
      <c r="S46" s="88">
        <v>45658</v>
      </c>
      <c r="T46" s="88">
        <v>45657</v>
      </c>
      <c r="U46" s="127">
        <v>0</v>
      </c>
      <c r="W46" s="126">
        <f t="shared" si="11"/>
        <v>0</v>
      </c>
      <c r="X46" s="126">
        <f t="shared" si="12"/>
        <v>0</v>
      </c>
      <c r="Y46" s="126">
        <f t="shared" si="13"/>
        <v>0</v>
      </c>
      <c r="Z46" s="145">
        <f t="shared" si="9"/>
        <v>0</v>
      </c>
      <c r="AA46" s="145">
        <f t="shared" si="10"/>
        <v>0</v>
      </c>
      <c r="AB46" s="60"/>
      <c r="AC46" s="60"/>
      <c r="AD46" s="60"/>
      <c r="AE46" s="60"/>
      <c r="AF46" s="60"/>
      <c r="AG46" s="60"/>
      <c r="AH46" s="117"/>
    </row>
    <row r="47" spans="1:35" s="65" customFormat="1" ht="15.5">
      <c r="C47" s="67" t="s">
        <v>116</v>
      </c>
      <c r="D47" s="112"/>
      <c r="E47" s="131">
        <f>SUM(E16:E46)</f>
        <v>18095.602099999996</v>
      </c>
      <c r="F47" s="110"/>
      <c r="G47" s="143">
        <f>SUM(G16:G46)</f>
        <v>1135860.9600000004</v>
      </c>
      <c r="H47" s="131">
        <f>SUM(H16:H46)</f>
        <v>10787.466900000003</v>
      </c>
      <c r="I47" s="110"/>
      <c r="J47" s="143">
        <f>SUM(J16:J46)</f>
        <v>677129.29999999981</v>
      </c>
      <c r="K47" s="131">
        <f>SUM(K16:K46)</f>
        <v>6621.2949999999992</v>
      </c>
      <c r="L47" s="110"/>
      <c r="M47" s="144">
        <f>SUM(M16:M46)</f>
        <v>415618.7</v>
      </c>
      <c r="N47" s="143">
        <f>SUM(N16:N46)</f>
        <v>142774.14600000001</v>
      </c>
      <c r="O47" s="131">
        <f>SUM(O16:O46)</f>
        <v>26097.179099999998</v>
      </c>
      <c r="P47" s="110"/>
      <c r="Q47" s="143">
        <f>SUM(Q16:Q46)</f>
        <v>1866992.1799999997</v>
      </c>
      <c r="R47" s="143">
        <f>SUM(R16:R46)</f>
        <v>4238375.2859999994</v>
      </c>
      <c r="S47" s="110"/>
      <c r="T47" s="110"/>
      <c r="U47" s="143">
        <f>SUM(U16:U46)</f>
        <v>154665.28000000014</v>
      </c>
      <c r="W47" s="143">
        <f>ROUND(SUM(W16:W46),2)</f>
        <v>507275.55</v>
      </c>
      <c r="X47" s="143">
        <f>ROUND(SUM(X16:X46),2)</f>
        <v>309909.28999999998</v>
      </c>
      <c r="Y47" s="143">
        <f>ROUND(SUM(Y16:Y46),2)</f>
        <v>184124.78</v>
      </c>
      <c r="Z47" s="143">
        <f>ROUND(SUM(Z16:Z46),2)</f>
        <v>41630.82</v>
      </c>
      <c r="AA47" s="143">
        <f>ROUND(SUM(AA16:AA46),2)</f>
        <v>1866992.18</v>
      </c>
      <c r="AB47" s="60"/>
      <c r="AC47" s="60"/>
      <c r="AD47" s="60"/>
      <c r="AE47" s="60"/>
      <c r="AF47" s="60"/>
      <c r="AG47" s="60"/>
      <c r="AI47" s="137"/>
    </row>
    <row r="48" spans="1:35" s="65" customFormat="1">
      <c r="A48" s="2"/>
      <c r="B48" s="73"/>
      <c r="C48" s="108"/>
      <c r="D48" s="83"/>
      <c r="E48" s="84"/>
      <c r="F48" s="84"/>
      <c r="G48" s="85"/>
      <c r="H48" s="84"/>
      <c r="I48" s="86"/>
      <c r="J48" s="85"/>
      <c r="K48" s="84"/>
      <c r="L48" s="86"/>
      <c r="M48" s="85"/>
      <c r="N48" s="85"/>
      <c r="O48" s="84"/>
      <c r="P48" s="86"/>
      <c r="Q48" s="85"/>
      <c r="R48" s="141"/>
      <c r="S48" s="88"/>
      <c r="T48" s="88"/>
      <c r="U48" s="89"/>
      <c r="X48" s="117"/>
      <c r="AB48" s="60"/>
      <c r="AC48" s="60"/>
      <c r="AD48" s="60"/>
      <c r="AE48" s="60"/>
      <c r="AF48" s="60"/>
      <c r="AG48" s="60"/>
      <c r="AI48" s="137"/>
    </row>
    <row r="49" spans="1:35" s="65" customFormat="1">
      <c r="A49" s="2"/>
      <c r="B49" s="73"/>
      <c r="C49" s="108"/>
      <c r="D49" s="83"/>
      <c r="E49" s="84"/>
      <c r="F49" s="84"/>
      <c r="G49" s="84"/>
      <c r="H49" s="84"/>
      <c r="I49" s="86"/>
      <c r="J49" s="85"/>
      <c r="K49" s="84"/>
      <c r="L49" s="86"/>
      <c r="M49" s="84"/>
      <c r="N49" s="84"/>
      <c r="O49" s="84"/>
      <c r="P49" s="86"/>
      <c r="Q49" s="84"/>
      <c r="R49" s="141"/>
      <c r="S49" s="88"/>
      <c r="T49" s="88"/>
      <c r="U49" s="84"/>
      <c r="W49" s="74">
        <v>46023</v>
      </c>
      <c r="Y49" s="117"/>
      <c r="AI49" s="137"/>
    </row>
    <row r="50" spans="1:35">
      <c r="C50" s="60"/>
      <c r="D50" s="78"/>
      <c r="F50" s="60"/>
      <c r="R50" s="76"/>
      <c r="S50" s="76"/>
      <c r="T50" s="76"/>
      <c r="U50" s="71"/>
      <c r="V50" s="65"/>
      <c r="W50" s="74">
        <v>46387</v>
      </c>
      <c r="Y50" s="60"/>
      <c r="Z50" s="60"/>
      <c r="AA50" s="60"/>
      <c r="AB50" s="60"/>
      <c r="AI50" s="137"/>
    </row>
    <row r="51" spans="1:35">
      <c r="C51" s="65" t="s">
        <v>202</v>
      </c>
      <c r="D51" s="78"/>
      <c r="F51" s="60"/>
      <c r="R51" s="76"/>
      <c r="S51" s="76"/>
      <c r="T51" s="76"/>
      <c r="U51" s="71"/>
      <c r="V51" s="65"/>
      <c r="W51" s="74" t="s">
        <v>224</v>
      </c>
      <c r="Y51" s="60"/>
      <c r="Z51" s="60"/>
      <c r="AA51" s="60"/>
      <c r="AC51" s="61"/>
      <c r="AD51" s="61"/>
      <c r="AE51" s="61"/>
      <c r="AF51" s="61"/>
      <c r="AG51" s="61"/>
      <c r="AH51" s="61"/>
      <c r="AI51" s="213"/>
    </row>
    <row r="52" spans="1:35" s="65" customFormat="1" ht="54" customHeight="1">
      <c r="C52" s="67" t="s">
        <v>0</v>
      </c>
      <c r="D52" s="67" t="s">
        <v>123</v>
      </c>
      <c r="E52" s="68" t="s">
        <v>120</v>
      </c>
      <c r="F52" s="68" t="s">
        <v>108</v>
      </c>
      <c r="G52" s="68" t="s">
        <v>2</v>
      </c>
      <c r="H52" s="68" t="s">
        <v>124</v>
      </c>
      <c r="I52" s="68" t="s">
        <v>108</v>
      </c>
      <c r="J52" s="68" t="s">
        <v>15</v>
      </c>
      <c r="K52" s="68" t="s">
        <v>136</v>
      </c>
      <c r="L52" s="68" t="s">
        <v>108</v>
      </c>
      <c r="M52" s="68" t="s">
        <v>137</v>
      </c>
      <c r="N52" s="68" t="s">
        <v>130</v>
      </c>
      <c r="O52" s="68" t="s">
        <v>396</v>
      </c>
      <c r="P52" s="68" t="s">
        <v>108</v>
      </c>
      <c r="Q52" s="68" t="s">
        <v>206</v>
      </c>
      <c r="R52" s="68" t="s">
        <v>207</v>
      </c>
      <c r="S52" s="67" t="s">
        <v>125</v>
      </c>
      <c r="T52" s="67" t="s">
        <v>122</v>
      </c>
      <c r="U52" s="67" t="s">
        <v>189</v>
      </c>
      <c r="W52" s="68" t="s">
        <v>2</v>
      </c>
      <c r="X52" s="68" t="s">
        <v>15</v>
      </c>
      <c r="Y52" s="68" t="s">
        <v>137</v>
      </c>
      <c r="Z52" s="68" t="s">
        <v>130</v>
      </c>
      <c r="AA52" s="68" t="s">
        <v>223</v>
      </c>
      <c r="AB52" s="258"/>
      <c r="AC52" s="258"/>
      <c r="AD52" s="259"/>
      <c r="AE52" s="259"/>
      <c r="AF52" s="259"/>
      <c r="AG52" s="118"/>
      <c r="AH52" s="118"/>
      <c r="AI52" s="213"/>
    </row>
    <row r="53" spans="1:35" s="65" customFormat="1">
      <c r="C53" s="120" t="s">
        <v>143</v>
      </c>
      <c r="D53" s="120" t="s">
        <v>144</v>
      </c>
      <c r="E53" s="128">
        <v>1303.7132999999999</v>
      </c>
      <c r="F53" s="129">
        <f>Perfils!$G$9</f>
        <v>62.77</v>
      </c>
      <c r="G53" s="130">
        <f t="shared" ref="G53:G83" si="17">ROUND(E53*F53,2)</f>
        <v>81834.080000000002</v>
      </c>
      <c r="H53" s="128">
        <v>1016.5214999999999</v>
      </c>
      <c r="I53" s="129">
        <f>Perfils!$G$16</f>
        <v>62.77</v>
      </c>
      <c r="J53" s="130">
        <f t="shared" ref="J53:J83" si="18">ROUND(H53*I53,2)</f>
        <v>63807.05</v>
      </c>
      <c r="K53" s="128">
        <v>774.07979999999998</v>
      </c>
      <c r="L53" s="129">
        <f>Perfils!$G$23</f>
        <v>62.77</v>
      </c>
      <c r="M53" s="130">
        <f t="shared" ref="M53:M83" si="19">ROUND(K53*L53,2)</f>
        <v>48588.99</v>
      </c>
      <c r="N53" s="130">
        <v>0</v>
      </c>
      <c r="O53" s="128">
        <v>918.55259999999998</v>
      </c>
      <c r="P53" s="129">
        <f>Perfils!$G$30</f>
        <v>71.540000000000006</v>
      </c>
      <c r="Q53" s="130">
        <f t="shared" ref="Q53:Q83" si="20">ROUND(O53*P53,2)</f>
        <v>65713.25</v>
      </c>
      <c r="R53" s="130">
        <f>G53+J53+M53+N53+Q53</f>
        <v>259943.37</v>
      </c>
      <c r="S53" s="119"/>
      <c r="T53" s="119"/>
      <c r="U53" s="119"/>
      <c r="W53" s="126">
        <f>ROUND(G53*($W$50-MAX($W$49,$T53)+1)/365,2)</f>
        <v>81834.080000000002</v>
      </c>
      <c r="X53" s="126">
        <f>ROUND(J53*($W$50-MAX($W$49,$T53)+1)/365,2)</f>
        <v>63807.05</v>
      </c>
      <c r="Y53" s="126">
        <f>ROUND(M53*($W$50-MAX($W$49,$T53)+1)/365,2)</f>
        <v>48588.99</v>
      </c>
      <c r="Z53" s="145">
        <f t="shared" ref="Z53" si="21">N53</f>
        <v>0</v>
      </c>
      <c r="AA53" s="126">
        <f>ROUND(Q53*($W$50-MAX($W$49,$T53)+1)/365,2)</f>
        <v>65713.25</v>
      </c>
      <c r="AB53" s="260"/>
      <c r="AC53" s="261"/>
      <c r="AD53" s="262"/>
      <c r="AE53" s="263"/>
      <c r="AF53" s="264"/>
      <c r="AG53" s="118"/>
      <c r="AH53" s="118"/>
      <c r="AI53" s="213"/>
    </row>
    <row r="54" spans="1:35" s="65" customFormat="1">
      <c r="C54" s="120" t="s">
        <v>145</v>
      </c>
      <c r="D54" s="120" t="s">
        <v>146</v>
      </c>
      <c r="E54" s="128">
        <f>4624.5024+0.0002</f>
        <v>4624.5026000000007</v>
      </c>
      <c r="F54" s="129">
        <f>Perfils!$G$9</f>
        <v>62.77</v>
      </c>
      <c r="G54" s="130">
        <f t="shared" si="17"/>
        <v>290280.03000000003</v>
      </c>
      <c r="H54" s="128">
        <f>1448.6908+0.0003</f>
        <v>1448.6911</v>
      </c>
      <c r="I54" s="129">
        <f>Perfils!$G$16</f>
        <v>62.77</v>
      </c>
      <c r="J54" s="130">
        <f t="shared" si="18"/>
        <v>90934.34</v>
      </c>
      <c r="K54" s="128">
        <f>385.3752+0.0002</f>
        <v>385.37540000000001</v>
      </c>
      <c r="L54" s="129">
        <f>Perfils!$G$23</f>
        <v>62.77</v>
      </c>
      <c r="M54" s="130">
        <f t="shared" si="19"/>
        <v>24190.01</v>
      </c>
      <c r="N54" s="130">
        <v>0</v>
      </c>
      <c r="O54" s="128">
        <f>1175.3874+0.0001</f>
        <v>1175.3875</v>
      </c>
      <c r="P54" s="129">
        <f>Perfils!$G$30</f>
        <v>71.540000000000006</v>
      </c>
      <c r="Q54" s="130">
        <f t="shared" si="20"/>
        <v>84087.22</v>
      </c>
      <c r="R54" s="130">
        <f t="shared" ref="R54:R83" si="22">G54+J54+M54+N54+Q54</f>
        <v>489491.6</v>
      </c>
      <c r="S54" s="119"/>
      <c r="T54" s="119"/>
      <c r="U54" s="119"/>
      <c r="V54" s="117"/>
      <c r="W54" s="126">
        <f t="shared" ref="W54:W83" si="23">ROUND(G54*($W$50-MAX($W$49,$T54)+1)/365,2)</f>
        <v>290280.03000000003</v>
      </c>
      <c r="X54" s="126">
        <f t="shared" ref="X54:X83" si="24">ROUND(J54*($W$50-MAX($W$49,$T54)+1)/365,2)</f>
        <v>90934.34</v>
      </c>
      <c r="Y54" s="126">
        <f t="shared" ref="Y54:Y83" si="25">ROUND(M54*($W$50-MAX($W$49,$T54)+1)/365,2)</f>
        <v>24190.01</v>
      </c>
      <c r="Z54" s="145">
        <f t="shared" ref="Z54:Z83" si="26">N54</f>
        <v>0</v>
      </c>
      <c r="AA54" s="126">
        <f t="shared" ref="AA54:AA83" si="27">ROUND(Q54*($W$50-MAX($W$49,$T54)+1)/365,2)</f>
        <v>84087.22</v>
      </c>
      <c r="AB54" s="260"/>
      <c r="AC54" s="261"/>
      <c r="AD54" s="262"/>
      <c r="AE54" s="263"/>
      <c r="AF54" s="264"/>
      <c r="AG54" s="118"/>
      <c r="AH54" s="118"/>
      <c r="AI54" s="213"/>
    </row>
    <row r="55" spans="1:35" s="65" customFormat="1">
      <c r="C55" s="120" t="s">
        <v>147</v>
      </c>
      <c r="D55" s="120" t="s">
        <v>148</v>
      </c>
      <c r="E55" s="128">
        <v>83.770600000000002</v>
      </c>
      <c r="F55" s="129">
        <f>Perfils!$G$9</f>
        <v>62.77</v>
      </c>
      <c r="G55" s="130">
        <f t="shared" si="17"/>
        <v>5258.28</v>
      </c>
      <c r="H55" s="128">
        <v>132.29400000000001</v>
      </c>
      <c r="I55" s="129">
        <f>Perfils!$G$16</f>
        <v>62.77</v>
      </c>
      <c r="J55" s="130">
        <f t="shared" si="18"/>
        <v>8304.09</v>
      </c>
      <c r="K55" s="128">
        <v>25.997800000000002</v>
      </c>
      <c r="L55" s="129">
        <f>Perfils!$G$23</f>
        <v>62.77</v>
      </c>
      <c r="M55" s="130">
        <f t="shared" si="19"/>
        <v>1631.88</v>
      </c>
      <c r="N55" s="130">
        <v>0</v>
      </c>
      <c r="O55" s="128">
        <v>43.8765</v>
      </c>
      <c r="P55" s="129">
        <f>Perfils!$G$30</f>
        <v>71.540000000000006</v>
      </c>
      <c r="Q55" s="130">
        <f t="shared" si="20"/>
        <v>3138.92</v>
      </c>
      <c r="R55" s="130">
        <f t="shared" si="22"/>
        <v>18333.169999999998</v>
      </c>
      <c r="S55" s="119"/>
      <c r="T55" s="119"/>
      <c r="U55" s="119"/>
      <c r="W55" s="126">
        <f t="shared" si="23"/>
        <v>5258.28</v>
      </c>
      <c r="X55" s="126">
        <f t="shared" si="24"/>
        <v>8304.09</v>
      </c>
      <c r="Y55" s="126">
        <f t="shared" si="25"/>
        <v>1631.88</v>
      </c>
      <c r="Z55" s="145">
        <f t="shared" si="26"/>
        <v>0</v>
      </c>
      <c r="AA55" s="126">
        <f t="shared" si="27"/>
        <v>3138.92</v>
      </c>
      <c r="AB55" s="260"/>
      <c r="AC55" s="261"/>
      <c r="AD55" s="262"/>
      <c r="AE55" s="263"/>
      <c r="AF55" s="264"/>
      <c r="AG55" s="118"/>
      <c r="AH55" s="118"/>
      <c r="AI55" s="213"/>
    </row>
    <row r="56" spans="1:35" s="65" customFormat="1">
      <c r="C56" s="120" t="s">
        <v>149</v>
      </c>
      <c r="D56" s="120" t="s">
        <v>216</v>
      </c>
      <c r="E56" s="128">
        <v>944.45590000000004</v>
      </c>
      <c r="F56" s="129">
        <f>Perfils!$G$9</f>
        <v>62.77</v>
      </c>
      <c r="G56" s="130">
        <f t="shared" si="17"/>
        <v>59283.5</v>
      </c>
      <c r="H56" s="128">
        <v>1395.2963</v>
      </c>
      <c r="I56" s="129">
        <f>Perfils!$G$16</f>
        <v>62.77</v>
      </c>
      <c r="J56" s="130">
        <f t="shared" si="18"/>
        <v>87582.75</v>
      </c>
      <c r="K56" s="128">
        <v>213.26419999999999</v>
      </c>
      <c r="L56" s="129">
        <f>Perfils!$G$23</f>
        <v>62.77</v>
      </c>
      <c r="M56" s="130">
        <f t="shared" si="19"/>
        <v>13386.59</v>
      </c>
      <c r="N56" s="130">
        <v>0</v>
      </c>
      <c r="O56" s="128">
        <v>462.76459999999997</v>
      </c>
      <c r="P56" s="129">
        <f>Perfils!$G$30</f>
        <v>71.540000000000006</v>
      </c>
      <c r="Q56" s="130">
        <f t="shared" si="20"/>
        <v>33106.18</v>
      </c>
      <c r="R56" s="130">
        <f t="shared" si="22"/>
        <v>193359.02</v>
      </c>
      <c r="S56" s="119"/>
      <c r="T56" s="119"/>
      <c r="U56" s="119"/>
      <c r="W56" s="126">
        <f t="shared" si="23"/>
        <v>59283.5</v>
      </c>
      <c r="X56" s="126">
        <f t="shared" si="24"/>
        <v>87582.75</v>
      </c>
      <c r="Y56" s="126">
        <f t="shared" si="25"/>
        <v>13386.59</v>
      </c>
      <c r="Z56" s="145">
        <f t="shared" si="26"/>
        <v>0</v>
      </c>
      <c r="AA56" s="126">
        <f t="shared" si="27"/>
        <v>33106.18</v>
      </c>
      <c r="AB56" s="260"/>
      <c r="AC56" s="261"/>
      <c r="AD56" s="262"/>
      <c r="AE56" s="263"/>
      <c r="AF56" s="264"/>
      <c r="AG56" s="118"/>
      <c r="AH56" s="118"/>
      <c r="AI56" s="213"/>
    </row>
    <row r="57" spans="1:35" s="65" customFormat="1">
      <c r="C57" s="120" t="s">
        <v>150</v>
      </c>
      <c r="D57" s="120" t="s">
        <v>217</v>
      </c>
      <c r="E57" s="128">
        <v>3456.2458000000001</v>
      </c>
      <c r="F57" s="129">
        <f>Perfils!$G$9</f>
        <v>62.77</v>
      </c>
      <c r="G57" s="130">
        <f t="shared" si="17"/>
        <v>216948.55</v>
      </c>
      <c r="H57" s="128">
        <v>1242.6717000000001</v>
      </c>
      <c r="I57" s="129">
        <f>Perfils!$G$16</f>
        <v>62.77</v>
      </c>
      <c r="J57" s="130">
        <f t="shared" si="18"/>
        <v>78002.5</v>
      </c>
      <c r="K57" s="128">
        <v>942.61249999999995</v>
      </c>
      <c r="L57" s="129">
        <f>Perfils!$G$23</f>
        <v>62.77</v>
      </c>
      <c r="M57" s="130">
        <f t="shared" si="19"/>
        <v>59167.79</v>
      </c>
      <c r="N57" s="130">
        <v>0</v>
      </c>
      <c r="O57" s="128">
        <v>2070.7139999999999</v>
      </c>
      <c r="P57" s="129">
        <f>Perfils!$G$30</f>
        <v>71.540000000000006</v>
      </c>
      <c r="Q57" s="130">
        <f t="shared" si="20"/>
        <v>148138.88</v>
      </c>
      <c r="R57" s="130">
        <f t="shared" si="22"/>
        <v>502257.72</v>
      </c>
      <c r="S57" s="119"/>
      <c r="T57" s="119"/>
      <c r="U57" s="119"/>
      <c r="W57" s="126">
        <f t="shared" si="23"/>
        <v>216948.55</v>
      </c>
      <c r="X57" s="126">
        <f t="shared" si="24"/>
        <v>78002.5</v>
      </c>
      <c r="Y57" s="126">
        <f t="shared" si="25"/>
        <v>59167.79</v>
      </c>
      <c r="Z57" s="145">
        <f t="shared" si="26"/>
        <v>0</v>
      </c>
      <c r="AA57" s="126">
        <f t="shared" si="27"/>
        <v>148138.88</v>
      </c>
      <c r="AB57" s="260"/>
      <c r="AC57" s="261"/>
      <c r="AD57" s="262"/>
      <c r="AE57" s="263"/>
      <c r="AF57" s="264"/>
      <c r="AG57" s="118"/>
      <c r="AH57" s="118"/>
      <c r="AI57" s="213"/>
    </row>
    <row r="58" spans="1:35" s="65" customFormat="1">
      <c r="C58" s="120" t="s">
        <v>151</v>
      </c>
      <c r="D58" s="120" t="s">
        <v>152</v>
      </c>
      <c r="E58" s="128">
        <v>398.07459999999998</v>
      </c>
      <c r="F58" s="129">
        <f>Perfils!$G$9</f>
        <v>62.77</v>
      </c>
      <c r="G58" s="130">
        <f t="shared" si="17"/>
        <v>24987.14</v>
      </c>
      <c r="H58" s="128">
        <v>152.0247</v>
      </c>
      <c r="I58" s="129">
        <f>Perfils!$G$16</f>
        <v>62.77</v>
      </c>
      <c r="J58" s="130">
        <f t="shared" si="18"/>
        <v>9542.59</v>
      </c>
      <c r="K58" s="128">
        <v>68.897499999999994</v>
      </c>
      <c r="L58" s="129">
        <f>Perfils!$G$23</f>
        <v>62.77</v>
      </c>
      <c r="M58" s="130">
        <f t="shared" si="19"/>
        <v>4324.7</v>
      </c>
      <c r="N58" s="130">
        <v>0</v>
      </c>
      <c r="O58" s="128">
        <v>137.37299999999999</v>
      </c>
      <c r="P58" s="129">
        <f>Perfils!$G$30</f>
        <v>71.540000000000006</v>
      </c>
      <c r="Q58" s="130">
        <f t="shared" si="20"/>
        <v>9827.66</v>
      </c>
      <c r="R58" s="130">
        <f t="shared" si="22"/>
        <v>48682.09</v>
      </c>
      <c r="S58" s="119"/>
      <c r="T58" s="119"/>
      <c r="U58" s="119"/>
      <c r="W58" s="126">
        <f t="shared" si="23"/>
        <v>24987.14</v>
      </c>
      <c r="X58" s="126">
        <f t="shared" si="24"/>
        <v>9542.59</v>
      </c>
      <c r="Y58" s="126">
        <f t="shared" si="25"/>
        <v>4324.7</v>
      </c>
      <c r="Z58" s="145">
        <f t="shared" si="26"/>
        <v>0</v>
      </c>
      <c r="AA58" s="126">
        <f t="shared" si="27"/>
        <v>9827.66</v>
      </c>
      <c r="AB58" s="260"/>
      <c r="AC58" s="261"/>
      <c r="AD58" s="262"/>
      <c r="AE58" s="263"/>
      <c r="AF58" s="264"/>
      <c r="AG58" s="118"/>
      <c r="AH58" s="118"/>
      <c r="AI58" s="213"/>
    </row>
    <row r="59" spans="1:35" s="65" customFormat="1">
      <c r="C59" s="120" t="s">
        <v>153</v>
      </c>
      <c r="D59" s="120" t="s">
        <v>154</v>
      </c>
      <c r="E59" s="128">
        <v>62.9587</v>
      </c>
      <c r="F59" s="129">
        <f>Perfils!$G$9</f>
        <v>62.77</v>
      </c>
      <c r="G59" s="130">
        <f t="shared" si="17"/>
        <v>3951.92</v>
      </c>
      <c r="H59" s="128">
        <v>40.8018</v>
      </c>
      <c r="I59" s="129">
        <f>Perfils!$G$16</f>
        <v>62.77</v>
      </c>
      <c r="J59" s="130">
        <f t="shared" si="18"/>
        <v>2561.13</v>
      </c>
      <c r="K59" s="128">
        <v>47.695999999999998</v>
      </c>
      <c r="L59" s="129">
        <f>Perfils!$G$23</f>
        <v>62.77</v>
      </c>
      <c r="M59" s="130">
        <f t="shared" si="19"/>
        <v>2993.88</v>
      </c>
      <c r="N59" s="130">
        <v>0</v>
      </c>
      <c r="O59" s="128">
        <v>36.869500000000002</v>
      </c>
      <c r="P59" s="129">
        <f>Perfils!$G$30</f>
        <v>71.540000000000006</v>
      </c>
      <c r="Q59" s="130">
        <f t="shared" si="20"/>
        <v>2637.64</v>
      </c>
      <c r="R59" s="130">
        <f t="shared" si="22"/>
        <v>12144.57</v>
      </c>
      <c r="S59" s="119"/>
      <c r="T59" s="119"/>
      <c r="U59" s="119"/>
      <c r="W59" s="126">
        <f t="shared" si="23"/>
        <v>3951.92</v>
      </c>
      <c r="X59" s="126">
        <f t="shared" si="24"/>
        <v>2561.13</v>
      </c>
      <c r="Y59" s="126">
        <f t="shared" si="25"/>
        <v>2993.88</v>
      </c>
      <c r="Z59" s="145">
        <f t="shared" si="26"/>
        <v>0</v>
      </c>
      <c r="AA59" s="126">
        <f t="shared" si="27"/>
        <v>2637.64</v>
      </c>
      <c r="AB59" s="260"/>
      <c r="AC59" s="261"/>
      <c r="AD59" s="262"/>
      <c r="AE59" s="263"/>
      <c r="AF59" s="264"/>
      <c r="AG59" s="118"/>
      <c r="AH59" s="118"/>
      <c r="AI59" s="213"/>
    </row>
    <row r="60" spans="1:35" s="65" customFormat="1">
      <c r="C60" s="120" t="s">
        <v>155</v>
      </c>
      <c r="D60" s="120" t="s">
        <v>156</v>
      </c>
      <c r="E60" s="128">
        <v>68.441599999999994</v>
      </c>
      <c r="F60" s="129">
        <f>Perfils!$G$9</f>
        <v>62.77</v>
      </c>
      <c r="G60" s="130">
        <f t="shared" si="17"/>
        <v>4296.08</v>
      </c>
      <c r="H60" s="128">
        <v>39.206800000000001</v>
      </c>
      <c r="I60" s="129">
        <f>Perfils!$G$16</f>
        <v>62.77</v>
      </c>
      <c r="J60" s="130">
        <f t="shared" si="18"/>
        <v>2461.0100000000002</v>
      </c>
      <c r="K60" s="128">
        <v>25.665600000000001</v>
      </c>
      <c r="L60" s="129">
        <f>Perfils!$G$23</f>
        <v>62.77</v>
      </c>
      <c r="M60" s="130">
        <f t="shared" si="19"/>
        <v>1611.03</v>
      </c>
      <c r="N60" s="130">
        <v>0</v>
      </c>
      <c r="O60" s="128">
        <v>35.428199999999997</v>
      </c>
      <c r="P60" s="129">
        <f>Perfils!$G$30</f>
        <v>71.540000000000006</v>
      </c>
      <c r="Q60" s="130">
        <f t="shared" si="20"/>
        <v>2534.5300000000002</v>
      </c>
      <c r="R60" s="130">
        <f t="shared" si="22"/>
        <v>10902.650000000001</v>
      </c>
      <c r="S60" s="119"/>
      <c r="T60" s="119"/>
      <c r="U60" s="119"/>
      <c r="W60" s="126">
        <f t="shared" si="23"/>
        <v>4296.08</v>
      </c>
      <c r="X60" s="126">
        <f t="shared" si="24"/>
        <v>2461.0100000000002</v>
      </c>
      <c r="Y60" s="126">
        <f t="shared" si="25"/>
        <v>1611.03</v>
      </c>
      <c r="Z60" s="145">
        <f t="shared" si="26"/>
        <v>0</v>
      </c>
      <c r="AA60" s="126">
        <f t="shared" si="27"/>
        <v>2534.5300000000002</v>
      </c>
      <c r="AB60" s="260"/>
      <c r="AC60" s="261"/>
      <c r="AD60" s="262"/>
      <c r="AE60" s="263"/>
      <c r="AF60" s="264"/>
      <c r="AG60" s="118"/>
      <c r="AH60" s="118"/>
      <c r="AI60" s="213"/>
    </row>
    <row r="61" spans="1:35" s="65" customFormat="1">
      <c r="C61" s="120" t="s">
        <v>157</v>
      </c>
      <c r="D61" s="120" t="s">
        <v>158</v>
      </c>
      <c r="E61" s="128">
        <v>18.060600000000001</v>
      </c>
      <c r="F61" s="129">
        <f>Perfils!$G$9</f>
        <v>62.77</v>
      </c>
      <c r="G61" s="130">
        <f t="shared" si="17"/>
        <v>1133.6600000000001</v>
      </c>
      <c r="H61" s="128">
        <v>11.6166</v>
      </c>
      <c r="I61" s="129">
        <f>Perfils!$G$16</f>
        <v>62.77</v>
      </c>
      <c r="J61" s="130">
        <f t="shared" si="18"/>
        <v>729.17</v>
      </c>
      <c r="K61" s="128">
        <v>54.181899999999999</v>
      </c>
      <c r="L61" s="129">
        <f>Perfils!$G$23</f>
        <v>62.77</v>
      </c>
      <c r="M61" s="130">
        <f t="shared" si="19"/>
        <v>3401</v>
      </c>
      <c r="N61" s="130">
        <v>0</v>
      </c>
      <c r="O61" s="128">
        <v>10.497</v>
      </c>
      <c r="P61" s="129">
        <f>Perfils!$G$30</f>
        <v>71.540000000000006</v>
      </c>
      <c r="Q61" s="130">
        <f t="shared" si="20"/>
        <v>750.96</v>
      </c>
      <c r="R61" s="130">
        <f t="shared" si="22"/>
        <v>6014.79</v>
      </c>
      <c r="S61" s="119"/>
      <c r="T61" s="119"/>
      <c r="U61" s="119"/>
      <c r="W61" s="126">
        <f t="shared" si="23"/>
        <v>1133.6600000000001</v>
      </c>
      <c r="X61" s="126">
        <f t="shared" si="24"/>
        <v>729.17</v>
      </c>
      <c r="Y61" s="126">
        <f t="shared" si="25"/>
        <v>3401</v>
      </c>
      <c r="Z61" s="145">
        <f t="shared" si="26"/>
        <v>0</v>
      </c>
      <c r="AA61" s="126">
        <f t="shared" si="27"/>
        <v>750.96</v>
      </c>
      <c r="AB61" s="260"/>
      <c r="AC61" s="261"/>
      <c r="AD61" s="262"/>
      <c r="AE61" s="263"/>
      <c r="AF61" s="264"/>
      <c r="AG61" s="118"/>
      <c r="AH61" s="118"/>
      <c r="AI61" s="213"/>
    </row>
    <row r="62" spans="1:35" s="65" customFormat="1">
      <c r="C62" s="120" t="s">
        <v>159</v>
      </c>
      <c r="D62" s="120" t="s">
        <v>160</v>
      </c>
      <c r="E62" s="128">
        <v>17.760000000000002</v>
      </c>
      <c r="F62" s="129">
        <f>Perfils!$G$9</f>
        <v>62.77</v>
      </c>
      <c r="G62" s="130">
        <f t="shared" si="17"/>
        <v>1114.8</v>
      </c>
      <c r="H62" s="128">
        <v>10.1738</v>
      </c>
      <c r="I62" s="129">
        <f>Perfils!$G$16</f>
        <v>62.77</v>
      </c>
      <c r="J62" s="130">
        <f t="shared" si="18"/>
        <v>638.61</v>
      </c>
      <c r="K62" s="128">
        <v>6.66</v>
      </c>
      <c r="L62" s="129">
        <f>Perfils!$G$23</f>
        <v>62.77</v>
      </c>
      <c r="M62" s="130">
        <f t="shared" si="19"/>
        <v>418.05</v>
      </c>
      <c r="N62" s="130">
        <v>0</v>
      </c>
      <c r="O62" s="128">
        <v>9.1933000000000007</v>
      </c>
      <c r="P62" s="129">
        <f>Perfils!$G$30</f>
        <v>71.540000000000006</v>
      </c>
      <c r="Q62" s="130">
        <f t="shared" si="20"/>
        <v>657.69</v>
      </c>
      <c r="R62" s="130">
        <f t="shared" si="22"/>
        <v>2829.15</v>
      </c>
      <c r="S62" s="119"/>
      <c r="T62" s="119"/>
      <c r="U62" s="119"/>
      <c r="W62" s="126">
        <f t="shared" si="23"/>
        <v>1114.8</v>
      </c>
      <c r="X62" s="126">
        <f t="shared" si="24"/>
        <v>638.61</v>
      </c>
      <c r="Y62" s="126">
        <f t="shared" si="25"/>
        <v>418.05</v>
      </c>
      <c r="Z62" s="145">
        <f t="shared" si="26"/>
        <v>0</v>
      </c>
      <c r="AA62" s="126">
        <f t="shared" si="27"/>
        <v>657.69</v>
      </c>
      <c r="AB62" s="260"/>
      <c r="AC62" s="261"/>
      <c r="AD62" s="262"/>
      <c r="AE62" s="263"/>
      <c r="AF62" s="264"/>
      <c r="AG62" s="118"/>
      <c r="AH62" s="118"/>
      <c r="AI62" s="213"/>
    </row>
    <row r="63" spans="1:35" s="65" customFormat="1">
      <c r="C63" s="120" t="s">
        <v>161</v>
      </c>
      <c r="D63" s="120" t="s">
        <v>162</v>
      </c>
      <c r="E63" s="128">
        <v>653.51880000000006</v>
      </c>
      <c r="F63" s="129">
        <f>Perfils!$G$9</f>
        <v>62.77</v>
      </c>
      <c r="G63" s="130">
        <f t="shared" si="17"/>
        <v>41021.379999999997</v>
      </c>
      <c r="H63" s="128">
        <v>248.06620000000001</v>
      </c>
      <c r="I63" s="129">
        <f>Perfils!$G$16</f>
        <v>62.77</v>
      </c>
      <c r="J63" s="130">
        <f t="shared" si="18"/>
        <v>15571.12</v>
      </c>
      <c r="K63" s="128">
        <v>47.528599999999997</v>
      </c>
      <c r="L63" s="129">
        <f>Perfils!$G$23</f>
        <v>62.77</v>
      </c>
      <c r="M63" s="130">
        <f t="shared" si="19"/>
        <v>2983.37</v>
      </c>
      <c r="N63" s="130">
        <v>0</v>
      </c>
      <c r="O63" s="128">
        <v>224.1584</v>
      </c>
      <c r="P63" s="129">
        <f>Perfils!$G$30</f>
        <v>71.540000000000006</v>
      </c>
      <c r="Q63" s="130">
        <f t="shared" si="20"/>
        <v>16036.29</v>
      </c>
      <c r="R63" s="130">
        <f t="shared" si="22"/>
        <v>75612.160000000003</v>
      </c>
      <c r="S63" s="119"/>
      <c r="T63" s="119"/>
      <c r="U63" s="119"/>
      <c r="V63" s="133"/>
      <c r="W63" s="126">
        <f t="shared" si="23"/>
        <v>41021.379999999997</v>
      </c>
      <c r="X63" s="126">
        <f t="shared" si="24"/>
        <v>15571.12</v>
      </c>
      <c r="Y63" s="126">
        <f t="shared" si="25"/>
        <v>2983.37</v>
      </c>
      <c r="Z63" s="145">
        <f t="shared" si="26"/>
        <v>0</v>
      </c>
      <c r="AA63" s="126">
        <f t="shared" si="27"/>
        <v>16036.29</v>
      </c>
      <c r="AB63" s="260"/>
      <c r="AC63" s="261"/>
      <c r="AD63" s="262"/>
      <c r="AE63" s="263"/>
      <c r="AF63" s="264"/>
      <c r="AG63" s="118"/>
      <c r="AH63" s="118"/>
      <c r="AI63" s="213"/>
    </row>
    <row r="64" spans="1:35" s="65" customFormat="1">
      <c r="C64" s="120" t="s">
        <v>163</v>
      </c>
      <c r="D64" s="120" t="s">
        <v>164</v>
      </c>
      <c r="E64" s="128">
        <v>1064.6400000000001</v>
      </c>
      <c r="F64" s="129">
        <f>Perfils!$G$9</f>
        <v>62.77</v>
      </c>
      <c r="G64" s="130">
        <f t="shared" si="17"/>
        <v>66827.45</v>
      </c>
      <c r="H64" s="128">
        <v>664.09050000000002</v>
      </c>
      <c r="I64" s="129">
        <f>Perfils!$G$16</f>
        <v>62.77</v>
      </c>
      <c r="J64" s="130">
        <f t="shared" si="18"/>
        <v>41684.959999999999</v>
      </c>
      <c r="K64" s="128">
        <v>292.77600000000001</v>
      </c>
      <c r="L64" s="129">
        <f>Perfils!$G$23</f>
        <v>62.77</v>
      </c>
      <c r="M64" s="130">
        <f t="shared" si="19"/>
        <v>18377.55</v>
      </c>
      <c r="N64" s="130">
        <v>0</v>
      </c>
      <c r="O64" s="128">
        <v>600.08770000000004</v>
      </c>
      <c r="P64" s="129">
        <f>Perfils!$G$30</f>
        <v>71.540000000000006</v>
      </c>
      <c r="Q64" s="130">
        <f t="shared" si="20"/>
        <v>42930.27</v>
      </c>
      <c r="R64" s="130">
        <f t="shared" si="22"/>
        <v>169820.23</v>
      </c>
      <c r="S64" s="119"/>
      <c r="T64" s="119"/>
      <c r="U64" s="119"/>
      <c r="W64" s="126">
        <f t="shared" si="23"/>
        <v>66827.45</v>
      </c>
      <c r="X64" s="126">
        <f t="shared" si="24"/>
        <v>41684.959999999999</v>
      </c>
      <c r="Y64" s="126">
        <f t="shared" si="25"/>
        <v>18377.55</v>
      </c>
      <c r="Z64" s="145">
        <f t="shared" si="26"/>
        <v>0</v>
      </c>
      <c r="AA64" s="126">
        <f t="shared" si="27"/>
        <v>42930.27</v>
      </c>
      <c r="AB64" s="260"/>
      <c r="AC64" s="261"/>
      <c r="AD64" s="262"/>
      <c r="AE64" s="263"/>
      <c r="AF64" s="264"/>
      <c r="AG64" s="118"/>
      <c r="AH64" s="118"/>
      <c r="AI64" s="213"/>
    </row>
    <row r="65" spans="3:35" s="65" customFormat="1">
      <c r="C65" s="120" t="s">
        <v>165</v>
      </c>
      <c r="D65" s="120" t="s">
        <v>166</v>
      </c>
      <c r="E65" s="128">
        <v>2308.8937000000001</v>
      </c>
      <c r="F65" s="129">
        <f>Perfils!$G$9</f>
        <v>62.77</v>
      </c>
      <c r="G65" s="130">
        <f t="shared" si="17"/>
        <v>144929.26</v>
      </c>
      <c r="H65" s="128">
        <v>1405.0913</v>
      </c>
      <c r="I65" s="129">
        <f>Perfils!$G$16</f>
        <v>62.77</v>
      </c>
      <c r="J65" s="130">
        <f t="shared" si="18"/>
        <v>88197.58</v>
      </c>
      <c r="K65" s="128">
        <v>563.14480000000003</v>
      </c>
      <c r="L65" s="129">
        <f>Perfils!$G$23</f>
        <v>62.77</v>
      </c>
      <c r="M65" s="130">
        <f t="shared" si="19"/>
        <v>35348.6</v>
      </c>
      <c r="N65" s="130">
        <v>0</v>
      </c>
      <c r="O65" s="128">
        <v>1269.6732999999999</v>
      </c>
      <c r="P65" s="129">
        <f>Perfils!$G$30</f>
        <v>71.540000000000006</v>
      </c>
      <c r="Q65" s="130">
        <f t="shared" si="20"/>
        <v>90832.43</v>
      </c>
      <c r="R65" s="130">
        <f t="shared" si="22"/>
        <v>359307.87</v>
      </c>
      <c r="S65" s="119"/>
      <c r="T65" s="119"/>
      <c r="U65" s="119"/>
      <c r="W65" s="126">
        <f t="shared" si="23"/>
        <v>144929.26</v>
      </c>
      <c r="X65" s="126">
        <f t="shared" si="24"/>
        <v>88197.58</v>
      </c>
      <c r="Y65" s="126">
        <f t="shared" si="25"/>
        <v>35348.6</v>
      </c>
      <c r="Z65" s="145">
        <f t="shared" si="26"/>
        <v>0</v>
      </c>
      <c r="AA65" s="126">
        <f t="shared" si="27"/>
        <v>90832.43</v>
      </c>
      <c r="AB65" s="260"/>
      <c r="AC65" s="261"/>
      <c r="AD65" s="262"/>
      <c r="AE65" s="263"/>
      <c r="AF65" s="264"/>
      <c r="AG65" s="118"/>
      <c r="AH65" s="118"/>
      <c r="AI65" s="213"/>
    </row>
    <row r="66" spans="3:35" s="65" customFormat="1">
      <c r="C66" s="120" t="s">
        <v>167</v>
      </c>
      <c r="D66" s="120" t="s">
        <v>168</v>
      </c>
      <c r="E66" s="128">
        <v>22.812799999999999</v>
      </c>
      <c r="F66" s="129">
        <f>Perfils!$G$9</f>
        <v>62.77</v>
      </c>
      <c r="G66" s="130">
        <f t="shared" si="17"/>
        <v>1431.96</v>
      </c>
      <c r="H66" s="128">
        <v>13.068300000000001</v>
      </c>
      <c r="I66" s="129">
        <f>Perfils!$G$16</f>
        <v>62.77</v>
      </c>
      <c r="J66" s="130">
        <f t="shared" si="18"/>
        <v>820.3</v>
      </c>
      <c r="K66" s="128">
        <v>8.5548000000000002</v>
      </c>
      <c r="L66" s="129">
        <f>Perfils!$G$23</f>
        <v>62.77</v>
      </c>
      <c r="M66" s="130">
        <f t="shared" si="19"/>
        <v>536.98</v>
      </c>
      <c r="N66" s="130">
        <v>0</v>
      </c>
      <c r="O66" s="128">
        <v>11.8088</v>
      </c>
      <c r="P66" s="129">
        <f>Perfils!$G$30</f>
        <v>71.540000000000006</v>
      </c>
      <c r="Q66" s="130">
        <f t="shared" si="20"/>
        <v>844.8</v>
      </c>
      <c r="R66" s="130">
        <f t="shared" si="22"/>
        <v>3634.04</v>
      </c>
      <c r="S66" s="119"/>
      <c r="T66" s="119"/>
      <c r="U66" s="119"/>
      <c r="W66" s="126">
        <f t="shared" si="23"/>
        <v>1431.96</v>
      </c>
      <c r="X66" s="126">
        <f t="shared" si="24"/>
        <v>820.3</v>
      </c>
      <c r="Y66" s="126">
        <f t="shared" si="25"/>
        <v>536.98</v>
      </c>
      <c r="Z66" s="145">
        <f t="shared" si="26"/>
        <v>0</v>
      </c>
      <c r="AA66" s="126">
        <f t="shared" si="27"/>
        <v>844.8</v>
      </c>
      <c r="AB66" s="260"/>
      <c r="AC66" s="261"/>
      <c r="AD66" s="262"/>
      <c r="AE66" s="263"/>
      <c r="AF66" s="264"/>
      <c r="AG66" s="118"/>
      <c r="AH66" s="118"/>
      <c r="AI66" s="213"/>
    </row>
    <row r="67" spans="3:35" s="65" customFormat="1">
      <c r="C67" s="120" t="s">
        <v>169</v>
      </c>
      <c r="D67" s="120" t="s">
        <v>214</v>
      </c>
      <c r="E67" s="128">
        <v>114.0685</v>
      </c>
      <c r="F67" s="129">
        <f>Perfils!$G$9</f>
        <v>62.77</v>
      </c>
      <c r="G67" s="130">
        <f t="shared" si="17"/>
        <v>7160.08</v>
      </c>
      <c r="H67" s="128">
        <v>573.57619999999997</v>
      </c>
      <c r="I67" s="129">
        <f>Perfils!$G$16</f>
        <v>62.77</v>
      </c>
      <c r="J67" s="130">
        <f t="shared" si="18"/>
        <v>36003.379999999997</v>
      </c>
      <c r="K67" s="128">
        <v>185.3613</v>
      </c>
      <c r="L67" s="129">
        <f>Perfils!$G$23</f>
        <v>62.77</v>
      </c>
      <c r="M67" s="130">
        <f t="shared" si="19"/>
        <v>11635.13</v>
      </c>
      <c r="N67" s="130">
        <v>64059.336000000003</v>
      </c>
      <c r="O67" s="128">
        <v>518.29690000000005</v>
      </c>
      <c r="P67" s="129">
        <f>Perfils!$G$30</f>
        <v>71.540000000000006</v>
      </c>
      <c r="Q67" s="130">
        <f t="shared" si="20"/>
        <v>37078.959999999999</v>
      </c>
      <c r="R67" s="130">
        <f t="shared" si="22"/>
        <v>155936.886</v>
      </c>
      <c r="S67" s="119"/>
      <c r="T67" s="119"/>
      <c r="U67" s="119"/>
      <c r="W67" s="126">
        <f t="shared" si="23"/>
        <v>7160.08</v>
      </c>
      <c r="X67" s="126">
        <f t="shared" si="24"/>
        <v>36003.379999999997</v>
      </c>
      <c r="Y67" s="126">
        <f t="shared" si="25"/>
        <v>11635.13</v>
      </c>
      <c r="Z67" s="145">
        <f t="shared" si="26"/>
        <v>64059.336000000003</v>
      </c>
      <c r="AA67" s="126">
        <f t="shared" si="27"/>
        <v>37078.959999999999</v>
      </c>
      <c r="AB67" s="260"/>
      <c r="AC67" s="261"/>
      <c r="AD67" s="262"/>
      <c r="AE67" s="263"/>
      <c r="AF67" s="264"/>
      <c r="AG67" s="118"/>
      <c r="AH67" s="118"/>
      <c r="AI67" s="213"/>
    </row>
    <row r="68" spans="3:35" s="65" customFormat="1">
      <c r="C68" s="120" t="s">
        <v>170</v>
      </c>
      <c r="D68" s="120" t="s">
        <v>171</v>
      </c>
      <c r="E68" s="128">
        <v>136.8826</v>
      </c>
      <c r="F68" s="129">
        <f>Perfils!$G$9</f>
        <v>62.77</v>
      </c>
      <c r="G68" s="130">
        <f t="shared" si="17"/>
        <v>8592.1200000000008</v>
      </c>
      <c r="H68" s="128">
        <v>453.0539</v>
      </c>
      <c r="I68" s="129">
        <f>Perfils!$G$16</f>
        <v>62.77</v>
      </c>
      <c r="J68" s="130">
        <f t="shared" si="18"/>
        <v>28438.19</v>
      </c>
      <c r="K68" s="128">
        <v>114.0688</v>
      </c>
      <c r="L68" s="129">
        <f>Perfils!$G$23</f>
        <v>62.77</v>
      </c>
      <c r="M68" s="130">
        <f t="shared" si="19"/>
        <v>7160.1</v>
      </c>
      <c r="N68" s="130">
        <v>0</v>
      </c>
      <c r="O68" s="128">
        <v>409.39010000000002</v>
      </c>
      <c r="P68" s="129">
        <f>Perfils!$G$30</f>
        <v>71.540000000000006</v>
      </c>
      <c r="Q68" s="130">
        <f t="shared" si="20"/>
        <v>29287.77</v>
      </c>
      <c r="R68" s="130">
        <f t="shared" si="22"/>
        <v>73478.179999999993</v>
      </c>
      <c r="S68" s="119"/>
      <c r="T68" s="119"/>
      <c r="U68" s="119"/>
      <c r="W68" s="126">
        <f t="shared" si="23"/>
        <v>8592.1200000000008</v>
      </c>
      <c r="X68" s="126">
        <f t="shared" si="24"/>
        <v>28438.19</v>
      </c>
      <c r="Y68" s="126">
        <f t="shared" si="25"/>
        <v>7160.1</v>
      </c>
      <c r="Z68" s="145">
        <f t="shared" si="26"/>
        <v>0</v>
      </c>
      <c r="AA68" s="126">
        <f t="shared" si="27"/>
        <v>29287.77</v>
      </c>
      <c r="AB68" s="260"/>
      <c r="AC68" s="261"/>
      <c r="AD68" s="262"/>
      <c r="AE68" s="263"/>
      <c r="AF68" s="264"/>
      <c r="AG68" s="118"/>
      <c r="AH68" s="118"/>
      <c r="AI68" s="213"/>
    </row>
    <row r="69" spans="3:35" s="65" customFormat="1">
      <c r="C69" s="120" t="s">
        <v>172</v>
      </c>
      <c r="D69" s="120" t="s">
        <v>173</v>
      </c>
      <c r="E69" s="128">
        <v>124.8535</v>
      </c>
      <c r="F69" s="129">
        <f>Perfils!$G$9</f>
        <v>62.77</v>
      </c>
      <c r="G69" s="130">
        <f t="shared" si="17"/>
        <v>7837.05</v>
      </c>
      <c r="H69" s="128">
        <v>150.57320000000001</v>
      </c>
      <c r="I69" s="129">
        <f>Perfils!$G$16</f>
        <v>62.77</v>
      </c>
      <c r="J69" s="130">
        <f t="shared" si="18"/>
        <v>9451.48</v>
      </c>
      <c r="K69" s="128">
        <v>41.617800000000003</v>
      </c>
      <c r="L69" s="129">
        <f>Perfils!$G$23</f>
        <v>62.77</v>
      </c>
      <c r="M69" s="130">
        <f t="shared" si="19"/>
        <v>2612.35</v>
      </c>
      <c r="N69" s="130">
        <v>0</v>
      </c>
      <c r="O69" s="128">
        <v>57.468200000000003</v>
      </c>
      <c r="P69" s="129">
        <f>Perfils!$G$30</f>
        <v>71.540000000000006</v>
      </c>
      <c r="Q69" s="130">
        <f t="shared" si="20"/>
        <v>4111.28</v>
      </c>
      <c r="R69" s="130">
        <f t="shared" si="22"/>
        <v>24012.159999999996</v>
      </c>
      <c r="S69" s="119"/>
      <c r="T69" s="119"/>
      <c r="U69" s="119"/>
      <c r="W69" s="126">
        <f t="shared" si="23"/>
        <v>7837.05</v>
      </c>
      <c r="X69" s="126">
        <f t="shared" si="24"/>
        <v>9451.48</v>
      </c>
      <c r="Y69" s="126">
        <f t="shared" si="25"/>
        <v>2612.35</v>
      </c>
      <c r="Z69" s="145">
        <f t="shared" si="26"/>
        <v>0</v>
      </c>
      <c r="AA69" s="126">
        <f t="shared" si="27"/>
        <v>4111.28</v>
      </c>
      <c r="AB69" s="260"/>
      <c r="AC69" s="261"/>
      <c r="AD69" s="262"/>
      <c r="AE69" s="263"/>
      <c r="AF69" s="264"/>
      <c r="AG69" s="118"/>
      <c r="AH69" s="118"/>
      <c r="AI69" s="213"/>
    </row>
    <row r="70" spans="3:35" s="65" customFormat="1">
      <c r="C70" s="120" t="s">
        <v>174</v>
      </c>
      <c r="D70" s="120" t="s">
        <v>175</v>
      </c>
      <c r="E70" s="128">
        <v>93.075800000000001</v>
      </c>
      <c r="F70" s="129">
        <f>Perfils!$G$9</f>
        <v>62.77</v>
      </c>
      <c r="G70" s="130">
        <f t="shared" si="17"/>
        <v>5842.37</v>
      </c>
      <c r="H70" s="128">
        <v>20.8247</v>
      </c>
      <c r="I70" s="129">
        <f>Perfils!$G$16</f>
        <v>62.77</v>
      </c>
      <c r="J70" s="130">
        <f t="shared" si="18"/>
        <v>1307.17</v>
      </c>
      <c r="K70" s="128">
        <v>7.0511999999999997</v>
      </c>
      <c r="L70" s="129">
        <f>Perfils!$G$23</f>
        <v>62.77</v>
      </c>
      <c r="M70" s="130">
        <f t="shared" si="19"/>
        <v>442.6</v>
      </c>
      <c r="N70" s="130">
        <v>0</v>
      </c>
      <c r="O70" s="128">
        <v>18.817699999999999</v>
      </c>
      <c r="P70" s="129">
        <f>Perfils!$G$30</f>
        <v>71.540000000000006</v>
      </c>
      <c r="Q70" s="130">
        <f t="shared" si="20"/>
        <v>1346.22</v>
      </c>
      <c r="R70" s="130">
        <f t="shared" si="22"/>
        <v>8938.36</v>
      </c>
      <c r="S70" s="119"/>
      <c r="T70" s="119"/>
      <c r="U70" s="119"/>
      <c r="W70" s="126">
        <f t="shared" si="23"/>
        <v>5842.37</v>
      </c>
      <c r="X70" s="126">
        <f t="shared" si="24"/>
        <v>1307.17</v>
      </c>
      <c r="Y70" s="126">
        <f t="shared" si="25"/>
        <v>442.6</v>
      </c>
      <c r="Z70" s="145">
        <f t="shared" si="26"/>
        <v>0</v>
      </c>
      <c r="AA70" s="126">
        <f t="shared" si="27"/>
        <v>1346.22</v>
      </c>
      <c r="AB70" s="260"/>
      <c r="AC70" s="261"/>
      <c r="AD70" s="262"/>
      <c r="AE70" s="263"/>
      <c r="AF70" s="264"/>
      <c r="AG70" s="118"/>
      <c r="AH70" s="118"/>
      <c r="AI70" s="213"/>
    </row>
    <row r="71" spans="3:35" s="65" customFormat="1">
      <c r="C71" s="120" t="s">
        <v>176</v>
      </c>
      <c r="D71" s="120" t="s">
        <v>177</v>
      </c>
      <c r="E71" s="128">
        <v>199.24160000000001</v>
      </c>
      <c r="F71" s="129">
        <f>Perfils!$G$9</f>
        <v>62.77</v>
      </c>
      <c r="G71" s="130">
        <f t="shared" si="17"/>
        <v>12506.4</v>
      </c>
      <c r="H71" s="128">
        <v>48.977699999999999</v>
      </c>
      <c r="I71" s="129">
        <f>Perfils!$G$16</f>
        <v>62.77</v>
      </c>
      <c r="J71" s="130">
        <f t="shared" si="18"/>
        <v>3074.33</v>
      </c>
      <c r="K71" s="128">
        <v>48.092799999999997</v>
      </c>
      <c r="L71" s="129">
        <f>Perfils!$G$23</f>
        <v>62.77</v>
      </c>
      <c r="M71" s="130">
        <f t="shared" si="19"/>
        <v>3018.79</v>
      </c>
      <c r="N71" s="130">
        <v>0</v>
      </c>
      <c r="O71" s="128">
        <v>44.257399999999997</v>
      </c>
      <c r="P71" s="129">
        <f>Perfils!$G$30</f>
        <v>71.540000000000006</v>
      </c>
      <c r="Q71" s="130">
        <f t="shared" si="20"/>
        <v>3166.17</v>
      </c>
      <c r="R71" s="130">
        <f t="shared" si="22"/>
        <v>21765.690000000002</v>
      </c>
      <c r="S71" s="119"/>
      <c r="T71" s="119"/>
      <c r="U71" s="119"/>
      <c r="W71" s="126">
        <f t="shared" si="23"/>
        <v>12506.4</v>
      </c>
      <c r="X71" s="126">
        <f t="shared" si="24"/>
        <v>3074.33</v>
      </c>
      <c r="Y71" s="126">
        <f t="shared" si="25"/>
        <v>3018.79</v>
      </c>
      <c r="Z71" s="145">
        <f t="shared" si="26"/>
        <v>0</v>
      </c>
      <c r="AA71" s="126">
        <f t="shared" si="27"/>
        <v>3166.17</v>
      </c>
      <c r="AB71" s="260"/>
      <c r="AC71" s="261"/>
      <c r="AD71" s="262"/>
      <c r="AE71" s="263"/>
      <c r="AF71" s="264"/>
      <c r="AG71" s="118"/>
      <c r="AH71" s="118"/>
      <c r="AI71" s="213"/>
    </row>
    <row r="72" spans="3:35" s="65" customFormat="1">
      <c r="C72" s="120" t="s">
        <v>178</v>
      </c>
      <c r="D72" s="120" t="s">
        <v>179</v>
      </c>
      <c r="E72" s="128">
        <v>256.65550000000002</v>
      </c>
      <c r="F72" s="129">
        <f>Perfils!$G$9</f>
        <v>62.77</v>
      </c>
      <c r="G72" s="130">
        <f t="shared" si="17"/>
        <v>16110.27</v>
      </c>
      <c r="H72" s="128">
        <v>94.386499999999998</v>
      </c>
      <c r="I72" s="129">
        <f>Perfils!$G$16</f>
        <v>62.77</v>
      </c>
      <c r="J72" s="130">
        <f t="shared" si="18"/>
        <v>5924.64</v>
      </c>
      <c r="K72" s="128">
        <v>33.270200000000003</v>
      </c>
      <c r="L72" s="129">
        <f>Perfils!$G$23</f>
        <v>62.77</v>
      </c>
      <c r="M72" s="130">
        <f t="shared" si="19"/>
        <v>2088.37</v>
      </c>
      <c r="N72" s="130">
        <v>0</v>
      </c>
      <c r="O72" s="128">
        <v>85.2898</v>
      </c>
      <c r="P72" s="129">
        <f>Perfils!$G$30</f>
        <v>71.540000000000006</v>
      </c>
      <c r="Q72" s="130">
        <f t="shared" si="20"/>
        <v>6101.63</v>
      </c>
      <c r="R72" s="130">
        <f t="shared" si="22"/>
        <v>30224.91</v>
      </c>
      <c r="S72" s="119"/>
      <c r="T72" s="119"/>
      <c r="U72" s="119"/>
      <c r="W72" s="126">
        <f t="shared" si="23"/>
        <v>16110.27</v>
      </c>
      <c r="X72" s="126">
        <f t="shared" si="24"/>
        <v>5924.64</v>
      </c>
      <c r="Y72" s="126">
        <f t="shared" si="25"/>
        <v>2088.37</v>
      </c>
      <c r="Z72" s="145">
        <f t="shared" si="26"/>
        <v>0</v>
      </c>
      <c r="AA72" s="126">
        <f t="shared" si="27"/>
        <v>6101.63</v>
      </c>
      <c r="AB72" s="260"/>
      <c r="AC72" s="261"/>
      <c r="AD72" s="262"/>
      <c r="AE72" s="263"/>
      <c r="AF72" s="264"/>
      <c r="AG72" s="118"/>
      <c r="AH72" s="118"/>
      <c r="AI72" s="213"/>
    </row>
    <row r="73" spans="3:35" s="65" customFormat="1">
      <c r="C73" s="120" t="s">
        <v>180</v>
      </c>
      <c r="D73" s="120" t="s">
        <v>280</v>
      </c>
      <c r="E73" s="128">
        <v>0</v>
      </c>
      <c r="F73" s="129">
        <f>Perfils!$G$9</f>
        <v>62.77</v>
      </c>
      <c r="G73" s="130">
        <f t="shared" si="17"/>
        <v>0</v>
      </c>
      <c r="H73" s="128">
        <v>0</v>
      </c>
      <c r="I73" s="129">
        <f>Perfils!$G$16</f>
        <v>62.77</v>
      </c>
      <c r="J73" s="130">
        <f t="shared" si="18"/>
        <v>0</v>
      </c>
      <c r="K73" s="128">
        <v>2196.1448999999998</v>
      </c>
      <c r="L73" s="129">
        <f>Perfils!$G$23</f>
        <v>62.77</v>
      </c>
      <c r="M73" s="130">
        <f t="shared" si="19"/>
        <v>137852.01999999999</v>
      </c>
      <c r="N73" s="130">
        <v>0</v>
      </c>
      <c r="O73" s="128">
        <v>21011.8181</v>
      </c>
      <c r="P73" s="129">
        <f>Perfils!$G$30</f>
        <v>71.540000000000006</v>
      </c>
      <c r="Q73" s="130">
        <f t="shared" si="20"/>
        <v>1503185.47</v>
      </c>
      <c r="R73" s="130">
        <f t="shared" si="22"/>
        <v>1641037.49</v>
      </c>
      <c r="S73" s="119"/>
      <c r="T73" s="119"/>
      <c r="U73" s="119"/>
      <c r="W73" s="126">
        <f t="shared" si="23"/>
        <v>0</v>
      </c>
      <c r="X73" s="126">
        <f t="shared" si="24"/>
        <v>0</v>
      </c>
      <c r="Y73" s="126">
        <f t="shared" si="25"/>
        <v>137852.01999999999</v>
      </c>
      <c r="Z73" s="145">
        <f t="shared" si="26"/>
        <v>0</v>
      </c>
      <c r="AA73" s="126">
        <f t="shared" si="27"/>
        <v>1503185.47</v>
      </c>
      <c r="AB73" s="260"/>
      <c r="AC73" s="261"/>
      <c r="AD73" s="262"/>
      <c r="AE73" s="263"/>
      <c r="AF73" s="264"/>
      <c r="AG73" s="220"/>
      <c r="AH73" s="118"/>
      <c r="AI73" s="213"/>
    </row>
    <row r="74" spans="3:35" s="65" customFormat="1">
      <c r="C74" s="120" t="s">
        <v>181</v>
      </c>
      <c r="D74" s="120" t="s">
        <v>182</v>
      </c>
      <c r="E74" s="128">
        <v>0</v>
      </c>
      <c r="F74" s="129">
        <f>Perfils!$G$9</f>
        <v>62.77</v>
      </c>
      <c r="G74" s="130">
        <f t="shared" si="17"/>
        <v>0</v>
      </c>
      <c r="H74" s="128">
        <v>0</v>
      </c>
      <c r="I74" s="129">
        <f>Perfils!$G$16</f>
        <v>62.77</v>
      </c>
      <c r="J74" s="130">
        <f t="shared" si="18"/>
        <v>0</v>
      </c>
      <c r="K74" s="128">
        <v>0</v>
      </c>
      <c r="L74" s="129">
        <f>Perfils!$G$23</f>
        <v>62.77</v>
      </c>
      <c r="M74" s="130">
        <f t="shared" si="19"/>
        <v>0</v>
      </c>
      <c r="N74" s="130">
        <v>55203.066299999999</v>
      </c>
      <c r="O74" s="128">
        <v>0</v>
      </c>
      <c r="P74" s="129">
        <f>Perfils!$G$30</f>
        <v>71.540000000000006</v>
      </c>
      <c r="Q74" s="130">
        <f t="shared" si="20"/>
        <v>0</v>
      </c>
      <c r="R74" s="130">
        <f t="shared" si="22"/>
        <v>55203.066299999999</v>
      </c>
      <c r="S74" s="119"/>
      <c r="T74" s="119"/>
      <c r="U74" s="119"/>
      <c r="W74" s="126">
        <f t="shared" si="23"/>
        <v>0</v>
      </c>
      <c r="X74" s="126">
        <f t="shared" si="24"/>
        <v>0</v>
      </c>
      <c r="Y74" s="126">
        <f t="shared" si="25"/>
        <v>0</v>
      </c>
      <c r="Z74" s="145">
        <f t="shared" si="26"/>
        <v>55203.066299999999</v>
      </c>
      <c r="AA74" s="126">
        <f t="shared" si="27"/>
        <v>0</v>
      </c>
      <c r="AB74" s="260"/>
      <c r="AC74" s="261"/>
      <c r="AD74" s="262"/>
      <c r="AE74" s="263"/>
      <c r="AF74" s="264"/>
      <c r="AG74" s="118"/>
      <c r="AH74" s="118"/>
      <c r="AI74" s="213"/>
    </row>
    <row r="75" spans="3:35" s="65" customFormat="1">
      <c r="C75" s="30" t="s">
        <v>294</v>
      </c>
      <c r="D75" s="30" t="s">
        <v>295</v>
      </c>
      <c r="E75" s="128">
        <v>0</v>
      </c>
      <c r="F75" s="129">
        <f>Perfils!$G$9</f>
        <v>62.77</v>
      </c>
      <c r="G75" s="130">
        <f t="shared" si="17"/>
        <v>0</v>
      </c>
      <c r="H75" s="128">
        <v>0</v>
      </c>
      <c r="I75" s="129">
        <f>Perfils!$G$16</f>
        <v>62.77</v>
      </c>
      <c r="J75" s="130">
        <f t="shared" si="18"/>
        <v>0</v>
      </c>
      <c r="K75" s="128">
        <v>0</v>
      </c>
      <c r="L75" s="129">
        <f>Perfils!$G$23</f>
        <v>62.77</v>
      </c>
      <c r="M75" s="130">
        <f t="shared" si="19"/>
        <v>0</v>
      </c>
      <c r="N75" s="130">
        <v>25119.599999999999</v>
      </c>
      <c r="O75" s="128">
        <v>0</v>
      </c>
      <c r="P75" s="129">
        <f>Perfils!$G$30</f>
        <v>71.540000000000006</v>
      </c>
      <c r="Q75" s="130">
        <f t="shared" si="20"/>
        <v>0</v>
      </c>
      <c r="R75" s="130">
        <f t="shared" si="22"/>
        <v>25119.599999999999</v>
      </c>
      <c r="S75" s="119"/>
      <c r="T75" s="119"/>
      <c r="U75" s="119"/>
      <c r="W75" s="126">
        <f t="shared" si="23"/>
        <v>0</v>
      </c>
      <c r="X75" s="126">
        <f t="shared" si="24"/>
        <v>0</v>
      </c>
      <c r="Y75" s="126">
        <f t="shared" si="25"/>
        <v>0</v>
      </c>
      <c r="Z75" s="145">
        <f t="shared" si="26"/>
        <v>25119.599999999999</v>
      </c>
      <c r="AA75" s="126">
        <f t="shared" si="27"/>
        <v>0</v>
      </c>
      <c r="AB75" s="260"/>
      <c r="AC75" s="261"/>
      <c r="AD75" s="262"/>
      <c r="AE75" s="263"/>
      <c r="AF75" s="264"/>
      <c r="AG75" s="118"/>
      <c r="AH75" s="118"/>
      <c r="AI75" s="213"/>
    </row>
    <row r="76" spans="3:35" s="65" customFormat="1">
      <c r="C76" s="120" t="s">
        <v>210</v>
      </c>
      <c r="D76" s="120" t="s">
        <v>183</v>
      </c>
      <c r="E76" s="128">
        <v>317.50319999999999</v>
      </c>
      <c r="F76" s="129">
        <f>Perfils!$G$9</f>
        <v>62.77</v>
      </c>
      <c r="G76" s="130">
        <f t="shared" si="17"/>
        <v>19929.68</v>
      </c>
      <c r="H76" s="128">
        <v>254.05699999999999</v>
      </c>
      <c r="I76" s="129">
        <f>Perfils!$G$16</f>
        <v>62.77</v>
      </c>
      <c r="J76" s="130">
        <f t="shared" si="18"/>
        <v>15947.16</v>
      </c>
      <c r="K76" s="128">
        <v>90.715199999999996</v>
      </c>
      <c r="L76" s="129">
        <f>Perfils!$G$23</f>
        <v>62.77</v>
      </c>
      <c r="M76" s="130">
        <f t="shared" si="19"/>
        <v>5694.19</v>
      </c>
      <c r="N76" s="130">
        <v>0</v>
      </c>
      <c r="O76" s="128">
        <v>229.5718</v>
      </c>
      <c r="P76" s="129">
        <f>Perfils!$G$30</f>
        <v>71.540000000000006</v>
      </c>
      <c r="Q76" s="130">
        <f t="shared" si="20"/>
        <v>16423.57</v>
      </c>
      <c r="R76" s="130">
        <f t="shared" si="22"/>
        <v>57994.6</v>
      </c>
      <c r="S76" s="119"/>
      <c r="T76" s="119"/>
      <c r="U76" s="119"/>
      <c r="W76" s="126">
        <f t="shared" si="23"/>
        <v>19929.68</v>
      </c>
      <c r="X76" s="126">
        <f t="shared" si="24"/>
        <v>15947.16</v>
      </c>
      <c r="Y76" s="126">
        <f t="shared" si="25"/>
        <v>5694.19</v>
      </c>
      <c r="Z76" s="145">
        <f t="shared" si="26"/>
        <v>0</v>
      </c>
      <c r="AA76" s="126">
        <f t="shared" si="27"/>
        <v>16423.57</v>
      </c>
      <c r="AB76" s="260"/>
      <c r="AC76" s="261"/>
      <c r="AD76" s="262"/>
      <c r="AE76" s="263"/>
      <c r="AF76" s="264"/>
      <c r="AG76" s="118"/>
      <c r="AH76" s="118"/>
      <c r="AI76" s="213"/>
    </row>
    <row r="77" spans="3:35" s="65" customFormat="1">
      <c r="C77" s="30" t="s">
        <v>213</v>
      </c>
      <c r="D77" s="120" t="s">
        <v>215</v>
      </c>
      <c r="E77" s="128">
        <v>266.15960000000001</v>
      </c>
      <c r="F77" s="129">
        <f>Perfils!$G$9</f>
        <v>62.77</v>
      </c>
      <c r="G77" s="130">
        <f t="shared" si="17"/>
        <v>16706.84</v>
      </c>
      <c r="H77" s="128">
        <v>232.33449999999999</v>
      </c>
      <c r="I77" s="129">
        <f>Perfils!$G$16</f>
        <v>62.77</v>
      </c>
      <c r="J77" s="130">
        <f t="shared" si="18"/>
        <v>14583.64</v>
      </c>
      <c r="K77" s="128">
        <v>38.022799999999997</v>
      </c>
      <c r="L77" s="129">
        <f>Perfils!$G$23</f>
        <v>62.77</v>
      </c>
      <c r="M77" s="130">
        <f t="shared" si="19"/>
        <v>2386.69</v>
      </c>
      <c r="N77" s="130">
        <v>0</v>
      </c>
      <c r="O77" s="128">
        <v>209.94290000000001</v>
      </c>
      <c r="P77" s="129">
        <f>Perfils!$G$30</f>
        <v>71.540000000000006</v>
      </c>
      <c r="Q77" s="130">
        <f t="shared" si="20"/>
        <v>15019.32</v>
      </c>
      <c r="R77" s="130">
        <f t="shared" si="22"/>
        <v>48696.49</v>
      </c>
      <c r="S77" s="119"/>
      <c r="T77" s="119"/>
      <c r="U77" s="119"/>
      <c r="W77" s="126">
        <f t="shared" si="23"/>
        <v>16706.84</v>
      </c>
      <c r="X77" s="126">
        <f t="shared" si="24"/>
        <v>14583.64</v>
      </c>
      <c r="Y77" s="126">
        <f t="shared" si="25"/>
        <v>2386.69</v>
      </c>
      <c r="Z77" s="145">
        <f t="shared" si="26"/>
        <v>0</v>
      </c>
      <c r="AA77" s="126">
        <f t="shared" si="27"/>
        <v>15019.32</v>
      </c>
      <c r="AB77" s="260"/>
      <c r="AC77" s="261"/>
      <c r="AD77" s="262"/>
      <c r="AE77" s="263"/>
      <c r="AF77" s="264"/>
      <c r="AG77" s="118"/>
      <c r="AH77" s="118"/>
      <c r="AI77" s="213"/>
    </row>
    <row r="78" spans="3:35" s="65" customFormat="1">
      <c r="C78" s="30" t="s">
        <v>211</v>
      </c>
      <c r="D78" s="30" t="s">
        <v>212</v>
      </c>
      <c r="E78" s="128">
        <v>74.143699999999995</v>
      </c>
      <c r="F78" s="129">
        <f>Perfils!$G$9</f>
        <v>62.77</v>
      </c>
      <c r="G78" s="130">
        <f t="shared" si="17"/>
        <v>4654</v>
      </c>
      <c r="H78" s="128">
        <v>97.289100000000005</v>
      </c>
      <c r="I78" s="129">
        <f>Perfils!$G$16</f>
        <v>62.77</v>
      </c>
      <c r="J78" s="130">
        <f t="shared" si="18"/>
        <v>6106.84</v>
      </c>
      <c r="K78" s="128">
        <v>19.9618</v>
      </c>
      <c r="L78" s="129">
        <f>Perfils!$G$23</f>
        <v>62.77</v>
      </c>
      <c r="M78" s="130">
        <f t="shared" si="19"/>
        <v>1253</v>
      </c>
      <c r="N78" s="130">
        <v>0</v>
      </c>
      <c r="O78" s="128">
        <v>87.912700000000001</v>
      </c>
      <c r="P78" s="129">
        <f>Perfils!$G$30</f>
        <v>71.540000000000006</v>
      </c>
      <c r="Q78" s="130">
        <f t="shared" si="20"/>
        <v>6289.27</v>
      </c>
      <c r="R78" s="130">
        <f t="shared" si="22"/>
        <v>18303.11</v>
      </c>
      <c r="S78" s="119"/>
      <c r="T78" s="119"/>
      <c r="U78" s="119"/>
      <c r="W78" s="126">
        <f t="shared" si="23"/>
        <v>4654</v>
      </c>
      <c r="X78" s="126">
        <f t="shared" si="24"/>
        <v>6106.84</v>
      </c>
      <c r="Y78" s="126">
        <f t="shared" si="25"/>
        <v>1253</v>
      </c>
      <c r="Z78" s="145">
        <f t="shared" si="26"/>
        <v>0</v>
      </c>
      <c r="AA78" s="126">
        <f t="shared" si="27"/>
        <v>6289.27</v>
      </c>
      <c r="AB78" s="260"/>
      <c r="AC78" s="261"/>
      <c r="AD78" s="262"/>
      <c r="AE78" s="263"/>
      <c r="AF78" s="264"/>
      <c r="AG78" s="118"/>
      <c r="AH78" s="118"/>
      <c r="AI78" s="213"/>
    </row>
    <row r="79" spans="3:35" s="65" customFormat="1">
      <c r="C79" s="120" t="s">
        <v>208</v>
      </c>
      <c r="D79" s="120" t="s">
        <v>209</v>
      </c>
      <c r="E79" s="128">
        <v>380.22730000000001</v>
      </c>
      <c r="F79" s="129">
        <f>Perfils!$G$9</f>
        <v>62.77</v>
      </c>
      <c r="G79" s="130">
        <f t="shared" si="17"/>
        <v>23866.87</v>
      </c>
      <c r="H79" s="128">
        <v>217.81319999999999</v>
      </c>
      <c r="I79" s="129">
        <f>Perfils!$G$16</f>
        <v>62.77</v>
      </c>
      <c r="J79" s="130">
        <f t="shared" si="18"/>
        <v>13672.13</v>
      </c>
      <c r="K79" s="128">
        <v>142.58519999999999</v>
      </c>
      <c r="L79" s="129">
        <f>Perfils!$G$23</f>
        <v>62.77</v>
      </c>
      <c r="M79" s="130">
        <f t="shared" si="19"/>
        <v>8950.07</v>
      </c>
      <c r="N79" s="130">
        <v>0</v>
      </c>
      <c r="O79" s="128">
        <v>196.8211</v>
      </c>
      <c r="P79" s="129">
        <f>Perfils!$G$30</f>
        <v>71.540000000000006</v>
      </c>
      <c r="Q79" s="130">
        <f t="shared" si="20"/>
        <v>14080.58</v>
      </c>
      <c r="R79" s="130">
        <f t="shared" si="22"/>
        <v>60569.65</v>
      </c>
      <c r="S79" s="119"/>
      <c r="T79" s="119"/>
      <c r="U79" s="119"/>
      <c r="W79" s="126">
        <f t="shared" si="23"/>
        <v>23866.87</v>
      </c>
      <c r="X79" s="126">
        <f t="shared" si="24"/>
        <v>13672.13</v>
      </c>
      <c r="Y79" s="126">
        <f t="shared" si="25"/>
        <v>8950.07</v>
      </c>
      <c r="Z79" s="145">
        <f t="shared" si="26"/>
        <v>0</v>
      </c>
      <c r="AA79" s="126">
        <f t="shared" si="27"/>
        <v>14080.58</v>
      </c>
      <c r="AB79" s="260"/>
      <c r="AC79" s="261"/>
      <c r="AD79" s="262"/>
      <c r="AE79" s="263"/>
      <c r="AF79" s="264"/>
      <c r="AG79" s="118"/>
      <c r="AH79" s="118"/>
      <c r="AI79" s="213"/>
    </row>
    <row r="80" spans="3:35" s="65" customFormat="1">
      <c r="C80" s="120" t="s">
        <v>221</v>
      </c>
      <c r="D80" s="120" t="s">
        <v>218</v>
      </c>
      <c r="E80" s="128">
        <v>456.27379999999999</v>
      </c>
      <c r="F80" s="129">
        <f>Perfils!$G$9</f>
        <v>62.77</v>
      </c>
      <c r="G80" s="130">
        <f t="shared" si="17"/>
        <v>28640.31</v>
      </c>
      <c r="H80" s="128">
        <v>261.37639999999999</v>
      </c>
      <c r="I80" s="129">
        <f>Perfils!$G$16</f>
        <v>62.77</v>
      </c>
      <c r="J80" s="130">
        <f t="shared" si="18"/>
        <v>16406.599999999999</v>
      </c>
      <c r="K80" s="128">
        <v>171.1027</v>
      </c>
      <c r="L80" s="129">
        <f>Perfils!$G$23</f>
        <v>62.77</v>
      </c>
      <c r="M80" s="130">
        <f t="shared" si="19"/>
        <v>10740.12</v>
      </c>
      <c r="N80" s="130">
        <v>0</v>
      </c>
      <c r="O80" s="128">
        <v>236.1858</v>
      </c>
      <c r="P80" s="129">
        <f>Perfils!$G$30</f>
        <v>71.540000000000006</v>
      </c>
      <c r="Q80" s="130">
        <f t="shared" si="20"/>
        <v>16896.73</v>
      </c>
      <c r="R80" s="130">
        <f t="shared" si="22"/>
        <v>72683.760000000009</v>
      </c>
      <c r="S80" s="119"/>
      <c r="T80" s="119"/>
      <c r="U80" s="119"/>
      <c r="W80" s="126">
        <f t="shared" si="23"/>
        <v>28640.31</v>
      </c>
      <c r="X80" s="126">
        <f t="shared" si="24"/>
        <v>16406.599999999999</v>
      </c>
      <c r="Y80" s="126">
        <f t="shared" si="25"/>
        <v>10740.12</v>
      </c>
      <c r="Z80" s="145">
        <f t="shared" si="26"/>
        <v>0</v>
      </c>
      <c r="AA80" s="126">
        <f t="shared" si="27"/>
        <v>16896.73</v>
      </c>
      <c r="AB80" s="260"/>
      <c r="AC80" s="261"/>
      <c r="AD80" s="262"/>
      <c r="AE80" s="263"/>
      <c r="AF80" s="264"/>
      <c r="AG80" s="118"/>
      <c r="AH80" s="118"/>
      <c r="AI80" s="213"/>
    </row>
    <row r="81" spans="3:35" s="65" customFormat="1">
      <c r="C81" s="120" t="s">
        <v>289</v>
      </c>
      <c r="D81" s="120" t="s">
        <v>290</v>
      </c>
      <c r="E81" s="128">
        <v>382.5095</v>
      </c>
      <c r="F81" s="129">
        <f>Perfils!$G$9</f>
        <v>62.77</v>
      </c>
      <c r="G81" s="130">
        <f t="shared" si="17"/>
        <v>24010.12</v>
      </c>
      <c r="H81" s="128">
        <v>219.1206</v>
      </c>
      <c r="I81" s="129">
        <f>Perfils!$G$16</f>
        <v>62.77</v>
      </c>
      <c r="J81" s="130">
        <f t="shared" si="18"/>
        <v>13754.2</v>
      </c>
      <c r="K81" s="128">
        <v>143.44110000000001</v>
      </c>
      <c r="L81" s="129">
        <f>Perfils!$G$23</f>
        <v>62.77</v>
      </c>
      <c r="M81" s="130">
        <f t="shared" si="19"/>
        <v>9003.7999999999993</v>
      </c>
      <c r="N81" s="130">
        <v>0</v>
      </c>
      <c r="O81" s="128">
        <v>198.0025</v>
      </c>
      <c r="P81" s="129">
        <f>Perfils!$G$30</f>
        <v>71.540000000000006</v>
      </c>
      <c r="Q81" s="130">
        <f t="shared" si="20"/>
        <v>14165.1</v>
      </c>
      <c r="R81" s="130">
        <f t="shared" ref="R81" si="28">G81+J81+M81+N81+Q81</f>
        <v>60933.219999999994</v>
      </c>
      <c r="S81" s="119"/>
      <c r="T81" s="119"/>
      <c r="U81" s="119"/>
      <c r="W81" s="126">
        <f t="shared" si="23"/>
        <v>24010.12</v>
      </c>
      <c r="X81" s="126">
        <f t="shared" si="24"/>
        <v>13754.2</v>
      </c>
      <c r="Y81" s="126">
        <f t="shared" si="25"/>
        <v>9003.7999999999993</v>
      </c>
      <c r="Z81" s="145">
        <f t="shared" si="26"/>
        <v>0</v>
      </c>
      <c r="AA81" s="126">
        <f t="shared" si="27"/>
        <v>14165.1</v>
      </c>
      <c r="AB81" s="260"/>
      <c r="AC81" s="261"/>
      <c r="AD81" s="262"/>
      <c r="AE81" s="263"/>
      <c r="AF81" s="264"/>
      <c r="AG81" s="118"/>
      <c r="AH81" s="118"/>
      <c r="AI81" s="213"/>
    </row>
    <row r="82" spans="3:35" s="65" customFormat="1">
      <c r="C82" s="120" t="s">
        <v>292</v>
      </c>
      <c r="D82" s="120" t="s">
        <v>293</v>
      </c>
      <c r="E82" s="128">
        <v>266.15969999999999</v>
      </c>
      <c r="F82" s="129">
        <f>Perfils!$G$9</f>
        <v>62.77</v>
      </c>
      <c r="G82" s="130">
        <f t="shared" si="17"/>
        <v>16706.84</v>
      </c>
      <c r="H82" s="128">
        <v>152.46960000000001</v>
      </c>
      <c r="I82" s="129">
        <f>Perfils!$G$16</f>
        <v>62.77</v>
      </c>
      <c r="J82" s="130">
        <f t="shared" si="18"/>
        <v>9570.52</v>
      </c>
      <c r="K82" s="128">
        <v>99.809899999999999</v>
      </c>
      <c r="L82" s="129">
        <f>Perfils!$G$23</f>
        <v>62.77</v>
      </c>
      <c r="M82" s="130">
        <f t="shared" si="19"/>
        <v>6265.07</v>
      </c>
      <c r="N82" s="130">
        <v>0</v>
      </c>
      <c r="O82" s="128">
        <v>137.77510000000001</v>
      </c>
      <c r="P82" s="129">
        <f>Perfils!$G$30</f>
        <v>71.540000000000006</v>
      </c>
      <c r="Q82" s="130">
        <f t="shared" si="20"/>
        <v>9856.43</v>
      </c>
      <c r="R82" s="130">
        <f t="shared" ref="R82" si="29">G82+J82+M82+N82+Q82</f>
        <v>42398.86</v>
      </c>
      <c r="S82" s="119"/>
      <c r="T82" s="119"/>
      <c r="U82" s="119"/>
      <c r="W82" s="126">
        <f t="shared" ref="W82" si="30">ROUND(G82*($W$50-MAX($W$49,$T82)+1)/365,2)</f>
        <v>16706.84</v>
      </c>
      <c r="X82" s="126">
        <f t="shared" ref="X82" si="31">ROUND(J82*($W$50-MAX($W$49,$T82)+1)/365,2)</f>
        <v>9570.52</v>
      </c>
      <c r="Y82" s="126">
        <f t="shared" ref="Y82" si="32">ROUND(M82*($W$50-MAX($W$49,$T82)+1)/365,2)</f>
        <v>6265.07</v>
      </c>
      <c r="Z82" s="145">
        <f t="shared" ref="Z82" si="33">N82</f>
        <v>0</v>
      </c>
      <c r="AA82" s="126">
        <f t="shared" si="27"/>
        <v>9856.43</v>
      </c>
      <c r="AB82" s="260"/>
      <c r="AC82" s="261"/>
      <c r="AD82" s="262"/>
      <c r="AE82" s="263"/>
      <c r="AF82" s="264"/>
      <c r="AG82" s="118"/>
      <c r="AH82" s="118"/>
      <c r="AI82" s="213"/>
    </row>
    <row r="83" spans="3:35" s="65" customFormat="1">
      <c r="C83" s="120" t="s">
        <v>220</v>
      </c>
      <c r="D83" s="120" t="s">
        <v>219</v>
      </c>
      <c r="E83" s="128">
        <v>0</v>
      </c>
      <c r="F83" s="129">
        <f>Perfils!$G$9</f>
        <v>62.77</v>
      </c>
      <c r="G83" s="130">
        <f t="shared" si="17"/>
        <v>0</v>
      </c>
      <c r="H83" s="128">
        <v>0</v>
      </c>
      <c r="I83" s="129">
        <f>Perfils!$G$16</f>
        <v>62.77</v>
      </c>
      <c r="J83" s="130">
        <f t="shared" si="18"/>
        <v>0</v>
      </c>
      <c r="K83" s="128">
        <v>0</v>
      </c>
      <c r="L83" s="129">
        <f>Perfils!$G$23</f>
        <v>62.77</v>
      </c>
      <c r="M83" s="130">
        <f t="shared" si="19"/>
        <v>0</v>
      </c>
      <c r="N83" s="130">
        <v>0</v>
      </c>
      <c r="O83" s="128">
        <v>6096.6837999999998</v>
      </c>
      <c r="P83" s="129">
        <f>Perfils!$G$30</f>
        <v>71.540000000000006</v>
      </c>
      <c r="Q83" s="130">
        <f t="shared" si="20"/>
        <v>436156.76</v>
      </c>
      <c r="R83" s="130">
        <f t="shared" si="22"/>
        <v>436156.76</v>
      </c>
      <c r="S83" s="119"/>
      <c r="T83" s="119"/>
      <c r="U83" s="119"/>
      <c r="W83" s="126">
        <f t="shared" si="23"/>
        <v>0</v>
      </c>
      <c r="X83" s="126">
        <f t="shared" si="24"/>
        <v>0</v>
      </c>
      <c r="Y83" s="126">
        <f t="shared" si="25"/>
        <v>0</v>
      </c>
      <c r="Z83" s="145">
        <f t="shared" si="26"/>
        <v>0</v>
      </c>
      <c r="AA83" s="126">
        <f t="shared" si="27"/>
        <v>436156.76</v>
      </c>
      <c r="AB83" s="260"/>
      <c r="AC83" s="261"/>
      <c r="AD83" s="262"/>
      <c r="AE83" s="263"/>
      <c r="AF83" s="264"/>
      <c r="AG83" s="220"/>
      <c r="AH83" s="118"/>
      <c r="AI83" s="213"/>
    </row>
    <row r="84" spans="3:35" s="65" customFormat="1" ht="15.5">
      <c r="C84" s="67" t="s">
        <v>116</v>
      </c>
      <c r="D84" s="112"/>
      <c r="E84" s="131">
        <f>SUM(E53:E83)</f>
        <v>18095.603299999999</v>
      </c>
      <c r="F84" s="110"/>
      <c r="G84" s="143">
        <f>SUM(G53:G83)</f>
        <v>1135861.0400000005</v>
      </c>
      <c r="H84" s="131">
        <f>SUM(H53:H83)</f>
        <v>10595.467200000003</v>
      </c>
      <c r="I84" s="110"/>
      <c r="J84" s="143">
        <f>SUM(J53:J83)</f>
        <v>665077.47999999986</v>
      </c>
      <c r="K84" s="131">
        <f>SUM(K53:K83)</f>
        <v>6787.6805999999988</v>
      </c>
      <c r="L84" s="110"/>
      <c r="M84" s="143">
        <f>SUM(M53:M83)</f>
        <v>426062.72000000003</v>
      </c>
      <c r="N84" s="143">
        <f>SUM(N53:N83)</f>
        <v>144382.00229999999</v>
      </c>
      <c r="O84" s="131">
        <f>SUM(O53:O83)</f>
        <v>36544.618300000002</v>
      </c>
      <c r="P84" s="110"/>
      <c r="Q84" s="143">
        <f>SUM(Q53:Q83)</f>
        <v>2614401.9800000004</v>
      </c>
      <c r="R84" s="143">
        <f>SUM(R53:R83)</f>
        <v>4985785.2223000005</v>
      </c>
      <c r="S84" s="110"/>
      <c r="T84" s="110"/>
      <c r="U84" s="143"/>
      <c r="W84" s="143">
        <f>ROUND(SUM(W53:W83),2)</f>
        <v>1135861.04</v>
      </c>
      <c r="X84" s="143">
        <f t="shared" ref="X84:AA84" si="34">ROUND(SUM(X53:X83),2)</f>
        <v>665077.48</v>
      </c>
      <c r="Y84" s="143">
        <f t="shared" si="34"/>
        <v>426062.72</v>
      </c>
      <c r="Z84" s="143">
        <f t="shared" si="34"/>
        <v>144382</v>
      </c>
      <c r="AA84" s="143">
        <f t="shared" si="34"/>
        <v>2614401.98</v>
      </c>
      <c r="AB84" s="265"/>
      <c r="AC84" s="265"/>
      <c r="AD84" s="266"/>
      <c r="AE84" s="266"/>
      <c r="AF84" s="266"/>
      <c r="AG84" s="118"/>
      <c r="AH84" s="118"/>
      <c r="AI84" s="118"/>
    </row>
    <row r="85" spans="3:35">
      <c r="F85" s="60"/>
      <c r="V85" s="61"/>
      <c r="X85" s="71"/>
      <c r="Y85" s="61"/>
      <c r="AA85" s="60"/>
      <c r="AC85" s="61"/>
      <c r="AD85" s="61"/>
      <c r="AE85" s="61"/>
      <c r="AF85" s="61"/>
      <c r="AG85" s="61"/>
      <c r="AH85" s="61"/>
      <c r="AI85" s="61"/>
    </row>
    <row r="86" spans="3:35">
      <c r="F86" s="60"/>
      <c r="U86" s="136"/>
      <c r="V86" s="61"/>
      <c r="W86" s="74">
        <v>46388</v>
      </c>
      <c r="X86" s="71"/>
      <c r="Y86" s="61"/>
      <c r="AA86" s="60"/>
      <c r="AC86" s="61"/>
      <c r="AD86" s="61"/>
      <c r="AE86" s="61"/>
      <c r="AF86" s="61"/>
      <c r="AG86" s="61"/>
      <c r="AH86" s="61"/>
      <c r="AI86" s="61"/>
    </row>
    <row r="87" spans="3:35">
      <c r="C87" s="60"/>
      <c r="F87" s="60"/>
      <c r="V87" s="61"/>
      <c r="W87" s="74">
        <v>46752</v>
      </c>
      <c r="X87" s="71"/>
      <c r="Y87" s="61"/>
      <c r="AA87" s="60"/>
      <c r="AC87" s="61"/>
      <c r="AD87" s="61"/>
      <c r="AE87" s="61"/>
      <c r="AF87" s="61"/>
      <c r="AG87" s="61"/>
      <c r="AH87" s="61"/>
      <c r="AI87" s="61"/>
    </row>
    <row r="88" spans="3:35">
      <c r="C88" s="65" t="s">
        <v>203</v>
      </c>
      <c r="F88" s="60"/>
      <c r="V88" s="61"/>
      <c r="W88" s="74" t="s">
        <v>225</v>
      </c>
      <c r="X88" s="71"/>
      <c r="Y88" s="61"/>
      <c r="AA88" s="60"/>
      <c r="AC88" s="61"/>
      <c r="AD88" s="61"/>
      <c r="AE88" s="61"/>
      <c r="AF88" s="61"/>
      <c r="AG88" s="61"/>
      <c r="AH88" s="61"/>
      <c r="AI88" s="61"/>
    </row>
    <row r="89" spans="3:35" s="65" customFormat="1" ht="54" customHeight="1">
      <c r="C89" s="67" t="s">
        <v>0</v>
      </c>
      <c r="D89" s="67" t="s">
        <v>123</v>
      </c>
      <c r="E89" s="68" t="s">
        <v>120</v>
      </c>
      <c r="F89" s="68" t="s">
        <v>108</v>
      </c>
      <c r="G89" s="68" t="s">
        <v>2</v>
      </c>
      <c r="H89" s="68" t="s">
        <v>124</v>
      </c>
      <c r="I89" s="68" t="s">
        <v>108</v>
      </c>
      <c r="J89" s="68" t="s">
        <v>15</v>
      </c>
      <c r="K89" s="68" t="s">
        <v>136</v>
      </c>
      <c r="L89" s="68" t="s">
        <v>108</v>
      </c>
      <c r="M89" s="68" t="s">
        <v>137</v>
      </c>
      <c r="N89" s="68" t="s">
        <v>130</v>
      </c>
      <c r="O89" s="68" t="s">
        <v>396</v>
      </c>
      <c r="P89" s="68" t="s">
        <v>108</v>
      </c>
      <c r="Q89" s="68" t="s">
        <v>206</v>
      </c>
      <c r="R89" s="68" t="s">
        <v>207</v>
      </c>
      <c r="S89" s="67" t="s">
        <v>125</v>
      </c>
      <c r="T89" s="67" t="s">
        <v>122</v>
      </c>
      <c r="U89" s="67" t="s">
        <v>189</v>
      </c>
      <c r="W89" s="68" t="s">
        <v>2</v>
      </c>
      <c r="X89" s="68" t="s">
        <v>15</v>
      </c>
      <c r="Y89" s="68" t="s">
        <v>137</v>
      </c>
      <c r="Z89" s="68" t="s">
        <v>130</v>
      </c>
      <c r="AA89" s="68" t="s">
        <v>223</v>
      </c>
      <c r="AB89" s="258"/>
      <c r="AC89" s="258"/>
      <c r="AD89" s="259"/>
      <c r="AE89" s="259"/>
      <c r="AF89" s="259"/>
      <c r="AG89" s="118"/>
      <c r="AH89" s="118"/>
      <c r="AI89" s="118"/>
    </row>
    <row r="90" spans="3:35" s="65" customFormat="1">
      <c r="C90" s="120" t="s">
        <v>143</v>
      </c>
      <c r="D90" s="120" t="s">
        <v>144</v>
      </c>
      <c r="E90" s="128">
        <v>1303.7132999999999</v>
      </c>
      <c r="F90" s="129">
        <f>Perfils!$G$9</f>
        <v>62.77</v>
      </c>
      <c r="G90" s="130">
        <f t="shared" ref="G90:G120" si="35">ROUND(E90*F90,2)</f>
        <v>81834.080000000002</v>
      </c>
      <c r="H90" s="128">
        <v>1016.5214999999999</v>
      </c>
      <c r="I90" s="129">
        <f>Perfils!$G$16</f>
        <v>62.77</v>
      </c>
      <c r="J90" s="130">
        <f t="shared" ref="J90:J120" si="36">ROUND(H90*I90,2)</f>
        <v>63807.05</v>
      </c>
      <c r="K90" s="128">
        <v>774.07979999999998</v>
      </c>
      <c r="L90" s="129">
        <f>Perfils!$G$23</f>
        <v>62.77</v>
      </c>
      <c r="M90" s="130">
        <f t="shared" ref="M90:M120" si="37">ROUND(K90*L90,2)</f>
        <v>48588.99</v>
      </c>
      <c r="N90" s="130">
        <v>0</v>
      </c>
      <c r="O90" s="128">
        <v>918.55259999999998</v>
      </c>
      <c r="P90" s="129">
        <f>Perfils!$G$30</f>
        <v>71.540000000000006</v>
      </c>
      <c r="Q90" s="130">
        <f t="shared" ref="Q90:Q120" si="38">ROUND(O90*P90,2)</f>
        <v>65713.25</v>
      </c>
      <c r="R90" s="130">
        <f>G90+J90+M90+N90+Q90</f>
        <v>259943.37</v>
      </c>
      <c r="S90" s="119"/>
      <c r="T90" s="119"/>
      <c r="U90" s="119"/>
      <c r="W90" s="126">
        <f>ROUND(G90*($W$87-MAX($W$86,$T90)+1)/365,2)</f>
        <v>81834.080000000002</v>
      </c>
      <c r="X90" s="126">
        <f>ROUND(J90*($W$87-MAX($W$86,$T90)+1)/365,2)</f>
        <v>63807.05</v>
      </c>
      <c r="Y90" s="126">
        <f>ROUND(M90*($W$87-MAX($W$86,$T90)+1)/365,2)</f>
        <v>48588.99</v>
      </c>
      <c r="Z90" s="145">
        <f t="shared" ref="Z90" si="39">N90</f>
        <v>0</v>
      </c>
      <c r="AA90" s="126">
        <f>ROUND(Q90*($W$87-MAX($W$86,$T90)+1)/365,2)</f>
        <v>65713.25</v>
      </c>
      <c r="AB90" s="260"/>
      <c r="AC90" s="261"/>
      <c r="AD90" s="262"/>
      <c r="AE90" s="263"/>
      <c r="AF90" s="262"/>
      <c r="AG90" s="118"/>
      <c r="AH90" s="118"/>
      <c r="AI90" s="118"/>
    </row>
    <row r="91" spans="3:35" s="65" customFormat="1">
      <c r="C91" s="120" t="s">
        <v>145</v>
      </c>
      <c r="D91" s="120" t="s">
        <v>146</v>
      </c>
      <c r="E91" s="128">
        <f>4624.5024+0.0002</f>
        <v>4624.5026000000007</v>
      </c>
      <c r="F91" s="129">
        <f>Perfils!$G$9</f>
        <v>62.77</v>
      </c>
      <c r="G91" s="130">
        <f t="shared" si="35"/>
        <v>290280.03000000003</v>
      </c>
      <c r="H91" s="128">
        <f>1448.6908+0.0003</f>
        <v>1448.6911</v>
      </c>
      <c r="I91" s="129">
        <f>Perfils!$G$16</f>
        <v>62.77</v>
      </c>
      <c r="J91" s="130">
        <f t="shared" si="36"/>
        <v>90934.34</v>
      </c>
      <c r="K91" s="128">
        <f>385.3752+0.0002</f>
        <v>385.37540000000001</v>
      </c>
      <c r="L91" s="129">
        <f>Perfils!$G$23</f>
        <v>62.77</v>
      </c>
      <c r="M91" s="130">
        <f t="shared" si="37"/>
        <v>24190.01</v>
      </c>
      <c r="N91" s="130">
        <v>0</v>
      </c>
      <c r="O91" s="128">
        <f>1175.3874+0.0001</f>
        <v>1175.3875</v>
      </c>
      <c r="P91" s="129">
        <f>Perfils!$G$30</f>
        <v>71.540000000000006</v>
      </c>
      <c r="Q91" s="130">
        <f t="shared" si="38"/>
        <v>84087.22</v>
      </c>
      <c r="R91" s="130">
        <f t="shared" ref="R91:R120" si="40">G91+J91+M91+N91+Q91</f>
        <v>489491.6</v>
      </c>
      <c r="S91" s="119"/>
      <c r="T91" s="119"/>
      <c r="U91" s="119"/>
      <c r="W91" s="126">
        <f t="shared" ref="W91:W120" si="41">ROUND(G91*($W$87-MAX($W$86,$T91)+1)/365,2)</f>
        <v>290280.03000000003</v>
      </c>
      <c r="X91" s="126">
        <f t="shared" ref="X91:X120" si="42">ROUND(J91*($W$87-MAX($W$86,$T91)+1)/365,2)</f>
        <v>90934.34</v>
      </c>
      <c r="Y91" s="126">
        <f t="shared" ref="Y91:Y120" si="43">ROUND(M91*($W$87-MAX($W$86,$T91)+1)/365,2)</f>
        <v>24190.01</v>
      </c>
      <c r="Z91" s="145">
        <f t="shared" ref="Z91:Z120" si="44">N91</f>
        <v>0</v>
      </c>
      <c r="AA91" s="126">
        <f t="shared" ref="AA91:AA120" si="45">ROUND(Q91*($W$87-MAX($W$86,$T91)+1)/365,2)</f>
        <v>84087.22</v>
      </c>
      <c r="AB91" s="260"/>
      <c r="AC91" s="261"/>
      <c r="AD91" s="262"/>
      <c r="AE91" s="263"/>
      <c r="AF91" s="262"/>
      <c r="AG91" s="118"/>
      <c r="AH91" s="118"/>
      <c r="AI91" s="118"/>
    </row>
    <row r="92" spans="3:35" s="65" customFormat="1">
      <c r="C92" s="120" t="s">
        <v>147</v>
      </c>
      <c r="D92" s="120" t="s">
        <v>148</v>
      </c>
      <c r="E92" s="128">
        <v>83.770600000000002</v>
      </c>
      <c r="F92" s="129">
        <f>Perfils!$G$9</f>
        <v>62.77</v>
      </c>
      <c r="G92" s="130">
        <f t="shared" si="35"/>
        <v>5258.28</v>
      </c>
      <c r="H92" s="128">
        <v>132.29400000000001</v>
      </c>
      <c r="I92" s="129">
        <f>Perfils!$G$16</f>
        <v>62.77</v>
      </c>
      <c r="J92" s="130">
        <f t="shared" si="36"/>
        <v>8304.09</v>
      </c>
      <c r="K92" s="128">
        <v>25.997800000000002</v>
      </c>
      <c r="L92" s="129">
        <f>Perfils!$G$23</f>
        <v>62.77</v>
      </c>
      <c r="M92" s="130">
        <f t="shared" si="37"/>
        <v>1631.88</v>
      </c>
      <c r="N92" s="130">
        <v>0</v>
      </c>
      <c r="O92" s="128">
        <v>43.8765</v>
      </c>
      <c r="P92" s="129">
        <f>Perfils!$G$30</f>
        <v>71.540000000000006</v>
      </c>
      <c r="Q92" s="130">
        <f t="shared" si="38"/>
        <v>3138.92</v>
      </c>
      <c r="R92" s="130">
        <f t="shared" si="40"/>
        <v>18333.169999999998</v>
      </c>
      <c r="S92" s="119"/>
      <c r="T92" s="119"/>
      <c r="U92" s="119"/>
      <c r="W92" s="126">
        <f t="shared" si="41"/>
        <v>5258.28</v>
      </c>
      <c r="X92" s="126">
        <f t="shared" si="42"/>
        <v>8304.09</v>
      </c>
      <c r="Y92" s="126">
        <f t="shared" si="43"/>
        <v>1631.88</v>
      </c>
      <c r="Z92" s="145">
        <f t="shared" si="44"/>
        <v>0</v>
      </c>
      <c r="AA92" s="126">
        <f t="shared" si="45"/>
        <v>3138.92</v>
      </c>
      <c r="AB92" s="260"/>
      <c r="AC92" s="261"/>
      <c r="AD92" s="262"/>
      <c r="AE92" s="263"/>
      <c r="AF92" s="262"/>
      <c r="AG92" s="118"/>
      <c r="AH92" s="118"/>
      <c r="AI92" s="118"/>
    </row>
    <row r="93" spans="3:35" s="65" customFormat="1">
      <c r="C93" s="120" t="s">
        <v>149</v>
      </c>
      <c r="D93" s="120" t="s">
        <v>216</v>
      </c>
      <c r="E93" s="128">
        <v>944.45590000000004</v>
      </c>
      <c r="F93" s="129">
        <f>Perfils!$G$9</f>
        <v>62.77</v>
      </c>
      <c r="G93" s="130">
        <f t="shared" si="35"/>
        <v>59283.5</v>
      </c>
      <c r="H93" s="128">
        <v>1395.2963</v>
      </c>
      <c r="I93" s="129">
        <f>Perfils!$G$16</f>
        <v>62.77</v>
      </c>
      <c r="J93" s="130">
        <f t="shared" si="36"/>
        <v>87582.75</v>
      </c>
      <c r="K93" s="128">
        <v>213.26419999999999</v>
      </c>
      <c r="L93" s="129">
        <f>Perfils!$G$23</f>
        <v>62.77</v>
      </c>
      <c r="M93" s="130">
        <f t="shared" si="37"/>
        <v>13386.59</v>
      </c>
      <c r="N93" s="130">
        <v>0</v>
      </c>
      <c r="O93" s="128">
        <v>462.76459999999997</v>
      </c>
      <c r="P93" s="129">
        <f>Perfils!$G$30</f>
        <v>71.540000000000006</v>
      </c>
      <c r="Q93" s="130">
        <f t="shared" si="38"/>
        <v>33106.18</v>
      </c>
      <c r="R93" s="130">
        <f t="shared" si="40"/>
        <v>193359.02</v>
      </c>
      <c r="S93" s="119"/>
      <c r="T93" s="119"/>
      <c r="U93" s="119"/>
      <c r="W93" s="126">
        <f t="shared" si="41"/>
        <v>59283.5</v>
      </c>
      <c r="X93" s="126">
        <f t="shared" si="42"/>
        <v>87582.75</v>
      </c>
      <c r="Y93" s="126">
        <f t="shared" si="43"/>
        <v>13386.59</v>
      </c>
      <c r="Z93" s="145">
        <f t="shared" si="44"/>
        <v>0</v>
      </c>
      <c r="AA93" s="126">
        <f t="shared" si="45"/>
        <v>33106.18</v>
      </c>
      <c r="AB93" s="260"/>
      <c r="AC93" s="261"/>
      <c r="AD93" s="262"/>
      <c r="AE93" s="263"/>
      <c r="AF93" s="262"/>
      <c r="AG93" s="118"/>
      <c r="AH93" s="118"/>
      <c r="AI93" s="118"/>
    </row>
    <row r="94" spans="3:35" s="65" customFormat="1">
      <c r="C94" s="120" t="s">
        <v>150</v>
      </c>
      <c r="D94" s="120" t="s">
        <v>217</v>
      </c>
      <c r="E94" s="128">
        <v>3456.2458000000001</v>
      </c>
      <c r="F94" s="129">
        <f>Perfils!$G$9</f>
        <v>62.77</v>
      </c>
      <c r="G94" s="130">
        <f t="shared" si="35"/>
        <v>216948.55</v>
      </c>
      <c r="H94" s="128">
        <v>1242.6717000000001</v>
      </c>
      <c r="I94" s="129">
        <f>Perfils!$G$16</f>
        <v>62.77</v>
      </c>
      <c r="J94" s="130">
        <f t="shared" si="36"/>
        <v>78002.5</v>
      </c>
      <c r="K94" s="128">
        <v>942.61249999999995</v>
      </c>
      <c r="L94" s="129">
        <f>Perfils!$G$23</f>
        <v>62.77</v>
      </c>
      <c r="M94" s="130">
        <f t="shared" si="37"/>
        <v>59167.79</v>
      </c>
      <c r="N94" s="130">
        <v>0</v>
      </c>
      <c r="O94" s="128">
        <v>2070.7139999999999</v>
      </c>
      <c r="P94" s="129">
        <f>Perfils!$G$30</f>
        <v>71.540000000000006</v>
      </c>
      <c r="Q94" s="130">
        <f t="shared" si="38"/>
        <v>148138.88</v>
      </c>
      <c r="R94" s="130">
        <f t="shared" si="40"/>
        <v>502257.72</v>
      </c>
      <c r="S94" s="119"/>
      <c r="T94" s="119"/>
      <c r="U94" s="119"/>
      <c r="W94" s="126">
        <f t="shared" si="41"/>
        <v>216948.55</v>
      </c>
      <c r="X94" s="126">
        <f t="shared" si="42"/>
        <v>78002.5</v>
      </c>
      <c r="Y94" s="126">
        <f t="shared" si="43"/>
        <v>59167.79</v>
      </c>
      <c r="Z94" s="145">
        <f t="shared" si="44"/>
        <v>0</v>
      </c>
      <c r="AA94" s="126">
        <f t="shared" si="45"/>
        <v>148138.88</v>
      </c>
      <c r="AB94" s="260"/>
      <c r="AC94" s="261"/>
      <c r="AD94" s="262"/>
      <c r="AE94" s="263"/>
      <c r="AF94" s="262"/>
      <c r="AG94" s="118"/>
      <c r="AH94" s="118"/>
      <c r="AI94" s="118"/>
    </row>
    <row r="95" spans="3:35" s="65" customFormat="1">
      <c r="C95" s="120" t="s">
        <v>151</v>
      </c>
      <c r="D95" s="120" t="s">
        <v>152</v>
      </c>
      <c r="E95" s="128">
        <v>398.07459999999998</v>
      </c>
      <c r="F95" s="129">
        <f>Perfils!$G$9</f>
        <v>62.77</v>
      </c>
      <c r="G95" s="130">
        <f t="shared" si="35"/>
        <v>24987.14</v>
      </c>
      <c r="H95" s="128">
        <v>152.0247</v>
      </c>
      <c r="I95" s="129">
        <f>Perfils!$G$16</f>
        <v>62.77</v>
      </c>
      <c r="J95" s="130">
        <f t="shared" si="36"/>
        <v>9542.59</v>
      </c>
      <c r="K95" s="128">
        <v>68.897499999999994</v>
      </c>
      <c r="L95" s="129">
        <f>Perfils!$G$23</f>
        <v>62.77</v>
      </c>
      <c r="M95" s="130">
        <f t="shared" si="37"/>
        <v>4324.7</v>
      </c>
      <c r="N95" s="130">
        <v>0</v>
      </c>
      <c r="O95" s="128">
        <v>137.37299999999999</v>
      </c>
      <c r="P95" s="129">
        <f>Perfils!$G$30</f>
        <v>71.540000000000006</v>
      </c>
      <c r="Q95" s="130">
        <f t="shared" si="38"/>
        <v>9827.66</v>
      </c>
      <c r="R95" s="130">
        <f t="shared" si="40"/>
        <v>48682.09</v>
      </c>
      <c r="S95" s="119"/>
      <c r="T95" s="119"/>
      <c r="U95" s="119"/>
      <c r="W95" s="126">
        <f t="shared" si="41"/>
        <v>24987.14</v>
      </c>
      <c r="X95" s="126">
        <f t="shared" si="42"/>
        <v>9542.59</v>
      </c>
      <c r="Y95" s="126">
        <f t="shared" si="43"/>
        <v>4324.7</v>
      </c>
      <c r="Z95" s="145">
        <f t="shared" si="44"/>
        <v>0</v>
      </c>
      <c r="AA95" s="126">
        <f t="shared" si="45"/>
        <v>9827.66</v>
      </c>
      <c r="AB95" s="260"/>
      <c r="AC95" s="261"/>
      <c r="AD95" s="262"/>
      <c r="AE95" s="263"/>
      <c r="AF95" s="262"/>
      <c r="AG95" s="118"/>
      <c r="AH95" s="118"/>
      <c r="AI95" s="118"/>
    </row>
    <row r="96" spans="3:35" s="65" customFormat="1">
      <c r="C96" s="120" t="s">
        <v>153</v>
      </c>
      <c r="D96" s="120" t="s">
        <v>154</v>
      </c>
      <c r="E96" s="128">
        <v>62.9587</v>
      </c>
      <c r="F96" s="129">
        <f>Perfils!$G$9</f>
        <v>62.77</v>
      </c>
      <c r="G96" s="130">
        <f t="shared" si="35"/>
        <v>3951.92</v>
      </c>
      <c r="H96" s="128">
        <v>40.8018</v>
      </c>
      <c r="I96" s="129">
        <f>Perfils!$G$16</f>
        <v>62.77</v>
      </c>
      <c r="J96" s="130">
        <f t="shared" si="36"/>
        <v>2561.13</v>
      </c>
      <c r="K96" s="128">
        <v>47.695999999999998</v>
      </c>
      <c r="L96" s="129">
        <f>Perfils!$G$23</f>
        <v>62.77</v>
      </c>
      <c r="M96" s="130">
        <f t="shared" si="37"/>
        <v>2993.88</v>
      </c>
      <c r="N96" s="130">
        <v>0</v>
      </c>
      <c r="O96" s="128">
        <v>36.869500000000002</v>
      </c>
      <c r="P96" s="129">
        <f>Perfils!$G$30</f>
        <v>71.540000000000006</v>
      </c>
      <c r="Q96" s="130">
        <f t="shared" si="38"/>
        <v>2637.64</v>
      </c>
      <c r="R96" s="130">
        <f t="shared" si="40"/>
        <v>12144.57</v>
      </c>
      <c r="S96" s="119"/>
      <c r="T96" s="119"/>
      <c r="U96" s="119"/>
      <c r="W96" s="126">
        <f t="shared" si="41"/>
        <v>3951.92</v>
      </c>
      <c r="X96" s="126">
        <f t="shared" si="42"/>
        <v>2561.13</v>
      </c>
      <c r="Y96" s="126">
        <f t="shared" si="43"/>
        <v>2993.88</v>
      </c>
      <c r="Z96" s="145">
        <f t="shared" si="44"/>
        <v>0</v>
      </c>
      <c r="AA96" s="126">
        <f t="shared" si="45"/>
        <v>2637.64</v>
      </c>
      <c r="AB96" s="260"/>
      <c r="AC96" s="261"/>
      <c r="AD96" s="262"/>
      <c r="AE96" s="263"/>
      <c r="AF96" s="262"/>
      <c r="AG96" s="118"/>
      <c r="AH96" s="118"/>
      <c r="AI96" s="118"/>
    </row>
    <row r="97" spans="3:35" s="65" customFormat="1">
      <c r="C97" s="120" t="s">
        <v>155</v>
      </c>
      <c r="D97" s="120" t="s">
        <v>156</v>
      </c>
      <c r="E97" s="128">
        <v>68.441599999999994</v>
      </c>
      <c r="F97" s="129">
        <f>Perfils!$G$9</f>
        <v>62.77</v>
      </c>
      <c r="G97" s="130">
        <f t="shared" si="35"/>
        <v>4296.08</v>
      </c>
      <c r="H97" s="128">
        <v>39.206800000000001</v>
      </c>
      <c r="I97" s="129">
        <f>Perfils!$G$16</f>
        <v>62.77</v>
      </c>
      <c r="J97" s="130">
        <f t="shared" si="36"/>
        <v>2461.0100000000002</v>
      </c>
      <c r="K97" s="128">
        <v>25.665600000000001</v>
      </c>
      <c r="L97" s="129">
        <f>Perfils!$G$23</f>
        <v>62.77</v>
      </c>
      <c r="M97" s="130">
        <f t="shared" si="37"/>
        <v>1611.03</v>
      </c>
      <c r="N97" s="130">
        <v>0</v>
      </c>
      <c r="O97" s="128">
        <v>35.428199999999997</v>
      </c>
      <c r="P97" s="129">
        <f>Perfils!$G$30</f>
        <v>71.540000000000006</v>
      </c>
      <c r="Q97" s="130">
        <f t="shared" si="38"/>
        <v>2534.5300000000002</v>
      </c>
      <c r="R97" s="130">
        <f t="shared" si="40"/>
        <v>10902.650000000001</v>
      </c>
      <c r="S97" s="119"/>
      <c r="T97" s="119"/>
      <c r="U97" s="119"/>
      <c r="W97" s="126">
        <f t="shared" si="41"/>
        <v>4296.08</v>
      </c>
      <c r="X97" s="126">
        <f t="shared" si="42"/>
        <v>2461.0100000000002</v>
      </c>
      <c r="Y97" s="126">
        <f t="shared" si="43"/>
        <v>1611.03</v>
      </c>
      <c r="Z97" s="145">
        <f t="shared" si="44"/>
        <v>0</v>
      </c>
      <c r="AA97" s="126">
        <f t="shared" si="45"/>
        <v>2534.5300000000002</v>
      </c>
      <c r="AB97" s="260"/>
      <c r="AC97" s="261"/>
      <c r="AD97" s="262"/>
      <c r="AE97" s="263"/>
      <c r="AF97" s="262"/>
      <c r="AG97" s="118"/>
      <c r="AH97" s="118"/>
      <c r="AI97" s="118"/>
    </row>
    <row r="98" spans="3:35" s="65" customFormat="1">
      <c r="C98" s="120" t="s">
        <v>157</v>
      </c>
      <c r="D98" s="120" t="s">
        <v>158</v>
      </c>
      <c r="E98" s="128">
        <v>18.060600000000001</v>
      </c>
      <c r="F98" s="129">
        <f>Perfils!$G$9</f>
        <v>62.77</v>
      </c>
      <c r="G98" s="130">
        <f t="shared" si="35"/>
        <v>1133.6600000000001</v>
      </c>
      <c r="H98" s="128">
        <v>11.6166</v>
      </c>
      <c r="I98" s="129">
        <f>Perfils!$G$16</f>
        <v>62.77</v>
      </c>
      <c r="J98" s="130">
        <f t="shared" si="36"/>
        <v>729.17</v>
      </c>
      <c r="K98" s="128">
        <v>54.181899999999999</v>
      </c>
      <c r="L98" s="129">
        <f>Perfils!$G$23</f>
        <v>62.77</v>
      </c>
      <c r="M98" s="130">
        <f t="shared" si="37"/>
        <v>3401</v>
      </c>
      <c r="N98" s="130">
        <v>0</v>
      </c>
      <c r="O98" s="128">
        <v>10.497</v>
      </c>
      <c r="P98" s="129">
        <f>Perfils!$G$30</f>
        <v>71.540000000000006</v>
      </c>
      <c r="Q98" s="130">
        <f t="shared" si="38"/>
        <v>750.96</v>
      </c>
      <c r="R98" s="130">
        <f t="shared" si="40"/>
        <v>6014.79</v>
      </c>
      <c r="S98" s="119"/>
      <c r="T98" s="119"/>
      <c r="U98" s="119"/>
      <c r="W98" s="126">
        <f t="shared" si="41"/>
        <v>1133.6600000000001</v>
      </c>
      <c r="X98" s="126">
        <f t="shared" si="42"/>
        <v>729.17</v>
      </c>
      <c r="Y98" s="126">
        <f t="shared" si="43"/>
        <v>3401</v>
      </c>
      <c r="Z98" s="145">
        <f t="shared" si="44"/>
        <v>0</v>
      </c>
      <c r="AA98" s="126">
        <f t="shared" si="45"/>
        <v>750.96</v>
      </c>
      <c r="AB98" s="260"/>
      <c r="AC98" s="261"/>
      <c r="AD98" s="262"/>
      <c r="AE98" s="263"/>
      <c r="AF98" s="262"/>
      <c r="AG98" s="118"/>
      <c r="AH98" s="118"/>
      <c r="AI98" s="118"/>
    </row>
    <row r="99" spans="3:35" s="65" customFormat="1">
      <c r="C99" s="120" t="s">
        <v>159</v>
      </c>
      <c r="D99" s="120" t="s">
        <v>160</v>
      </c>
      <c r="E99" s="128">
        <v>17.760000000000002</v>
      </c>
      <c r="F99" s="129">
        <f>Perfils!$G$9</f>
        <v>62.77</v>
      </c>
      <c r="G99" s="130">
        <f t="shared" si="35"/>
        <v>1114.8</v>
      </c>
      <c r="H99" s="128">
        <v>10.1738</v>
      </c>
      <c r="I99" s="129">
        <f>Perfils!$G$16</f>
        <v>62.77</v>
      </c>
      <c r="J99" s="130">
        <f t="shared" si="36"/>
        <v>638.61</v>
      </c>
      <c r="K99" s="128">
        <v>6.66</v>
      </c>
      <c r="L99" s="129">
        <f>Perfils!$G$23</f>
        <v>62.77</v>
      </c>
      <c r="M99" s="130">
        <f t="shared" si="37"/>
        <v>418.05</v>
      </c>
      <c r="N99" s="130">
        <v>0</v>
      </c>
      <c r="O99" s="128">
        <v>9.1933000000000007</v>
      </c>
      <c r="P99" s="129">
        <f>Perfils!$G$30</f>
        <v>71.540000000000006</v>
      </c>
      <c r="Q99" s="130">
        <f t="shared" si="38"/>
        <v>657.69</v>
      </c>
      <c r="R99" s="130">
        <f t="shared" si="40"/>
        <v>2829.15</v>
      </c>
      <c r="S99" s="119"/>
      <c r="T99" s="119"/>
      <c r="U99" s="119"/>
      <c r="W99" s="126">
        <f t="shared" si="41"/>
        <v>1114.8</v>
      </c>
      <c r="X99" s="126">
        <f t="shared" si="42"/>
        <v>638.61</v>
      </c>
      <c r="Y99" s="126">
        <f t="shared" si="43"/>
        <v>418.05</v>
      </c>
      <c r="Z99" s="145">
        <f t="shared" si="44"/>
        <v>0</v>
      </c>
      <c r="AA99" s="126">
        <f t="shared" si="45"/>
        <v>657.69</v>
      </c>
      <c r="AB99" s="260"/>
      <c r="AC99" s="261"/>
      <c r="AD99" s="262"/>
      <c r="AE99" s="263"/>
      <c r="AF99" s="262"/>
      <c r="AG99" s="118"/>
      <c r="AH99" s="118"/>
      <c r="AI99" s="118"/>
    </row>
    <row r="100" spans="3:35" s="65" customFormat="1">
      <c r="C100" s="120" t="s">
        <v>161</v>
      </c>
      <c r="D100" s="120" t="s">
        <v>162</v>
      </c>
      <c r="E100" s="128">
        <v>653.51880000000006</v>
      </c>
      <c r="F100" s="129">
        <f>Perfils!$G$9</f>
        <v>62.77</v>
      </c>
      <c r="G100" s="130">
        <f t="shared" si="35"/>
        <v>41021.379999999997</v>
      </c>
      <c r="H100" s="128">
        <v>248.06620000000001</v>
      </c>
      <c r="I100" s="129">
        <f>Perfils!$G$16</f>
        <v>62.77</v>
      </c>
      <c r="J100" s="130">
        <f t="shared" si="36"/>
        <v>15571.12</v>
      </c>
      <c r="K100" s="128">
        <v>47.528599999999997</v>
      </c>
      <c r="L100" s="129">
        <f>Perfils!$G$23</f>
        <v>62.77</v>
      </c>
      <c r="M100" s="130">
        <f t="shared" si="37"/>
        <v>2983.37</v>
      </c>
      <c r="N100" s="130">
        <v>0</v>
      </c>
      <c r="O100" s="128">
        <v>224.1584</v>
      </c>
      <c r="P100" s="129">
        <f>Perfils!$G$30</f>
        <v>71.540000000000006</v>
      </c>
      <c r="Q100" s="130">
        <f t="shared" si="38"/>
        <v>16036.29</v>
      </c>
      <c r="R100" s="130">
        <f t="shared" si="40"/>
        <v>75612.160000000003</v>
      </c>
      <c r="S100" s="119"/>
      <c r="T100" s="119"/>
      <c r="U100" s="119"/>
      <c r="W100" s="126">
        <f t="shared" si="41"/>
        <v>41021.379999999997</v>
      </c>
      <c r="X100" s="126">
        <f t="shared" si="42"/>
        <v>15571.12</v>
      </c>
      <c r="Y100" s="126">
        <f t="shared" si="43"/>
        <v>2983.37</v>
      </c>
      <c r="Z100" s="145">
        <f t="shared" si="44"/>
        <v>0</v>
      </c>
      <c r="AA100" s="126">
        <f t="shared" si="45"/>
        <v>16036.29</v>
      </c>
      <c r="AB100" s="260"/>
      <c r="AC100" s="261"/>
      <c r="AD100" s="262"/>
      <c r="AE100" s="263"/>
      <c r="AF100" s="262"/>
      <c r="AG100" s="118"/>
      <c r="AH100" s="118"/>
      <c r="AI100" s="118"/>
    </row>
    <row r="101" spans="3:35" s="65" customFormat="1">
      <c r="C101" s="120" t="s">
        <v>163</v>
      </c>
      <c r="D101" s="120" t="s">
        <v>164</v>
      </c>
      <c r="E101" s="128">
        <v>1064.6400000000001</v>
      </c>
      <c r="F101" s="129">
        <f>Perfils!$G$9</f>
        <v>62.77</v>
      </c>
      <c r="G101" s="130">
        <f t="shared" si="35"/>
        <v>66827.45</v>
      </c>
      <c r="H101" s="128">
        <v>664.09050000000002</v>
      </c>
      <c r="I101" s="129">
        <f>Perfils!$G$16</f>
        <v>62.77</v>
      </c>
      <c r="J101" s="130">
        <f t="shared" si="36"/>
        <v>41684.959999999999</v>
      </c>
      <c r="K101" s="128">
        <v>292.77600000000001</v>
      </c>
      <c r="L101" s="129">
        <f>Perfils!$G$23</f>
        <v>62.77</v>
      </c>
      <c r="M101" s="130">
        <f t="shared" si="37"/>
        <v>18377.55</v>
      </c>
      <c r="N101" s="130">
        <v>0</v>
      </c>
      <c r="O101" s="128">
        <v>600.08770000000004</v>
      </c>
      <c r="P101" s="129">
        <f>Perfils!$G$30</f>
        <v>71.540000000000006</v>
      </c>
      <c r="Q101" s="130">
        <f t="shared" si="38"/>
        <v>42930.27</v>
      </c>
      <c r="R101" s="130">
        <f t="shared" si="40"/>
        <v>169820.23</v>
      </c>
      <c r="S101" s="119"/>
      <c r="T101" s="119"/>
      <c r="U101" s="119"/>
      <c r="W101" s="126">
        <f t="shared" si="41"/>
        <v>66827.45</v>
      </c>
      <c r="X101" s="126">
        <f t="shared" si="42"/>
        <v>41684.959999999999</v>
      </c>
      <c r="Y101" s="126">
        <f t="shared" si="43"/>
        <v>18377.55</v>
      </c>
      <c r="Z101" s="145">
        <f t="shared" si="44"/>
        <v>0</v>
      </c>
      <c r="AA101" s="126">
        <f t="shared" si="45"/>
        <v>42930.27</v>
      </c>
      <c r="AB101" s="260"/>
      <c r="AC101" s="261"/>
      <c r="AD101" s="262"/>
      <c r="AE101" s="263"/>
      <c r="AF101" s="262"/>
      <c r="AG101" s="118"/>
      <c r="AH101" s="118"/>
      <c r="AI101" s="118"/>
    </row>
    <row r="102" spans="3:35" s="65" customFormat="1">
      <c r="C102" s="120" t="s">
        <v>165</v>
      </c>
      <c r="D102" s="120" t="s">
        <v>166</v>
      </c>
      <c r="E102" s="128">
        <v>2308.8937000000001</v>
      </c>
      <c r="F102" s="129">
        <f>Perfils!$G$9</f>
        <v>62.77</v>
      </c>
      <c r="G102" s="130">
        <f t="shared" si="35"/>
        <v>144929.26</v>
      </c>
      <c r="H102" s="128">
        <v>1405.0913</v>
      </c>
      <c r="I102" s="129">
        <f>Perfils!$G$16</f>
        <v>62.77</v>
      </c>
      <c r="J102" s="130">
        <f t="shared" si="36"/>
        <v>88197.58</v>
      </c>
      <c r="K102" s="128">
        <v>563.14480000000003</v>
      </c>
      <c r="L102" s="129">
        <f>Perfils!$G$23</f>
        <v>62.77</v>
      </c>
      <c r="M102" s="130">
        <f t="shared" si="37"/>
        <v>35348.6</v>
      </c>
      <c r="N102" s="130">
        <v>0</v>
      </c>
      <c r="O102" s="128">
        <v>1269.6732999999999</v>
      </c>
      <c r="P102" s="129">
        <f>Perfils!$G$30</f>
        <v>71.540000000000006</v>
      </c>
      <c r="Q102" s="130">
        <f t="shared" si="38"/>
        <v>90832.43</v>
      </c>
      <c r="R102" s="130">
        <f t="shared" si="40"/>
        <v>359307.87</v>
      </c>
      <c r="S102" s="119"/>
      <c r="T102" s="119"/>
      <c r="U102" s="119"/>
      <c r="W102" s="126">
        <f t="shared" si="41"/>
        <v>144929.26</v>
      </c>
      <c r="X102" s="126">
        <f t="shared" si="42"/>
        <v>88197.58</v>
      </c>
      <c r="Y102" s="126">
        <f t="shared" si="43"/>
        <v>35348.6</v>
      </c>
      <c r="Z102" s="145">
        <f t="shared" si="44"/>
        <v>0</v>
      </c>
      <c r="AA102" s="126">
        <f t="shared" si="45"/>
        <v>90832.43</v>
      </c>
      <c r="AB102" s="260"/>
      <c r="AC102" s="261"/>
      <c r="AD102" s="262"/>
      <c r="AE102" s="263"/>
      <c r="AF102" s="262"/>
      <c r="AG102" s="118"/>
      <c r="AH102" s="118"/>
      <c r="AI102" s="118"/>
    </row>
    <row r="103" spans="3:35" s="65" customFormat="1">
      <c r="C103" s="120" t="s">
        <v>167</v>
      </c>
      <c r="D103" s="120" t="s">
        <v>168</v>
      </c>
      <c r="E103" s="128">
        <v>22.812799999999999</v>
      </c>
      <c r="F103" s="129">
        <f>Perfils!$G$9</f>
        <v>62.77</v>
      </c>
      <c r="G103" s="130">
        <f t="shared" si="35"/>
        <v>1431.96</v>
      </c>
      <c r="H103" s="128">
        <v>13.068300000000001</v>
      </c>
      <c r="I103" s="129">
        <f>Perfils!$G$16</f>
        <v>62.77</v>
      </c>
      <c r="J103" s="130">
        <f t="shared" si="36"/>
        <v>820.3</v>
      </c>
      <c r="K103" s="128">
        <v>8.5548000000000002</v>
      </c>
      <c r="L103" s="129">
        <f>Perfils!$G$23</f>
        <v>62.77</v>
      </c>
      <c r="M103" s="130">
        <f t="shared" si="37"/>
        <v>536.98</v>
      </c>
      <c r="N103" s="130">
        <v>0</v>
      </c>
      <c r="O103" s="128">
        <v>11.8088</v>
      </c>
      <c r="P103" s="129">
        <f>Perfils!$G$30</f>
        <v>71.540000000000006</v>
      </c>
      <c r="Q103" s="130">
        <f t="shared" si="38"/>
        <v>844.8</v>
      </c>
      <c r="R103" s="130">
        <f t="shared" si="40"/>
        <v>3634.04</v>
      </c>
      <c r="S103" s="119"/>
      <c r="T103" s="119"/>
      <c r="U103" s="119"/>
      <c r="W103" s="126">
        <f t="shared" si="41"/>
        <v>1431.96</v>
      </c>
      <c r="X103" s="126">
        <f t="shared" si="42"/>
        <v>820.3</v>
      </c>
      <c r="Y103" s="126">
        <f t="shared" si="43"/>
        <v>536.98</v>
      </c>
      <c r="Z103" s="145">
        <f t="shared" si="44"/>
        <v>0</v>
      </c>
      <c r="AA103" s="126">
        <f t="shared" si="45"/>
        <v>844.8</v>
      </c>
      <c r="AB103" s="260"/>
      <c r="AC103" s="261"/>
      <c r="AD103" s="262"/>
      <c r="AE103" s="263"/>
      <c r="AF103" s="262"/>
      <c r="AG103" s="118"/>
      <c r="AH103" s="118"/>
      <c r="AI103" s="118"/>
    </row>
    <row r="104" spans="3:35" s="65" customFormat="1">
      <c r="C104" s="120" t="s">
        <v>169</v>
      </c>
      <c r="D104" s="120" t="s">
        <v>214</v>
      </c>
      <c r="E104" s="128">
        <v>114.0685</v>
      </c>
      <c r="F104" s="129">
        <f>Perfils!$G$9</f>
        <v>62.77</v>
      </c>
      <c r="G104" s="130">
        <f t="shared" si="35"/>
        <v>7160.08</v>
      </c>
      <c r="H104" s="128">
        <v>573.57619999999997</v>
      </c>
      <c r="I104" s="129">
        <f>Perfils!$G$16</f>
        <v>62.77</v>
      </c>
      <c r="J104" s="130">
        <f t="shared" si="36"/>
        <v>36003.379999999997</v>
      </c>
      <c r="K104" s="128">
        <v>185.3613</v>
      </c>
      <c r="L104" s="129">
        <f>Perfils!$G$23</f>
        <v>62.77</v>
      </c>
      <c r="M104" s="130">
        <f t="shared" si="37"/>
        <v>11635.13</v>
      </c>
      <c r="N104" s="130">
        <v>68543.489520000003</v>
      </c>
      <c r="O104" s="128">
        <v>518.29690000000005</v>
      </c>
      <c r="P104" s="129">
        <f>Perfils!$G$30</f>
        <v>71.540000000000006</v>
      </c>
      <c r="Q104" s="130">
        <f t="shared" si="38"/>
        <v>37078.959999999999</v>
      </c>
      <c r="R104" s="130">
        <f t="shared" si="40"/>
        <v>160421.03951999999</v>
      </c>
      <c r="S104" s="119"/>
      <c r="T104" s="119"/>
      <c r="U104" s="119"/>
      <c r="W104" s="126">
        <f t="shared" si="41"/>
        <v>7160.08</v>
      </c>
      <c r="X104" s="126">
        <f t="shared" si="42"/>
        <v>36003.379999999997</v>
      </c>
      <c r="Y104" s="126">
        <f t="shared" si="43"/>
        <v>11635.13</v>
      </c>
      <c r="Z104" s="145">
        <f t="shared" si="44"/>
        <v>68543.489520000003</v>
      </c>
      <c r="AA104" s="126">
        <f t="shared" si="45"/>
        <v>37078.959999999999</v>
      </c>
      <c r="AB104" s="260"/>
      <c r="AC104" s="261"/>
      <c r="AD104" s="262"/>
      <c r="AE104" s="263"/>
      <c r="AF104" s="262"/>
      <c r="AG104" s="118"/>
      <c r="AH104" s="118"/>
      <c r="AI104" s="118"/>
    </row>
    <row r="105" spans="3:35" s="65" customFormat="1">
      <c r="C105" s="120" t="s">
        <v>170</v>
      </c>
      <c r="D105" s="120" t="s">
        <v>171</v>
      </c>
      <c r="E105" s="128">
        <v>136.8826</v>
      </c>
      <c r="F105" s="129">
        <f>Perfils!$G$9</f>
        <v>62.77</v>
      </c>
      <c r="G105" s="130">
        <f t="shared" si="35"/>
        <v>8592.1200000000008</v>
      </c>
      <c r="H105" s="128">
        <v>453.0539</v>
      </c>
      <c r="I105" s="129">
        <f>Perfils!$G$16</f>
        <v>62.77</v>
      </c>
      <c r="J105" s="130">
        <f t="shared" si="36"/>
        <v>28438.19</v>
      </c>
      <c r="K105" s="128">
        <v>114.0688</v>
      </c>
      <c r="L105" s="129">
        <f>Perfils!$G$23</f>
        <v>62.77</v>
      </c>
      <c r="M105" s="130">
        <f t="shared" si="37"/>
        <v>7160.1</v>
      </c>
      <c r="N105" s="130">
        <v>0</v>
      </c>
      <c r="O105" s="128">
        <v>409.39010000000002</v>
      </c>
      <c r="P105" s="129">
        <f>Perfils!$G$30</f>
        <v>71.540000000000006</v>
      </c>
      <c r="Q105" s="130">
        <f t="shared" si="38"/>
        <v>29287.77</v>
      </c>
      <c r="R105" s="130">
        <f t="shared" si="40"/>
        <v>73478.179999999993</v>
      </c>
      <c r="S105" s="119"/>
      <c r="T105" s="119"/>
      <c r="U105" s="119"/>
      <c r="W105" s="126">
        <f t="shared" si="41"/>
        <v>8592.1200000000008</v>
      </c>
      <c r="X105" s="126">
        <f t="shared" si="42"/>
        <v>28438.19</v>
      </c>
      <c r="Y105" s="126">
        <f t="shared" si="43"/>
        <v>7160.1</v>
      </c>
      <c r="Z105" s="145">
        <f t="shared" si="44"/>
        <v>0</v>
      </c>
      <c r="AA105" s="126">
        <f t="shared" si="45"/>
        <v>29287.77</v>
      </c>
      <c r="AB105" s="260"/>
      <c r="AC105" s="261"/>
      <c r="AD105" s="262"/>
      <c r="AE105" s="263"/>
      <c r="AF105" s="262"/>
      <c r="AG105" s="118"/>
      <c r="AH105" s="118"/>
      <c r="AI105" s="118"/>
    </row>
    <row r="106" spans="3:35" s="65" customFormat="1">
      <c r="C106" s="120" t="s">
        <v>172</v>
      </c>
      <c r="D106" s="120" t="s">
        <v>173</v>
      </c>
      <c r="E106" s="128">
        <v>124.8535</v>
      </c>
      <c r="F106" s="129">
        <f>Perfils!$G$9</f>
        <v>62.77</v>
      </c>
      <c r="G106" s="130">
        <f t="shared" si="35"/>
        <v>7837.05</v>
      </c>
      <c r="H106" s="128">
        <v>150.57320000000001</v>
      </c>
      <c r="I106" s="129">
        <f>Perfils!$G$16</f>
        <v>62.77</v>
      </c>
      <c r="J106" s="130">
        <f t="shared" si="36"/>
        <v>9451.48</v>
      </c>
      <c r="K106" s="128">
        <v>41.617800000000003</v>
      </c>
      <c r="L106" s="129">
        <f>Perfils!$G$23</f>
        <v>62.77</v>
      </c>
      <c r="M106" s="130">
        <f t="shared" si="37"/>
        <v>2612.35</v>
      </c>
      <c r="N106" s="130">
        <v>0</v>
      </c>
      <c r="O106" s="128">
        <v>57.468200000000003</v>
      </c>
      <c r="P106" s="129">
        <f>Perfils!$G$30</f>
        <v>71.540000000000006</v>
      </c>
      <c r="Q106" s="130">
        <f t="shared" si="38"/>
        <v>4111.28</v>
      </c>
      <c r="R106" s="130">
        <f t="shared" si="40"/>
        <v>24012.159999999996</v>
      </c>
      <c r="S106" s="119"/>
      <c r="T106" s="119"/>
      <c r="U106" s="119"/>
      <c r="W106" s="126">
        <f t="shared" si="41"/>
        <v>7837.05</v>
      </c>
      <c r="X106" s="126">
        <f t="shared" si="42"/>
        <v>9451.48</v>
      </c>
      <c r="Y106" s="126">
        <f t="shared" si="43"/>
        <v>2612.35</v>
      </c>
      <c r="Z106" s="145">
        <f t="shared" si="44"/>
        <v>0</v>
      </c>
      <c r="AA106" s="126">
        <f t="shared" si="45"/>
        <v>4111.28</v>
      </c>
      <c r="AB106" s="260"/>
      <c r="AC106" s="261"/>
      <c r="AD106" s="262"/>
      <c r="AE106" s="263"/>
      <c r="AF106" s="262"/>
      <c r="AG106" s="118"/>
      <c r="AH106" s="118"/>
      <c r="AI106" s="118"/>
    </row>
    <row r="107" spans="3:35" s="65" customFormat="1">
      <c r="C107" s="120" t="s">
        <v>174</v>
      </c>
      <c r="D107" s="120" t="s">
        <v>175</v>
      </c>
      <c r="E107" s="128">
        <v>93.075800000000001</v>
      </c>
      <c r="F107" s="129">
        <f>Perfils!$G$9</f>
        <v>62.77</v>
      </c>
      <c r="G107" s="130">
        <f t="shared" si="35"/>
        <v>5842.37</v>
      </c>
      <c r="H107" s="128">
        <v>20.8247</v>
      </c>
      <c r="I107" s="129">
        <f>Perfils!$G$16</f>
        <v>62.77</v>
      </c>
      <c r="J107" s="130">
        <f t="shared" si="36"/>
        <v>1307.17</v>
      </c>
      <c r="K107" s="128">
        <v>7.0511999999999997</v>
      </c>
      <c r="L107" s="129">
        <f>Perfils!$G$23</f>
        <v>62.77</v>
      </c>
      <c r="M107" s="130">
        <f t="shared" si="37"/>
        <v>442.6</v>
      </c>
      <c r="N107" s="130">
        <v>0</v>
      </c>
      <c r="O107" s="128">
        <v>18.817699999999999</v>
      </c>
      <c r="P107" s="129">
        <f>Perfils!$G$30</f>
        <v>71.540000000000006</v>
      </c>
      <c r="Q107" s="130">
        <f t="shared" si="38"/>
        <v>1346.22</v>
      </c>
      <c r="R107" s="130">
        <f t="shared" si="40"/>
        <v>8938.36</v>
      </c>
      <c r="S107" s="119"/>
      <c r="T107" s="119"/>
      <c r="U107" s="119"/>
      <c r="W107" s="126">
        <f t="shared" si="41"/>
        <v>5842.37</v>
      </c>
      <c r="X107" s="126">
        <f t="shared" si="42"/>
        <v>1307.17</v>
      </c>
      <c r="Y107" s="126">
        <f t="shared" si="43"/>
        <v>442.6</v>
      </c>
      <c r="Z107" s="145">
        <f t="shared" si="44"/>
        <v>0</v>
      </c>
      <c r="AA107" s="126">
        <f t="shared" si="45"/>
        <v>1346.22</v>
      </c>
      <c r="AB107" s="260"/>
      <c r="AC107" s="261"/>
      <c r="AD107" s="262"/>
      <c r="AE107" s="263"/>
      <c r="AF107" s="262"/>
      <c r="AG107" s="118"/>
      <c r="AH107" s="118"/>
      <c r="AI107" s="118"/>
    </row>
    <row r="108" spans="3:35" s="65" customFormat="1">
      <c r="C108" s="120" t="s">
        <v>176</v>
      </c>
      <c r="D108" s="120" t="s">
        <v>177</v>
      </c>
      <c r="E108" s="128">
        <v>199.24160000000001</v>
      </c>
      <c r="F108" s="129">
        <f>Perfils!$G$9</f>
        <v>62.77</v>
      </c>
      <c r="G108" s="130">
        <f t="shared" si="35"/>
        <v>12506.4</v>
      </c>
      <c r="H108" s="128">
        <v>48.977699999999999</v>
      </c>
      <c r="I108" s="129">
        <f>Perfils!$G$16</f>
        <v>62.77</v>
      </c>
      <c r="J108" s="130">
        <f t="shared" si="36"/>
        <v>3074.33</v>
      </c>
      <c r="K108" s="128">
        <v>48.092799999999997</v>
      </c>
      <c r="L108" s="129">
        <f>Perfils!$G$23</f>
        <v>62.77</v>
      </c>
      <c r="M108" s="130">
        <f t="shared" si="37"/>
        <v>3018.79</v>
      </c>
      <c r="N108" s="130">
        <v>0</v>
      </c>
      <c r="O108" s="128">
        <v>44.257399999999997</v>
      </c>
      <c r="P108" s="129">
        <f>Perfils!$G$30</f>
        <v>71.540000000000006</v>
      </c>
      <c r="Q108" s="130">
        <f t="shared" si="38"/>
        <v>3166.17</v>
      </c>
      <c r="R108" s="130">
        <f t="shared" si="40"/>
        <v>21765.690000000002</v>
      </c>
      <c r="S108" s="119"/>
      <c r="T108" s="119"/>
      <c r="U108" s="119"/>
      <c r="W108" s="126">
        <f t="shared" si="41"/>
        <v>12506.4</v>
      </c>
      <c r="X108" s="126">
        <f t="shared" si="42"/>
        <v>3074.33</v>
      </c>
      <c r="Y108" s="126">
        <f t="shared" si="43"/>
        <v>3018.79</v>
      </c>
      <c r="Z108" s="145">
        <f t="shared" si="44"/>
        <v>0</v>
      </c>
      <c r="AA108" s="126">
        <f t="shared" si="45"/>
        <v>3166.17</v>
      </c>
      <c r="AB108" s="260"/>
      <c r="AC108" s="261"/>
      <c r="AD108" s="262"/>
      <c r="AE108" s="263"/>
      <c r="AF108" s="262"/>
      <c r="AG108" s="118"/>
      <c r="AH108" s="118"/>
      <c r="AI108" s="118"/>
    </row>
    <row r="109" spans="3:35" s="65" customFormat="1">
      <c r="C109" s="120" t="s">
        <v>178</v>
      </c>
      <c r="D109" s="120" t="s">
        <v>179</v>
      </c>
      <c r="E109" s="128">
        <v>256.65550000000002</v>
      </c>
      <c r="F109" s="129">
        <f>Perfils!$G$9</f>
        <v>62.77</v>
      </c>
      <c r="G109" s="130">
        <f t="shared" si="35"/>
        <v>16110.27</v>
      </c>
      <c r="H109" s="128">
        <v>94.386499999999998</v>
      </c>
      <c r="I109" s="129">
        <f>Perfils!$G$16</f>
        <v>62.77</v>
      </c>
      <c r="J109" s="130">
        <f t="shared" si="36"/>
        <v>5924.64</v>
      </c>
      <c r="K109" s="128">
        <v>33.270200000000003</v>
      </c>
      <c r="L109" s="129">
        <f>Perfils!$G$23</f>
        <v>62.77</v>
      </c>
      <c r="M109" s="130">
        <f t="shared" si="37"/>
        <v>2088.37</v>
      </c>
      <c r="N109" s="130">
        <v>0</v>
      </c>
      <c r="O109" s="128">
        <v>85.2898</v>
      </c>
      <c r="P109" s="129">
        <f>Perfils!$G$30</f>
        <v>71.540000000000006</v>
      </c>
      <c r="Q109" s="130">
        <f t="shared" si="38"/>
        <v>6101.63</v>
      </c>
      <c r="R109" s="130">
        <f t="shared" si="40"/>
        <v>30224.91</v>
      </c>
      <c r="S109" s="119"/>
      <c r="T109" s="119"/>
      <c r="U109" s="119"/>
      <c r="W109" s="126">
        <f t="shared" si="41"/>
        <v>16110.27</v>
      </c>
      <c r="X109" s="126">
        <f t="shared" si="42"/>
        <v>5924.64</v>
      </c>
      <c r="Y109" s="126">
        <f t="shared" si="43"/>
        <v>2088.37</v>
      </c>
      <c r="Z109" s="145">
        <f t="shared" si="44"/>
        <v>0</v>
      </c>
      <c r="AA109" s="126">
        <f t="shared" si="45"/>
        <v>6101.63</v>
      </c>
      <c r="AB109" s="260"/>
      <c r="AC109" s="261"/>
      <c r="AD109" s="262"/>
      <c r="AE109" s="263"/>
      <c r="AF109" s="262"/>
      <c r="AG109" s="118"/>
      <c r="AH109" s="118"/>
      <c r="AI109" s="118"/>
    </row>
    <row r="110" spans="3:35" s="65" customFormat="1">
      <c r="C110" s="120" t="s">
        <v>180</v>
      </c>
      <c r="D110" s="120" t="s">
        <v>280</v>
      </c>
      <c r="E110" s="128">
        <v>0</v>
      </c>
      <c r="F110" s="129">
        <f>Perfils!$G$9</f>
        <v>62.77</v>
      </c>
      <c r="G110" s="130">
        <f t="shared" si="35"/>
        <v>0</v>
      </c>
      <c r="H110" s="128">
        <v>0</v>
      </c>
      <c r="I110" s="129">
        <f>Perfils!$G$16</f>
        <v>62.77</v>
      </c>
      <c r="J110" s="130">
        <f t="shared" si="36"/>
        <v>0</v>
      </c>
      <c r="K110" s="128">
        <v>2098.3235</v>
      </c>
      <c r="L110" s="129">
        <f>Perfils!$G$23</f>
        <v>62.77</v>
      </c>
      <c r="M110" s="130">
        <f t="shared" si="37"/>
        <v>131711.76999999999</v>
      </c>
      <c r="N110" s="130">
        <v>0</v>
      </c>
      <c r="O110" s="128">
        <v>18842.2533</v>
      </c>
      <c r="P110" s="129">
        <f>Perfils!$G$30</f>
        <v>71.540000000000006</v>
      </c>
      <c r="Q110" s="130">
        <f t="shared" si="38"/>
        <v>1347974.8</v>
      </c>
      <c r="R110" s="130">
        <f t="shared" si="40"/>
        <v>1479686.57</v>
      </c>
      <c r="S110" s="119"/>
      <c r="T110" s="119"/>
      <c r="U110" s="119"/>
      <c r="W110" s="126">
        <f t="shared" si="41"/>
        <v>0</v>
      </c>
      <c r="X110" s="126">
        <f t="shared" si="42"/>
        <v>0</v>
      </c>
      <c r="Y110" s="126">
        <f t="shared" si="43"/>
        <v>131711.76999999999</v>
      </c>
      <c r="Z110" s="145">
        <f t="shared" si="44"/>
        <v>0</v>
      </c>
      <c r="AA110" s="126">
        <f t="shared" si="45"/>
        <v>1347974.8</v>
      </c>
      <c r="AB110" s="260"/>
      <c r="AC110" s="261"/>
      <c r="AD110" s="262"/>
      <c r="AE110" s="263"/>
      <c r="AF110" s="262"/>
      <c r="AG110" s="220"/>
      <c r="AH110" s="118"/>
      <c r="AI110" s="118"/>
    </row>
    <row r="111" spans="3:35" s="65" customFormat="1">
      <c r="C111" s="120" t="s">
        <v>181</v>
      </c>
      <c r="D111" s="120" t="s">
        <v>182</v>
      </c>
      <c r="E111" s="128">
        <v>0</v>
      </c>
      <c r="F111" s="129">
        <f>Perfils!$G$9</f>
        <v>62.77</v>
      </c>
      <c r="G111" s="130">
        <f t="shared" si="35"/>
        <v>0</v>
      </c>
      <c r="H111" s="128">
        <v>0</v>
      </c>
      <c r="I111" s="129">
        <f>Perfils!$G$16</f>
        <v>62.77</v>
      </c>
      <c r="J111" s="130">
        <f t="shared" si="36"/>
        <v>0</v>
      </c>
      <c r="K111" s="128">
        <v>0</v>
      </c>
      <c r="L111" s="129">
        <f>Perfils!$G$23</f>
        <v>62.77</v>
      </c>
      <c r="M111" s="130">
        <f t="shared" si="37"/>
        <v>0</v>
      </c>
      <c r="N111" s="130">
        <v>56859.158288999999</v>
      </c>
      <c r="O111" s="128">
        <v>0</v>
      </c>
      <c r="P111" s="129">
        <f>Perfils!$G$30</f>
        <v>71.540000000000006</v>
      </c>
      <c r="Q111" s="130">
        <f t="shared" si="38"/>
        <v>0</v>
      </c>
      <c r="R111" s="130">
        <f t="shared" si="40"/>
        <v>56859.158288999999</v>
      </c>
      <c r="S111" s="119"/>
      <c r="T111" s="119"/>
      <c r="U111" s="119"/>
      <c r="W111" s="126">
        <f t="shared" si="41"/>
        <v>0</v>
      </c>
      <c r="X111" s="126">
        <f t="shared" si="42"/>
        <v>0</v>
      </c>
      <c r="Y111" s="126">
        <f t="shared" si="43"/>
        <v>0</v>
      </c>
      <c r="Z111" s="145">
        <f t="shared" si="44"/>
        <v>56859.158288999999</v>
      </c>
      <c r="AA111" s="126">
        <f t="shared" si="45"/>
        <v>0</v>
      </c>
      <c r="AB111" s="260"/>
      <c r="AC111" s="261"/>
      <c r="AD111" s="262"/>
      <c r="AE111" s="263"/>
      <c r="AF111" s="262"/>
      <c r="AG111" s="118"/>
      <c r="AH111" s="118"/>
      <c r="AI111" s="118"/>
    </row>
    <row r="112" spans="3:35" s="65" customFormat="1">
      <c r="C112" s="30" t="s">
        <v>294</v>
      </c>
      <c r="D112" s="30" t="s">
        <v>295</v>
      </c>
      <c r="E112" s="128">
        <v>0</v>
      </c>
      <c r="F112" s="129">
        <f>Perfils!$G$9</f>
        <v>62.77</v>
      </c>
      <c r="G112" s="130">
        <f t="shared" si="35"/>
        <v>0</v>
      </c>
      <c r="H112" s="128">
        <v>0</v>
      </c>
      <c r="I112" s="129">
        <f>Perfils!$G$16</f>
        <v>62.77</v>
      </c>
      <c r="J112" s="130">
        <f t="shared" si="36"/>
        <v>0</v>
      </c>
      <c r="K112" s="128">
        <v>0</v>
      </c>
      <c r="L112" s="129">
        <f>Perfils!$G$23</f>
        <v>62.77</v>
      </c>
      <c r="M112" s="130">
        <f t="shared" si="37"/>
        <v>0</v>
      </c>
      <c r="N112" s="130">
        <v>25119.599999999999</v>
      </c>
      <c r="O112" s="128">
        <v>0</v>
      </c>
      <c r="P112" s="129">
        <f>Perfils!$G$30</f>
        <v>71.540000000000006</v>
      </c>
      <c r="Q112" s="130">
        <f t="shared" si="38"/>
        <v>0</v>
      </c>
      <c r="R112" s="130">
        <f t="shared" si="40"/>
        <v>25119.599999999999</v>
      </c>
      <c r="S112" s="119"/>
      <c r="T112" s="119"/>
      <c r="U112" s="119"/>
      <c r="W112" s="126">
        <f t="shared" si="41"/>
        <v>0</v>
      </c>
      <c r="X112" s="126">
        <f t="shared" si="42"/>
        <v>0</v>
      </c>
      <c r="Y112" s="126">
        <f t="shared" si="43"/>
        <v>0</v>
      </c>
      <c r="Z112" s="145">
        <f t="shared" si="44"/>
        <v>25119.599999999999</v>
      </c>
      <c r="AA112" s="126">
        <f t="shared" si="45"/>
        <v>0</v>
      </c>
      <c r="AB112" s="260"/>
      <c r="AC112" s="261"/>
      <c r="AD112" s="262"/>
      <c r="AE112" s="263"/>
      <c r="AF112" s="262"/>
      <c r="AG112" s="118"/>
      <c r="AH112" s="118"/>
      <c r="AI112" s="118"/>
    </row>
    <row r="113" spans="3:35" s="65" customFormat="1">
      <c r="C113" s="120" t="s">
        <v>210</v>
      </c>
      <c r="D113" s="120" t="s">
        <v>183</v>
      </c>
      <c r="E113" s="128">
        <v>317.50319999999999</v>
      </c>
      <c r="F113" s="129">
        <f>Perfils!$G$9</f>
        <v>62.77</v>
      </c>
      <c r="G113" s="130">
        <f t="shared" si="35"/>
        <v>19929.68</v>
      </c>
      <c r="H113" s="128">
        <v>254.05699999999999</v>
      </c>
      <c r="I113" s="129">
        <f>Perfils!$G$16</f>
        <v>62.77</v>
      </c>
      <c r="J113" s="130">
        <f t="shared" si="36"/>
        <v>15947.16</v>
      </c>
      <c r="K113" s="128">
        <v>90.715199999999996</v>
      </c>
      <c r="L113" s="129">
        <f>Perfils!$G$23</f>
        <v>62.77</v>
      </c>
      <c r="M113" s="130">
        <f t="shared" si="37"/>
        <v>5694.19</v>
      </c>
      <c r="N113" s="130">
        <v>0</v>
      </c>
      <c r="O113" s="128">
        <v>229.5718</v>
      </c>
      <c r="P113" s="129">
        <f>Perfils!$G$30</f>
        <v>71.540000000000006</v>
      </c>
      <c r="Q113" s="130">
        <f t="shared" si="38"/>
        <v>16423.57</v>
      </c>
      <c r="R113" s="130">
        <f t="shared" si="40"/>
        <v>57994.6</v>
      </c>
      <c r="S113" s="119"/>
      <c r="T113" s="119"/>
      <c r="U113" s="119"/>
      <c r="W113" s="126">
        <f t="shared" si="41"/>
        <v>19929.68</v>
      </c>
      <c r="X113" s="126">
        <f t="shared" si="42"/>
        <v>15947.16</v>
      </c>
      <c r="Y113" s="126">
        <f t="shared" si="43"/>
        <v>5694.19</v>
      </c>
      <c r="Z113" s="145">
        <f t="shared" si="44"/>
        <v>0</v>
      </c>
      <c r="AA113" s="126">
        <f t="shared" si="45"/>
        <v>16423.57</v>
      </c>
      <c r="AB113" s="260"/>
      <c r="AC113" s="261"/>
      <c r="AD113" s="262"/>
      <c r="AE113" s="263"/>
      <c r="AF113" s="262"/>
      <c r="AG113" s="118"/>
      <c r="AH113" s="118"/>
      <c r="AI113" s="118"/>
    </row>
    <row r="114" spans="3:35" s="65" customFormat="1">
      <c r="C114" s="30" t="s">
        <v>213</v>
      </c>
      <c r="D114" s="120" t="s">
        <v>215</v>
      </c>
      <c r="E114" s="128">
        <v>266.15960000000001</v>
      </c>
      <c r="F114" s="129">
        <f>Perfils!$G$9</f>
        <v>62.77</v>
      </c>
      <c r="G114" s="130">
        <f t="shared" si="35"/>
        <v>16706.84</v>
      </c>
      <c r="H114" s="128">
        <v>232.33449999999999</v>
      </c>
      <c r="I114" s="129">
        <f>Perfils!$G$16</f>
        <v>62.77</v>
      </c>
      <c r="J114" s="130">
        <f t="shared" si="36"/>
        <v>14583.64</v>
      </c>
      <c r="K114" s="128">
        <v>38.022799999999997</v>
      </c>
      <c r="L114" s="129">
        <f>Perfils!$G$23</f>
        <v>62.77</v>
      </c>
      <c r="M114" s="130">
        <f t="shared" si="37"/>
        <v>2386.69</v>
      </c>
      <c r="N114" s="130">
        <v>0</v>
      </c>
      <c r="O114" s="128">
        <v>209.94290000000001</v>
      </c>
      <c r="P114" s="129">
        <f>Perfils!$G$30</f>
        <v>71.540000000000006</v>
      </c>
      <c r="Q114" s="130">
        <f t="shared" si="38"/>
        <v>15019.32</v>
      </c>
      <c r="R114" s="130">
        <f t="shared" si="40"/>
        <v>48696.49</v>
      </c>
      <c r="S114" s="119"/>
      <c r="T114" s="119"/>
      <c r="U114" s="119"/>
      <c r="W114" s="126">
        <f t="shared" si="41"/>
        <v>16706.84</v>
      </c>
      <c r="X114" s="126">
        <f t="shared" si="42"/>
        <v>14583.64</v>
      </c>
      <c r="Y114" s="126">
        <f t="shared" si="43"/>
        <v>2386.69</v>
      </c>
      <c r="Z114" s="145">
        <f t="shared" si="44"/>
        <v>0</v>
      </c>
      <c r="AA114" s="126">
        <f t="shared" si="45"/>
        <v>15019.32</v>
      </c>
      <c r="AB114" s="260"/>
      <c r="AC114" s="261"/>
      <c r="AD114" s="262"/>
      <c r="AE114" s="263"/>
      <c r="AF114" s="262"/>
      <c r="AG114" s="118"/>
      <c r="AH114" s="118"/>
      <c r="AI114" s="118"/>
    </row>
    <row r="115" spans="3:35" s="65" customFormat="1">
      <c r="C115" s="30" t="s">
        <v>211</v>
      </c>
      <c r="D115" s="30" t="s">
        <v>212</v>
      </c>
      <c r="E115" s="128">
        <v>74.143699999999995</v>
      </c>
      <c r="F115" s="129">
        <f>Perfils!$G$9</f>
        <v>62.77</v>
      </c>
      <c r="G115" s="130">
        <f t="shared" si="35"/>
        <v>4654</v>
      </c>
      <c r="H115" s="128">
        <v>97.289100000000005</v>
      </c>
      <c r="I115" s="129">
        <f>Perfils!$G$16</f>
        <v>62.77</v>
      </c>
      <c r="J115" s="130">
        <f t="shared" si="36"/>
        <v>6106.84</v>
      </c>
      <c r="K115" s="128">
        <v>19.9618</v>
      </c>
      <c r="L115" s="129">
        <f>Perfils!$G$23</f>
        <v>62.77</v>
      </c>
      <c r="M115" s="130">
        <f t="shared" si="37"/>
        <v>1253</v>
      </c>
      <c r="N115" s="130">
        <v>0</v>
      </c>
      <c r="O115" s="128">
        <v>87.912700000000001</v>
      </c>
      <c r="P115" s="129">
        <f>Perfils!$G$30</f>
        <v>71.540000000000006</v>
      </c>
      <c r="Q115" s="130">
        <f t="shared" si="38"/>
        <v>6289.27</v>
      </c>
      <c r="R115" s="130">
        <f t="shared" si="40"/>
        <v>18303.11</v>
      </c>
      <c r="S115" s="119"/>
      <c r="T115" s="119"/>
      <c r="U115" s="119"/>
      <c r="W115" s="126">
        <f t="shared" si="41"/>
        <v>4654</v>
      </c>
      <c r="X115" s="126">
        <f t="shared" si="42"/>
        <v>6106.84</v>
      </c>
      <c r="Y115" s="126">
        <f t="shared" si="43"/>
        <v>1253</v>
      </c>
      <c r="Z115" s="145">
        <f t="shared" si="44"/>
        <v>0</v>
      </c>
      <c r="AA115" s="126">
        <f t="shared" si="45"/>
        <v>6289.27</v>
      </c>
      <c r="AB115" s="260"/>
      <c r="AC115" s="261"/>
      <c r="AD115" s="262"/>
      <c r="AE115" s="263"/>
      <c r="AF115" s="262"/>
      <c r="AG115" s="118"/>
      <c r="AH115" s="118"/>
      <c r="AI115" s="118"/>
    </row>
    <row r="116" spans="3:35" s="65" customFormat="1">
      <c r="C116" s="120" t="s">
        <v>208</v>
      </c>
      <c r="D116" s="120" t="s">
        <v>209</v>
      </c>
      <c r="E116" s="128">
        <v>380.22730000000001</v>
      </c>
      <c r="F116" s="129">
        <f>Perfils!$G$9</f>
        <v>62.77</v>
      </c>
      <c r="G116" s="130">
        <f t="shared" si="35"/>
        <v>23866.87</v>
      </c>
      <c r="H116" s="128">
        <v>217.81319999999999</v>
      </c>
      <c r="I116" s="129">
        <f>Perfils!$G$16</f>
        <v>62.77</v>
      </c>
      <c r="J116" s="130">
        <f t="shared" si="36"/>
        <v>13672.13</v>
      </c>
      <c r="K116" s="128">
        <v>142.58519999999999</v>
      </c>
      <c r="L116" s="129">
        <f>Perfils!$G$23</f>
        <v>62.77</v>
      </c>
      <c r="M116" s="130">
        <f t="shared" si="37"/>
        <v>8950.07</v>
      </c>
      <c r="N116" s="130">
        <v>0</v>
      </c>
      <c r="O116" s="128">
        <v>196.8211</v>
      </c>
      <c r="P116" s="129">
        <f>Perfils!$G$30</f>
        <v>71.540000000000006</v>
      </c>
      <c r="Q116" s="130">
        <f t="shared" si="38"/>
        <v>14080.58</v>
      </c>
      <c r="R116" s="130">
        <f t="shared" si="40"/>
        <v>60569.65</v>
      </c>
      <c r="S116" s="119"/>
      <c r="T116" s="119"/>
      <c r="U116" s="119"/>
      <c r="W116" s="126">
        <f t="shared" si="41"/>
        <v>23866.87</v>
      </c>
      <c r="X116" s="126">
        <f t="shared" si="42"/>
        <v>13672.13</v>
      </c>
      <c r="Y116" s="126">
        <f t="shared" si="43"/>
        <v>8950.07</v>
      </c>
      <c r="Z116" s="145">
        <f t="shared" si="44"/>
        <v>0</v>
      </c>
      <c r="AA116" s="126">
        <f t="shared" si="45"/>
        <v>14080.58</v>
      </c>
      <c r="AB116" s="260"/>
      <c r="AC116" s="261"/>
      <c r="AD116" s="262"/>
      <c r="AE116" s="263"/>
      <c r="AF116" s="262"/>
      <c r="AG116" s="118"/>
      <c r="AH116" s="118"/>
      <c r="AI116" s="118"/>
    </row>
    <row r="117" spans="3:35" s="65" customFormat="1">
      <c r="C117" s="120" t="s">
        <v>221</v>
      </c>
      <c r="D117" s="120" t="s">
        <v>218</v>
      </c>
      <c r="E117" s="128">
        <v>456.27379999999999</v>
      </c>
      <c r="F117" s="129">
        <f>Perfils!$G$9</f>
        <v>62.77</v>
      </c>
      <c r="G117" s="130">
        <f t="shared" si="35"/>
        <v>28640.31</v>
      </c>
      <c r="H117" s="128">
        <v>261.37639999999999</v>
      </c>
      <c r="I117" s="129">
        <f>Perfils!$G$16</f>
        <v>62.77</v>
      </c>
      <c r="J117" s="130">
        <f t="shared" si="36"/>
        <v>16406.599999999999</v>
      </c>
      <c r="K117" s="128">
        <v>171.1027</v>
      </c>
      <c r="L117" s="129">
        <f>Perfils!$G$23</f>
        <v>62.77</v>
      </c>
      <c r="M117" s="130">
        <f t="shared" si="37"/>
        <v>10740.12</v>
      </c>
      <c r="N117" s="130">
        <v>0</v>
      </c>
      <c r="O117" s="128">
        <v>236.1858</v>
      </c>
      <c r="P117" s="129">
        <f>Perfils!$G$30</f>
        <v>71.540000000000006</v>
      </c>
      <c r="Q117" s="130">
        <f t="shared" si="38"/>
        <v>16896.73</v>
      </c>
      <c r="R117" s="130">
        <f t="shared" si="40"/>
        <v>72683.760000000009</v>
      </c>
      <c r="S117" s="119"/>
      <c r="T117" s="119"/>
      <c r="U117" s="119"/>
      <c r="W117" s="126">
        <f t="shared" si="41"/>
        <v>28640.31</v>
      </c>
      <c r="X117" s="126">
        <f t="shared" si="42"/>
        <v>16406.599999999999</v>
      </c>
      <c r="Y117" s="126">
        <f t="shared" si="43"/>
        <v>10740.12</v>
      </c>
      <c r="Z117" s="145">
        <f t="shared" si="44"/>
        <v>0</v>
      </c>
      <c r="AA117" s="126">
        <f t="shared" si="45"/>
        <v>16896.73</v>
      </c>
      <c r="AB117" s="260"/>
      <c r="AC117" s="261"/>
      <c r="AD117" s="262"/>
      <c r="AE117" s="263"/>
      <c r="AF117" s="262"/>
      <c r="AG117" s="118"/>
      <c r="AH117" s="118"/>
      <c r="AI117" s="118"/>
    </row>
    <row r="118" spans="3:35" s="65" customFormat="1">
      <c r="C118" s="120" t="s">
        <v>289</v>
      </c>
      <c r="D118" s="120" t="s">
        <v>290</v>
      </c>
      <c r="E118" s="128">
        <v>382.5095</v>
      </c>
      <c r="F118" s="129">
        <f>Perfils!$G$9</f>
        <v>62.77</v>
      </c>
      <c r="G118" s="130">
        <f t="shared" si="35"/>
        <v>24010.12</v>
      </c>
      <c r="H118" s="128">
        <v>219.1206</v>
      </c>
      <c r="I118" s="129">
        <f>Perfils!$G$16</f>
        <v>62.77</v>
      </c>
      <c r="J118" s="130">
        <f t="shared" si="36"/>
        <v>13754.2</v>
      </c>
      <c r="K118" s="128">
        <v>143.44110000000001</v>
      </c>
      <c r="L118" s="129">
        <f>Perfils!$G$23</f>
        <v>62.77</v>
      </c>
      <c r="M118" s="130">
        <f t="shared" si="37"/>
        <v>9003.7999999999993</v>
      </c>
      <c r="N118" s="130">
        <v>0</v>
      </c>
      <c r="O118" s="128">
        <v>198.0025</v>
      </c>
      <c r="P118" s="129">
        <f>Perfils!$G$30</f>
        <v>71.540000000000006</v>
      </c>
      <c r="Q118" s="130">
        <f t="shared" si="38"/>
        <v>14165.1</v>
      </c>
      <c r="R118" s="130">
        <f t="shared" ref="R118" si="46">G118+J118+M118+N118+Q118</f>
        <v>60933.219999999994</v>
      </c>
      <c r="S118" s="119"/>
      <c r="T118" s="119"/>
      <c r="U118" s="119"/>
      <c r="W118" s="126">
        <f t="shared" si="41"/>
        <v>24010.12</v>
      </c>
      <c r="X118" s="126">
        <f t="shared" si="42"/>
        <v>13754.2</v>
      </c>
      <c r="Y118" s="126">
        <f t="shared" si="43"/>
        <v>9003.7999999999993</v>
      </c>
      <c r="Z118" s="145">
        <f t="shared" si="44"/>
        <v>0</v>
      </c>
      <c r="AA118" s="126">
        <f t="shared" si="45"/>
        <v>14165.1</v>
      </c>
      <c r="AB118" s="260"/>
      <c r="AC118" s="261"/>
      <c r="AD118" s="262"/>
      <c r="AE118" s="263"/>
      <c r="AF118" s="262"/>
      <c r="AG118" s="118"/>
      <c r="AH118" s="118"/>
      <c r="AI118" s="118"/>
    </row>
    <row r="119" spans="3:35" s="65" customFormat="1">
      <c r="C119" s="120" t="s">
        <v>292</v>
      </c>
      <c r="D119" s="120" t="s">
        <v>293</v>
      </c>
      <c r="E119" s="128">
        <v>266.15969999999999</v>
      </c>
      <c r="F119" s="129">
        <f>Perfils!$G$9</f>
        <v>62.77</v>
      </c>
      <c r="G119" s="130">
        <f t="shared" si="35"/>
        <v>16706.84</v>
      </c>
      <c r="H119" s="128">
        <v>152.46960000000001</v>
      </c>
      <c r="I119" s="129">
        <f>Perfils!$G$16</f>
        <v>62.77</v>
      </c>
      <c r="J119" s="130">
        <f t="shared" si="36"/>
        <v>9570.52</v>
      </c>
      <c r="K119" s="128">
        <v>99.809899999999999</v>
      </c>
      <c r="L119" s="129">
        <f>Perfils!$G$23</f>
        <v>62.77</v>
      </c>
      <c r="M119" s="130">
        <f t="shared" si="37"/>
        <v>6265.07</v>
      </c>
      <c r="N119" s="130">
        <v>0</v>
      </c>
      <c r="O119" s="128">
        <v>137.77510000000001</v>
      </c>
      <c r="P119" s="129">
        <f>Perfils!$G$30</f>
        <v>71.540000000000006</v>
      </c>
      <c r="Q119" s="130">
        <f t="shared" si="38"/>
        <v>9856.43</v>
      </c>
      <c r="R119" s="130">
        <f t="shared" ref="R119" si="47">G119+J119+M119+N119+Q119</f>
        <v>42398.86</v>
      </c>
      <c r="S119" s="119"/>
      <c r="T119" s="119"/>
      <c r="U119" s="119"/>
      <c r="W119" s="126">
        <f t="shared" si="41"/>
        <v>16706.84</v>
      </c>
      <c r="X119" s="126">
        <f t="shared" si="42"/>
        <v>9570.52</v>
      </c>
      <c r="Y119" s="126">
        <f t="shared" si="43"/>
        <v>6265.07</v>
      </c>
      <c r="Z119" s="145">
        <f t="shared" si="44"/>
        <v>0</v>
      </c>
      <c r="AA119" s="126">
        <f t="shared" si="45"/>
        <v>9856.43</v>
      </c>
      <c r="AB119" s="260"/>
      <c r="AC119" s="261"/>
      <c r="AD119" s="262"/>
      <c r="AE119" s="263"/>
      <c r="AF119" s="262"/>
      <c r="AG119" s="118"/>
      <c r="AH119" s="118"/>
      <c r="AI119" s="118"/>
    </row>
    <row r="120" spans="3:35" s="65" customFormat="1">
      <c r="C120" s="120" t="s">
        <v>220</v>
      </c>
      <c r="D120" s="120" t="s">
        <v>219</v>
      </c>
      <c r="E120" s="128">
        <v>0</v>
      </c>
      <c r="F120" s="129">
        <f>Perfils!$G$9</f>
        <v>62.77</v>
      </c>
      <c r="G120" s="130">
        <f t="shared" si="35"/>
        <v>0</v>
      </c>
      <c r="H120" s="128">
        <v>0</v>
      </c>
      <c r="I120" s="129">
        <f>Perfils!$G$16</f>
        <v>62.77</v>
      </c>
      <c r="J120" s="130">
        <f t="shared" si="36"/>
        <v>0</v>
      </c>
      <c r="K120" s="128">
        <v>0</v>
      </c>
      <c r="L120" s="129">
        <f>Perfils!$G$23</f>
        <v>62.77</v>
      </c>
      <c r="M120" s="130">
        <f t="shared" si="37"/>
        <v>0</v>
      </c>
      <c r="N120" s="130">
        <v>0</v>
      </c>
      <c r="O120" s="128">
        <v>9914.6038000000008</v>
      </c>
      <c r="P120" s="129">
        <f>Perfils!$G$30</f>
        <v>71.540000000000006</v>
      </c>
      <c r="Q120" s="130">
        <f t="shared" si="38"/>
        <v>709290.76</v>
      </c>
      <c r="R120" s="130">
        <f t="shared" si="40"/>
        <v>709290.76</v>
      </c>
      <c r="S120" s="119"/>
      <c r="T120" s="119"/>
      <c r="U120" s="119"/>
      <c r="W120" s="126">
        <f t="shared" si="41"/>
        <v>0</v>
      </c>
      <c r="X120" s="126">
        <f t="shared" si="42"/>
        <v>0</v>
      </c>
      <c r="Y120" s="126">
        <f t="shared" si="43"/>
        <v>0</v>
      </c>
      <c r="Z120" s="145">
        <f t="shared" si="44"/>
        <v>0</v>
      </c>
      <c r="AA120" s="126">
        <f t="shared" si="45"/>
        <v>709290.76</v>
      </c>
      <c r="AB120" s="260"/>
      <c r="AC120" s="261"/>
      <c r="AD120" s="262"/>
      <c r="AE120" s="263"/>
      <c r="AF120" s="262"/>
      <c r="AG120" s="220"/>
      <c r="AH120" s="118"/>
      <c r="AI120" s="118"/>
    </row>
    <row r="121" spans="3:35" s="65" customFormat="1" ht="15.5">
      <c r="C121" s="67" t="s">
        <v>116</v>
      </c>
      <c r="D121" s="112"/>
      <c r="E121" s="131">
        <f>SUM(E90:E120)</f>
        <v>18095.603299999999</v>
      </c>
      <c r="F121" s="110"/>
      <c r="G121" s="143">
        <f>SUM(G90:G120)</f>
        <v>1135861.0400000005</v>
      </c>
      <c r="H121" s="131">
        <f>SUM(H90:H120)</f>
        <v>10595.467200000003</v>
      </c>
      <c r="I121" s="110"/>
      <c r="J121" s="143">
        <f>SUM(J90:J120)</f>
        <v>665077.47999999986</v>
      </c>
      <c r="K121" s="131">
        <f>SUM(K90:K120)</f>
        <v>6689.8591999999999</v>
      </c>
      <c r="L121" s="110"/>
      <c r="M121" s="143">
        <f>SUM(M90:M120)</f>
        <v>419922.47000000003</v>
      </c>
      <c r="N121" s="143">
        <f>SUM(N90:N120)</f>
        <v>150522.24780899999</v>
      </c>
      <c r="O121" s="131">
        <f>SUM(O90:O120)</f>
        <v>38192.9735</v>
      </c>
      <c r="P121" s="110"/>
      <c r="Q121" s="143">
        <f>SUM(Q90:Q120)</f>
        <v>2732325.3100000005</v>
      </c>
      <c r="R121" s="143">
        <f>SUM(R90:R120)</f>
        <v>5103708.5478090001</v>
      </c>
      <c r="S121" s="110"/>
      <c r="T121" s="110"/>
      <c r="U121" s="143"/>
      <c r="W121" s="143">
        <f t="shared" ref="W121:AA121" si="48">ROUND(SUM(W90:W120),2)</f>
        <v>1135861.04</v>
      </c>
      <c r="X121" s="143">
        <f t="shared" si="48"/>
        <v>665077.48</v>
      </c>
      <c r="Y121" s="143">
        <f t="shared" si="48"/>
        <v>419922.47</v>
      </c>
      <c r="Z121" s="143">
        <f t="shared" si="48"/>
        <v>150522.25</v>
      </c>
      <c r="AA121" s="143">
        <f t="shared" si="48"/>
        <v>2732325.31</v>
      </c>
      <c r="AB121" s="265"/>
      <c r="AC121" s="265"/>
      <c r="AD121" s="266"/>
      <c r="AE121" s="266"/>
      <c r="AF121" s="118"/>
      <c r="AG121" s="118"/>
      <c r="AH121" s="118"/>
      <c r="AI121" s="118"/>
    </row>
    <row r="122" spans="3:35">
      <c r="F122" s="60"/>
      <c r="V122" s="61"/>
      <c r="X122" s="71"/>
      <c r="Y122" s="61"/>
      <c r="AA122" s="60"/>
      <c r="AC122" s="61"/>
      <c r="AD122" s="61"/>
      <c r="AE122" s="61"/>
      <c r="AF122" s="61"/>
      <c r="AG122" s="61"/>
      <c r="AH122" s="61"/>
      <c r="AI122" s="61"/>
    </row>
    <row r="123" spans="3:35">
      <c r="F123" s="60"/>
      <c r="V123" s="61"/>
      <c r="W123" s="74">
        <v>46753</v>
      </c>
      <c r="X123" s="71"/>
      <c r="Y123" s="61"/>
      <c r="AA123" s="60"/>
      <c r="AC123" s="61"/>
      <c r="AD123" s="61"/>
      <c r="AE123" s="61"/>
      <c r="AF123" s="61"/>
      <c r="AG123" s="61"/>
      <c r="AH123" s="61"/>
      <c r="AI123" s="61"/>
    </row>
    <row r="124" spans="3:35">
      <c r="C124" s="60"/>
      <c r="F124" s="60"/>
      <c r="V124" s="61"/>
      <c r="W124" s="74">
        <v>47118</v>
      </c>
      <c r="Y124" s="61"/>
      <c r="AA124" s="60"/>
      <c r="AC124" s="61"/>
      <c r="AD124" s="61"/>
      <c r="AE124" s="61"/>
      <c r="AF124" s="61"/>
      <c r="AG124" s="61"/>
      <c r="AH124" s="61"/>
      <c r="AI124" s="61"/>
    </row>
    <row r="125" spans="3:35">
      <c r="C125" s="65" t="s">
        <v>204</v>
      </c>
      <c r="F125" s="60"/>
      <c r="V125" s="61"/>
      <c r="W125" s="74" t="s">
        <v>226</v>
      </c>
      <c r="X125" s="71"/>
      <c r="Y125" s="61"/>
      <c r="AA125" s="60"/>
      <c r="AC125" s="61"/>
      <c r="AD125" s="61"/>
      <c r="AE125" s="61"/>
      <c r="AF125" s="61"/>
      <c r="AG125" s="61"/>
      <c r="AH125" s="61"/>
      <c r="AI125" s="61"/>
    </row>
    <row r="126" spans="3:35" s="65" customFormat="1" ht="54" customHeight="1">
      <c r="C126" s="67" t="s">
        <v>0</v>
      </c>
      <c r="D126" s="67" t="s">
        <v>123</v>
      </c>
      <c r="E126" s="68" t="s">
        <v>120</v>
      </c>
      <c r="F126" s="68" t="s">
        <v>108</v>
      </c>
      <c r="G126" s="68" t="s">
        <v>2</v>
      </c>
      <c r="H126" s="68" t="s">
        <v>124</v>
      </c>
      <c r="I126" s="68" t="s">
        <v>108</v>
      </c>
      <c r="J126" s="68" t="s">
        <v>15</v>
      </c>
      <c r="K126" s="68" t="s">
        <v>136</v>
      </c>
      <c r="L126" s="68" t="s">
        <v>108</v>
      </c>
      <c r="M126" s="68" t="s">
        <v>137</v>
      </c>
      <c r="N126" s="68" t="s">
        <v>130</v>
      </c>
      <c r="O126" s="68" t="s">
        <v>396</v>
      </c>
      <c r="P126" s="68" t="s">
        <v>108</v>
      </c>
      <c r="Q126" s="68" t="s">
        <v>206</v>
      </c>
      <c r="R126" s="68" t="s">
        <v>207</v>
      </c>
      <c r="S126" s="67" t="s">
        <v>125</v>
      </c>
      <c r="T126" s="67" t="s">
        <v>122</v>
      </c>
      <c r="U126" s="67" t="s">
        <v>189</v>
      </c>
      <c r="W126" s="68" t="s">
        <v>2</v>
      </c>
      <c r="X126" s="68" t="s">
        <v>15</v>
      </c>
      <c r="Y126" s="68" t="s">
        <v>137</v>
      </c>
      <c r="Z126" s="68" t="s">
        <v>130</v>
      </c>
      <c r="AA126" s="68" t="s">
        <v>223</v>
      </c>
      <c r="AB126" s="258"/>
      <c r="AC126" s="258"/>
      <c r="AD126" s="259"/>
      <c r="AE126" s="259"/>
      <c r="AF126" s="259"/>
      <c r="AG126" s="118"/>
      <c r="AH126" s="118"/>
      <c r="AI126" s="118"/>
    </row>
    <row r="127" spans="3:35" s="65" customFormat="1">
      <c r="C127" s="120" t="s">
        <v>143</v>
      </c>
      <c r="D127" s="120" t="s">
        <v>144</v>
      </c>
      <c r="E127" s="128">
        <v>1303.7132999999999</v>
      </c>
      <c r="F127" s="129">
        <f>Perfils!$G$9</f>
        <v>62.77</v>
      </c>
      <c r="G127" s="130">
        <f t="shared" ref="G127:G157" si="49">ROUND(E127*F127,2)</f>
        <v>81834.080000000002</v>
      </c>
      <c r="H127" s="128">
        <v>1016.5214999999999</v>
      </c>
      <c r="I127" s="129">
        <f>Perfils!$G$16</f>
        <v>62.77</v>
      </c>
      <c r="J127" s="130">
        <f t="shared" ref="J127:J157" si="50">ROUND(H127*I127,2)</f>
        <v>63807.05</v>
      </c>
      <c r="K127" s="128">
        <v>774.07979999999998</v>
      </c>
      <c r="L127" s="129">
        <f>Perfils!$G$23</f>
        <v>62.77</v>
      </c>
      <c r="M127" s="130">
        <f t="shared" ref="M127:M157" si="51">ROUND(K127*L127,2)</f>
        <v>48588.99</v>
      </c>
      <c r="N127" s="130">
        <v>0</v>
      </c>
      <c r="O127" s="128">
        <v>918.55259999999998</v>
      </c>
      <c r="P127" s="129">
        <f>Perfils!$G$30</f>
        <v>71.540000000000006</v>
      </c>
      <c r="Q127" s="130">
        <f t="shared" ref="Q127:Q157" si="52">ROUND(O127*P127,2)</f>
        <v>65713.25</v>
      </c>
      <c r="R127" s="130">
        <f>G127+J127+M127+N127+Q127</f>
        <v>259943.37</v>
      </c>
      <c r="S127" s="119"/>
      <c r="T127" s="119"/>
      <c r="U127" s="119"/>
      <c r="W127" s="126">
        <f>ROUND(G127*($W$124-MAX($W$123,$T90))/365,2)</f>
        <v>81834.080000000002</v>
      </c>
      <c r="X127" s="126">
        <f>ROUND(J127*($W$124-MAX($W$123,$T127))/365,2)</f>
        <v>63807.05</v>
      </c>
      <c r="Y127" s="126">
        <f>ROUND(M127*($W$124-MAX($W$123,$T127))/365,2)</f>
        <v>48588.99</v>
      </c>
      <c r="Z127" s="145">
        <f t="shared" ref="Z127" si="53">N127</f>
        <v>0</v>
      </c>
      <c r="AA127" s="126">
        <f>ROUND(Q127*($W$124-MAX($W$123,$T127))/365,2)</f>
        <v>65713.25</v>
      </c>
      <c r="AB127" s="260"/>
      <c r="AC127" s="261"/>
      <c r="AD127" s="262"/>
      <c r="AE127" s="263"/>
      <c r="AF127" s="262"/>
      <c r="AG127" s="118"/>
      <c r="AH127" s="118"/>
      <c r="AI127" s="118"/>
    </row>
    <row r="128" spans="3:35" s="65" customFormat="1">
      <c r="C128" s="120" t="s">
        <v>145</v>
      </c>
      <c r="D128" s="120" t="s">
        <v>146</v>
      </c>
      <c r="E128" s="128">
        <f>4624.5024+0.0002</f>
        <v>4624.5026000000007</v>
      </c>
      <c r="F128" s="129">
        <f>Perfils!$G$9</f>
        <v>62.77</v>
      </c>
      <c r="G128" s="130">
        <f t="shared" si="49"/>
        <v>290280.03000000003</v>
      </c>
      <c r="H128" s="128">
        <f>1448.6908+0.0003</f>
        <v>1448.6911</v>
      </c>
      <c r="I128" s="129">
        <f>Perfils!$G$16</f>
        <v>62.77</v>
      </c>
      <c r="J128" s="130">
        <f t="shared" si="50"/>
        <v>90934.34</v>
      </c>
      <c r="K128" s="128">
        <f>385.3752+0.0002</f>
        <v>385.37540000000001</v>
      </c>
      <c r="L128" s="129">
        <f>Perfils!$G$23</f>
        <v>62.77</v>
      </c>
      <c r="M128" s="130">
        <f t="shared" si="51"/>
        <v>24190.01</v>
      </c>
      <c r="N128" s="130">
        <v>0</v>
      </c>
      <c r="O128" s="128">
        <f>1175.3874</f>
        <v>1175.3874000000001</v>
      </c>
      <c r="P128" s="129">
        <f>Perfils!$G$30</f>
        <v>71.540000000000006</v>
      </c>
      <c r="Q128" s="130">
        <f t="shared" si="52"/>
        <v>84087.21</v>
      </c>
      <c r="R128" s="130">
        <f t="shared" ref="R128:R157" si="54">G128+J128+M128+N128+Q128</f>
        <v>489491.59</v>
      </c>
      <c r="S128" s="119"/>
      <c r="T128" s="119"/>
      <c r="U128" s="119"/>
      <c r="W128" s="126">
        <f t="shared" ref="W128:W157" si="55">ROUND(G128*($W$124-MAX($W$123,$T91))/365,2)</f>
        <v>290280.03000000003</v>
      </c>
      <c r="X128" s="126">
        <f t="shared" ref="X128:X157" si="56">ROUND(J128*($W$124-MAX($W$123,$T128))/365,2)</f>
        <v>90934.34</v>
      </c>
      <c r="Y128" s="126">
        <f t="shared" ref="Y128:Y157" si="57">ROUND(M128*($W$124-MAX($W$123,$T128))/365,2)</f>
        <v>24190.01</v>
      </c>
      <c r="Z128" s="145">
        <f t="shared" ref="Z128:Z157" si="58">N128</f>
        <v>0</v>
      </c>
      <c r="AA128" s="126">
        <f t="shared" ref="AA128:AA157" si="59">ROUND(Q128*($W$124-MAX($W$123,$T128))/365,2)</f>
        <v>84087.21</v>
      </c>
      <c r="AB128" s="260"/>
      <c r="AC128" s="261"/>
      <c r="AD128" s="262"/>
      <c r="AE128" s="263"/>
      <c r="AF128" s="262"/>
      <c r="AG128" s="118"/>
      <c r="AH128" s="118"/>
      <c r="AI128" s="118"/>
    </row>
    <row r="129" spans="3:35" s="65" customFormat="1">
      <c r="C129" s="120" t="s">
        <v>147</v>
      </c>
      <c r="D129" s="120" t="s">
        <v>148</v>
      </c>
      <c r="E129" s="128">
        <v>83.770600000000002</v>
      </c>
      <c r="F129" s="129">
        <f>Perfils!$G$9</f>
        <v>62.77</v>
      </c>
      <c r="G129" s="130">
        <f t="shared" si="49"/>
        <v>5258.28</v>
      </c>
      <c r="H129" s="128">
        <v>132.29400000000001</v>
      </c>
      <c r="I129" s="129">
        <f>Perfils!$G$16</f>
        <v>62.77</v>
      </c>
      <c r="J129" s="130">
        <f t="shared" si="50"/>
        <v>8304.09</v>
      </c>
      <c r="K129" s="128">
        <v>25.997800000000002</v>
      </c>
      <c r="L129" s="129">
        <f>Perfils!$G$23</f>
        <v>62.77</v>
      </c>
      <c r="M129" s="130">
        <f t="shared" si="51"/>
        <v>1631.88</v>
      </c>
      <c r="N129" s="130">
        <v>0</v>
      </c>
      <c r="O129" s="128">
        <v>43.8765</v>
      </c>
      <c r="P129" s="129">
        <f>Perfils!$G$30</f>
        <v>71.540000000000006</v>
      </c>
      <c r="Q129" s="130">
        <f t="shared" si="52"/>
        <v>3138.92</v>
      </c>
      <c r="R129" s="130">
        <f t="shared" si="54"/>
        <v>18333.169999999998</v>
      </c>
      <c r="S129" s="119"/>
      <c r="T129" s="119"/>
      <c r="U129" s="119"/>
      <c r="W129" s="126">
        <f t="shared" si="55"/>
        <v>5258.28</v>
      </c>
      <c r="X129" s="126">
        <f t="shared" si="56"/>
        <v>8304.09</v>
      </c>
      <c r="Y129" s="126">
        <f t="shared" si="57"/>
        <v>1631.88</v>
      </c>
      <c r="Z129" s="145">
        <f t="shared" si="58"/>
        <v>0</v>
      </c>
      <c r="AA129" s="126">
        <f t="shared" si="59"/>
        <v>3138.92</v>
      </c>
      <c r="AB129" s="260"/>
      <c r="AC129" s="261"/>
      <c r="AD129" s="262"/>
      <c r="AE129" s="263"/>
      <c r="AF129" s="262"/>
      <c r="AG129" s="118"/>
      <c r="AH129" s="118"/>
      <c r="AI129" s="118"/>
    </row>
    <row r="130" spans="3:35" s="65" customFormat="1">
      <c r="C130" s="120" t="s">
        <v>149</v>
      </c>
      <c r="D130" s="120" t="s">
        <v>216</v>
      </c>
      <c r="E130" s="128">
        <v>944.45590000000004</v>
      </c>
      <c r="F130" s="129">
        <f>Perfils!$G$9</f>
        <v>62.77</v>
      </c>
      <c r="G130" s="130">
        <f t="shared" si="49"/>
        <v>59283.5</v>
      </c>
      <c r="H130" s="128">
        <v>1395.2963</v>
      </c>
      <c r="I130" s="129">
        <f>Perfils!$G$16</f>
        <v>62.77</v>
      </c>
      <c r="J130" s="130">
        <f t="shared" si="50"/>
        <v>87582.75</v>
      </c>
      <c r="K130" s="128">
        <v>213.26419999999999</v>
      </c>
      <c r="L130" s="129">
        <f>Perfils!$G$23</f>
        <v>62.77</v>
      </c>
      <c r="M130" s="130">
        <f t="shared" si="51"/>
        <v>13386.59</v>
      </c>
      <c r="N130" s="130">
        <v>0</v>
      </c>
      <c r="O130" s="128">
        <v>462.76459999999997</v>
      </c>
      <c r="P130" s="129">
        <f>Perfils!$G$30</f>
        <v>71.540000000000006</v>
      </c>
      <c r="Q130" s="130">
        <f t="shared" si="52"/>
        <v>33106.18</v>
      </c>
      <c r="R130" s="130">
        <f t="shared" si="54"/>
        <v>193359.02</v>
      </c>
      <c r="S130" s="119"/>
      <c r="T130" s="119"/>
      <c r="U130" s="119"/>
      <c r="W130" s="126">
        <f t="shared" si="55"/>
        <v>59283.5</v>
      </c>
      <c r="X130" s="126">
        <f t="shared" si="56"/>
        <v>87582.75</v>
      </c>
      <c r="Y130" s="126">
        <f t="shared" si="57"/>
        <v>13386.59</v>
      </c>
      <c r="Z130" s="145">
        <f t="shared" si="58"/>
        <v>0</v>
      </c>
      <c r="AA130" s="126">
        <f t="shared" si="59"/>
        <v>33106.18</v>
      </c>
      <c r="AB130" s="260"/>
      <c r="AC130" s="261"/>
      <c r="AD130" s="262"/>
      <c r="AE130" s="263"/>
      <c r="AF130" s="262"/>
      <c r="AG130" s="118"/>
      <c r="AH130" s="118"/>
      <c r="AI130" s="118"/>
    </row>
    <row r="131" spans="3:35" s="65" customFormat="1">
      <c r="C131" s="120" t="s">
        <v>150</v>
      </c>
      <c r="D131" s="120" t="s">
        <v>217</v>
      </c>
      <c r="E131" s="128">
        <v>3456.2458000000001</v>
      </c>
      <c r="F131" s="129">
        <f>Perfils!$G$9</f>
        <v>62.77</v>
      </c>
      <c r="G131" s="130">
        <f t="shared" si="49"/>
        <v>216948.55</v>
      </c>
      <c r="H131" s="128">
        <v>1242.6717000000001</v>
      </c>
      <c r="I131" s="129">
        <f>Perfils!$G$16</f>
        <v>62.77</v>
      </c>
      <c r="J131" s="130">
        <f t="shared" si="50"/>
        <v>78002.5</v>
      </c>
      <c r="K131" s="128">
        <v>942.61249999999995</v>
      </c>
      <c r="L131" s="129">
        <f>Perfils!$G$23</f>
        <v>62.77</v>
      </c>
      <c r="M131" s="130">
        <f t="shared" si="51"/>
        <v>59167.79</v>
      </c>
      <c r="N131" s="130">
        <v>0</v>
      </c>
      <c r="O131" s="128">
        <v>2070.7139999999999</v>
      </c>
      <c r="P131" s="129">
        <f>Perfils!$G$30</f>
        <v>71.540000000000006</v>
      </c>
      <c r="Q131" s="130">
        <f t="shared" si="52"/>
        <v>148138.88</v>
      </c>
      <c r="R131" s="130">
        <f t="shared" si="54"/>
        <v>502257.72</v>
      </c>
      <c r="S131" s="119"/>
      <c r="T131" s="119"/>
      <c r="U131" s="119"/>
      <c r="W131" s="126">
        <f t="shared" si="55"/>
        <v>216948.55</v>
      </c>
      <c r="X131" s="126">
        <f t="shared" si="56"/>
        <v>78002.5</v>
      </c>
      <c r="Y131" s="126">
        <f t="shared" si="57"/>
        <v>59167.79</v>
      </c>
      <c r="Z131" s="145">
        <f t="shared" si="58"/>
        <v>0</v>
      </c>
      <c r="AA131" s="126">
        <f t="shared" si="59"/>
        <v>148138.88</v>
      </c>
      <c r="AB131" s="260"/>
      <c r="AC131" s="261"/>
      <c r="AD131" s="262"/>
      <c r="AE131" s="263"/>
      <c r="AF131" s="262"/>
      <c r="AG131" s="118"/>
      <c r="AH131" s="118"/>
      <c r="AI131" s="118"/>
    </row>
    <row r="132" spans="3:35" s="65" customFormat="1">
      <c r="C132" s="120" t="s">
        <v>151</v>
      </c>
      <c r="D132" s="120" t="s">
        <v>152</v>
      </c>
      <c r="E132" s="128">
        <v>398.07459999999998</v>
      </c>
      <c r="F132" s="129">
        <f>Perfils!$G$9</f>
        <v>62.77</v>
      </c>
      <c r="G132" s="130">
        <f t="shared" si="49"/>
        <v>24987.14</v>
      </c>
      <c r="H132" s="128">
        <v>152.0247</v>
      </c>
      <c r="I132" s="129">
        <f>Perfils!$G$16</f>
        <v>62.77</v>
      </c>
      <c r="J132" s="130">
        <f t="shared" si="50"/>
        <v>9542.59</v>
      </c>
      <c r="K132" s="128">
        <v>68.897499999999994</v>
      </c>
      <c r="L132" s="129">
        <f>Perfils!$G$23</f>
        <v>62.77</v>
      </c>
      <c r="M132" s="130">
        <f t="shared" si="51"/>
        <v>4324.7</v>
      </c>
      <c r="N132" s="130">
        <v>0</v>
      </c>
      <c r="O132" s="128">
        <v>137.37299999999999</v>
      </c>
      <c r="P132" s="129">
        <f>Perfils!$G$30</f>
        <v>71.540000000000006</v>
      </c>
      <c r="Q132" s="130">
        <f t="shared" si="52"/>
        <v>9827.66</v>
      </c>
      <c r="R132" s="130">
        <f t="shared" si="54"/>
        <v>48682.09</v>
      </c>
      <c r="S132" s="119"/>
      <c r="T132" s="119"/>
      <c r="U132" s="119"/>
      <c r="W132" s="126">
        <f t="shared" si="55"/>
        <v>24987.14</v>
      </c>
      <c r="X132" s="126">
        <f t="shared" si="56"/>
        <v>9542.59</v>
      </c>
      <c r="Y132" s="126">
        <f t="shared" si="57"/>
        <v>4324.7</v>
      </c>
      <c r="Z132" s="145">
        <f t="shared" si="58"/>
        <v>0</v>
      </c>
      <c r="AA132" s="126">
        <f t="shared" si="59"/>
        <v>9827.66</v>
      </c>
      <c r="AB132" s="260"/>
      <c r="AC132" s="261"/>
      <c r="AD132" s="262"/>
      <c r="AE132" s="263"/>
      <c r="AF132" s="262"/>
      <c r="AG132" s="118"/>
      <c r="AH132" s="118"/>
      <c r="AI132" s="118"/>
    </row>
    <row r="133" spans="3:35" s="65" customFormat="1">
      <c r="C133" s="120" t="s">
        <v>153</v>
      </c>
      <c r="D133" s="120" t="s">
        <v>154</v>
      </c>
      <c r="E133" s="128">
        <v>62.9587</v>
      </c>
      <c r="F133" s="129">
        <f>Perfils!$G$9</f>
        <v>62.77</v>
      </c>
      <c r="G133" s="130">
        <f t="shared" si="49"/>
        <v>3951.92</v>
      </c>
      <c r="H133" s="128">
        <v>40.8018</v>
      </c>
      <c r="I133" s="129">
        <f>Perfils!$G$16</f>
        <v>62.77</v>
      </c>
      <c r="J133" s="130">
        <f t="shared" si="50"/>
        <v>2561.13</v>
      </c>
      <c r="K133" s="128">
        <v>47.695999999999998</v>
      </c>
      <c r="L133" s="129">
        <f>Perfils!$G$23</f>
        <v>62.77</v>
      </c>
      <c r="M133" s="130">
        <f t="shared" si="51"/>
        <v>2993.88</v>
      </c>
      <c r="N133" s="130">
        <v>0</v>
      </c>
      <c r="O133" s="128">
        <v>36.869500000000002</v>
      </c>
      <c r="P133" s="129">
        <f>Perfils!$G$30</f>
        <v>71.540000000000006</v>
      </c>
      <c r="Q133" s="130">
        <f t="shared" si="52"/>
        <v>2637.64</v>
      </c>
      <c r="R133" s="130">
        <f t="shared" si="54"/>
        <v>12144.57</v>
      </c>
      <c r="S133" s="119"/>
      <c r="T133" s="119"/>
      <c r="U133" s="119"/>
      <c r="W133" s="126">
        <f t="shared" si="55"/>
        <v>3951.92</v>
      </c>
      <c r="X133" s="126">
        <f t="shared" si="56"/>
        <v>2561.13</v>
      </c>
      <c r="Y133" s="126">
        <f t="shared" si="57"/>
        <v>2993.88</v>
      </c>
      <c r="Z133" s="145">
        <f t="shared" si="58"/>
        <v>0</v>
      </c>
      <c r="AA133" s="126">
        <f t="shared" si="59"/>
        <v>2637.64</v>
      </c>
      <c r="AB133" s="260"/>
      <c r="AC133" s="261"/>
      <c r="AD133" s="262"/>
      <c r="AE133" s="263"/>
      <c r="AF133" s="262"/>
      <c r="AG133" s="118"/>
      <c r="AH133" s="118"/>
      <c r="AI133" s="118"/>
    </row>
    <row r="134" spans="3:35" s="65" customFormat="1">
      <c r="C134" s="120" t="s">
        <v>155</v>
      </c>
      <c r="D134" s="120" t="s">
        <v>156</v>
      </c>
      <c r="E134" s="128">
        <v>68.441599999999994</v>
      </c>
      <c r="F134" s="129">
        <f>Perfils!$G$9</f>
        <v>62.77</v>
      </c>
      <c r="G134" s="130">
        <f t="shared" si="49"/>
        <v>4296.08</v>
      </c>
      <c r="H134" s="128">
        <v>39.206800000000001</v>
      </c>
      <c r="I134" s="129">
        <f>Perfils!$G$16</f>
        <v>62.77</v>
      </c>
      <c r="J134" s="130">
        <f t="shared" si="50"/>
        <v>2461.0100000000002</v>
      </c>
      <c r="K134" s="128">
        <v>25.665600000000001</v>
      </c>
      <c r="L134" s="129">
        <f>Perfils!$G$23</f>
        <v>62.77</v>
      </c>
      <c r="M134" s="130">
        <f t="shared" si="51"/>
        <v>1611.03</v>
      </c>
      <c r="N134" s="130">
        <v>0</v>
      </c>
      <c r="O134" s="128">
        <v>35.428199999999997</v>
      </c>
      <c r="P134" s="129">
        <f>Perfils!$G$30</f>
        <v>71.540000000000006</v>
      </c>
      <c r="Q134" s="130">
        <f t="shared" si="52"/>
        <v>2534.5300000000002</v>
      </c>
      <c r="R134" s="130">
        <f t="shared" si="54"/>
        <v>10902.650000000001</v>
      </c>
      <c r="S134" s="119"/>
      <c r="T134" s="119"/>
      <c r="U134" s="119"/>
      <c r="W134" s="126">
        <f t="shared" si="55"/>
        <v>4296.08</v>
      </c>
      <c r="X134" s="126">
        <f t="shared" si="56"/>
        <v>2461.0100000000002</v>
      </c>
      <c r="Y134" s="126">
        <f t="shared" si="57"/>
        <v>1611.03</v>
      </c>
      <c r="Z134" s="145">
        <f t="shared" si="58"/>
        <v>0</v>
      </c>
      <c r="AA134" s="126">
        <f t="shared" si="59"/>
        <v>2534.5300000000002</v>
      </c>
      <c r="AB134" s="260"/>
      <c r="AC134" s="261"/>
      <c r="AD134" s="262"/>
      <c r="AE134" s="263"/>
      <c r="AF134" s="262"/>
      <c r="AG134" s="118"/>
      <c r="AH134" s="118"/>
      <c r="AI134" s="118"/>
    </row>
    <row r="135" spans="3:35" s="65" customFormat="1">
      <c r="C135" s="120" t="s">
        <v>157</v>
      </c>
      <c r="D135" s="120" t="s">
        <v>158</v>
      </c>
      <c r="E135" s="128">
        <v>18.060600000000001</v>
      </c>
      <c r="F135" s="129">
        <f>Perfils!$G$9</f>
        <v>62.77</v>
      </c>
      <c r="G135" s="130">
        <f t="shared" si="49"/>
        <v>1133.6600000000001</v>
      </c>
      <c r="H135" s="128">
        <v>11.6166</v>
      </c>
      <c r="I135" s="129">
        <f>Perfils!$G$16</f>
        <v>62.77</v>
      </c>
      <c r="J135" s="130">
        <f t="shared" si="50"/>
        <v>729.17</v>
      </c>
      <c r="K135" s="128">
        <v>54.181899999999999</v>
      </c>
      <c r="L135" s="129">
        <f>Perfils!$G$23</f>
        <v>62.77</v>
      </c>
      <c r="M135" s="130">
        <f t="shared" si="51"/>
        <v>3401</v>
      </c>
      <c r="N135" s="130">
        <v>0</v>
      </c>
      <c r="O135" s="128">
        <v>10.497</v>
      </c>
      <c r="P135" s="129">
        <f>Perfils!$G$30</f>
        <v>71.540000000000006</v>
      </c>
      <c r="Q135" s="130">
        <f t="shared" si="52"/>
        <v>750.96</v>
      </c>
      <c r="R135" s="130">
        <f t="shared" si="54"/>
        <v>6014.79</v>
      </c>
      <c r="S135" s="119"/>
      <c r="T135" s="119"/>
      <c r="U135" s="119"/>
      <c r="W135" s="126">
        <f t="shared" si="55"/>
        <v>1133.6600000000001</v>
      </c>
      <c r="X135" s="126">
        <f t="shared" si="56"/>
        <v>729.17</v>
      </c>
      <c r="Y135" s="126">
        <f t="shared" si="57"/>
        <v>3401</v>
      </c>
      <c r="Z135" s="145">
        <f t="shared" si="58"/>
        <v>0</v>
      </c>
      <c r="AA135" s="126">
        <f t="shared" si="59"/>
        <v>750.96</v>
      </c>
      <c r="AB135" s="260"/>
      <c r="AC135" s="261"/>
      <c r="AD135" s="262"/>
      <c r="AE135" s="263"/>
      <c r="AF135" s="262"/>
      <c r="AG135" s="118"/>
      <c r="AH135" s="118"/>
      <c r="AI135" s="118"/>
    </row>
    <row r="136" spans="3:35" s="65" customFormat="1">
      <c r="C136" s="120" t="s">
        <v>159</v>
      </c>
      <c r="D136" s="120" t="s">
        <v>160</v>
      </c>
      <c r="E136" s="128">
        <v>17.760000000000002</v>
      </c>
      <c r="F136" s="129">
        <f>Perfils!$G$9</f>
        <v>62.77</v>
      </c>
      <c r="G136" s="130">
        <f t="shared" si="49"/>
        <v>1114.8</v>
      </c>
      <c r="H136" s="128">
        <v>10.1738</v>
      </c>
      <c r="I136" s="129">
        <f>Perfils!$G$16</f>
        <v>62.77</v>
      </c>
      <c r="J136" s="130">
        <f t="shared" si="50"/>
        <v>638.61</v>
      </c>
      <c r="K136" s="128">
        <v>6.66</v>
      </c>
      <c r="L136" s="129">
        <f>Perfils!$G$23</f>
        <v>62.77</v>
      </c>
      <c r="M136" s="130">
        <f t="shared" si="51"/>
        <v>418.05</v>
      </c>
      <c r="N136" s="130">
        <v>0</v>
      </c>
      <c r="O136" s="128">
        <v>9.1933000000000007</v>
      </c>
      <c r="P136" s="129">
        <f>Perfils!$G$30</f>
        <v>71.540000000000006</v>
      </c>
      <c r="Q136" s="130">
        <f t="shared" si="52"/>
        <v>657.69</v>
      </c>
      <c r="R136" s="130">
        <f t="shared" si="54"/>
        <v>2829.15</v>
      </c>
      <c r="S136" s="119"/>
      <c r="T136" s="119"/>
      <c r="U136" s="119"/>
      <c r="W136" s="126">
        <f t="shared" si="55"/>
        <v>1114.8</v>
      </c>
      <c r="X136" s="126">
        <f t="shared" si="56"/>
        <v>638.61</v>
      </c>
      <c r="Y136" s="126">
        <f t="shared" si="57"/>
        <v>418.05</v>
      </c>
      <c r="Z136" s="145">
        <f t="shared" si="58"/>
        <v>0</v>
      </c>
      <c r="AA136" s="126">
        <f t="shared" si="59"/>
        <v>657.69</v>
      </c>
      <c r="AB136" s="260"/>
      <c r="AC136" s="261"/>
      <c r="AD136" s="262"/>
      <c r="AE136" s="263"/>
      <c r="AF136" s="262"/>
      <c r="AG136" s="118"/>
      <c r="AH136" s="118"/>
      <c r="AI136" s="118"/>
    </row>
    <row r="137" spans="3:35" s="65" customFormat="1">
      <c r="C137" s="120" t="s">
        <v>161</v>
      </c>
      <c r="D137" s="120" t="s">
        <v>162</v>
      </c>
      <c r="E137" s="128">
        <v>653.51880000000006</v>
      </c>
      <c r="F137" s="129">
        <f>Perfils!$G$9</f>
        <v>62.77</v>
      </c>
      <c r="G137" s="130">
        <f t="shared" si="49"/>
        <v>41021.379999999997</v>
      </c>
      <c r="H137" s="128">
        <v>248.06620000000001</v>
      </c>
      <c r="I137" s="129">
        <f>Perfils!$G$16</f>
        <v>62.77</v>
      </c>
      <c r="J137" s="130">
        <f t="shared" si="50"/>
        <v>15571.12</v>
      </c>
      <c r="K137" s="128">
        <v>47.528599999999997</v>
      </c>
      <c r="L137" s="129">
        <f>Perfils!$G$23</f>
        <v>62.77</v>
      </c>
      <c r="M137" s="130">
        <f t="shared" si="51"/>
        <v>2983.37</v>
      </c>
      <c r="N137" s="130">
        <v>0</v>
      </c>
      <c r="O137" s="128">
        <v>224.1584</v>
      </c>
      <c r="P137" s="129">
        <f>Perfils!$G$30</f>
        <v>71.540000000000006</v>
      </c>
      <c r="Q137" s="130">
        <f t="shared" si="52"/>
        <v>16036.29</v>
      </c>
      <c r="R137" s="130">
        <f t="shared" si="54"/>
        <v>75612.160000000003</v>
      </c>
      <c r="S137" s="119"/>
      <c r="T137" s="119"/>
      <c r="U137" s="119"/>
      <c r="W137" s="126">
        <f t="shared" si="55"/>
        <v>41021.379999999997</v>
      </c>
      <c r="X137" s="126">
        <f t="shared" si="56"/>
        <v>15571.12</v>
      </c>
      <c r="Y137" s="126">
        <f t="shared" si="57"/>
        <v>2983.37</v>
      </c>
      <c r="Z137" s="145">
        <f t="shared" si="58"/>
        <v>0</v>
      </c>
      <c r="AA137" s="126">
        <f t="shared" si="59"/>
        <v>16036.29</v>
      </c>
      <c r="AB137" s="260"/>
      <c r="AC137" s="261"/>
      <c r="AD137" s="262"/>
      <c r="AE137" s="263"/>
      <c r="AF137" s="262"/>
      <c r="AG137" s="118"/>
      <c r="AH137" s="118"/>
      <c r="AI137" s="118"/>
    </row>
    <row r="138" spans="3:35" s="65" customFormat="1">
      <c r="C138" s="120" t="s">
        <v>163</v>
      </c>
      <c r="D138" s="120" t="s">
        <v>164</v>
      </c>
      <c r="E138" s="128">
        <v>1064.6400000000001</v>
      </c>
      <c r="F138" s="129">
        <f>Perfils!$G$9</f>
        <v>62.77</v>
      </c>
      <c r="G138" s="130">
        <f t="shared" si="49"/>
        <v>66827.45</v>
      </c>
      <c r="H138" s="128">
        <v>664.09050000000002</v>
      </c>
      <c r="I138" s="129">
        <f>Perfils!$G$16</f>
        <v>62.77</v>
      </c>
      <c r="J138" s="130">
        <f t="shared" si="50"/>
        <v>41684.959999999999</v>
      </c>
      <c r="K138" s="128">
        <v>292.77600000000001</v>
      </c>
      <c r="L138" s="129">
        <f>Perfils!$G$23</f>
        <v>62.77</v>
      </c>
      <c r="M138" s="130">
        <f t="shared" si="51"/>
        <v>18377.55</v>
      </c>
      <c r="N138" s="130">
        <v>0</v>
      </c>
      <c r="O138" s="128">
        <v>600.08770000000004</v>
      </c>
      <c r="P138" s="129">
        <f>Perfils!$G$30</f>
        <v>71.540000000000006</v>
      </c>
      <c r="Q138" s="130">
        <f t="shared" si="52"/>
        <v>42930.27</v>
      </c>
      <c r="R138" s="130">
        <f t="shared" si="54"/>
        <v>169820.23</v>
      </c>
      <c r="S138" s="119"/>
      <c r="T138" s="119"/>
      <c r="U138" s="119"/>
      <c r="W138" s="126">
        <f t="shared" si="55"/>
        <v>66827.45</v>
      </c>
      <c r="X138" s="126">
        <f t="shared" si="56"/>
        <v>41684.959999999999</v>
      </c>
      <c r="Y138" s="126">
        <f t="shared" si="57"/>
        <v>18377.55</v>
      </c>
      <c r="Z138" s="145">
        <f t="shared" si="58"/>
        <v>0</v>
      </c>
      <c r="AA138" s="126">
        <f t="shared" si="59"/>
        <v>42930.27</v>
      </c>
      <c r="AB138" s="260"/>
      <c r="AC138" s="261"/>
      <c r="AD138" s="262"/>
      <c r="AE138" s="263"/>
      <c r="AF138" s="262"/>
      <c r="AG138" s="118"/>
      <c r="AH138" s="118"/>
      <c r="AI138" s="118"/>
    </row>
    <row r="139" spans="3:35" s="65" customFormat="1">
      <c r="C139" s="120" t="s">
        <v>165</v>
      </c>
      <c r="D139" s="120" t="s">
        <v>166</v>
      </c>
      <c r="E139" s="128">
        <v>2308.8937000000001</v>
      </c>
      <c r="F139" s="129">
        <f>Perfils!$G$9</f>
        <v>62.77</v>
      </c>
      <c r="G139" s="130">
        <f t="shared" si="49"/>
        <v>144929.26</v>
      </c>
      <c r="H139" s="128">
        <v>1405.0913</v>
      </c>
      <c r="I139" s="129">
        <f>Perfils!$G$16</f>
        <v>62.77</v>
      </c>
      <c r="J139" s="130">
        <f t="shared" si="50"/>
        <v>88197.58</v>
      </c>
      <c r="K139" s="128">
        <v>563.14480000000003</v>
      </c>
      <c r="L139" s="129">
        <f>Perfils!$G$23</f>
        <v>62.77</v>
      </c>
      <c r="M139" s="130">
        <f t="shared" si="51"/>
        <v>35348.6</v>
      </c>
      <c r="N139" s="130">
        <v>0</v>
      </c>
      <c r="O139" s="128">
        <v>1269.6732999999999</v>
      </c>
      <c r="P139" s="129">
        <f>Perfils!$G$30</f>
        <v>71.540000000000006</v>
      </c>
      <c r="Q139" s="130">
        <f t="shared" si="52"/>
        <v>90832.43</v>
      </c>
      <c r="R139" s="130">
        <f t="shared" si="54"/>
        <v>359307.87</v>
      </c>
      <c r="S139" s="119"/>
      <c r="T139" s="119"/>
      <c r="U139" s="119"/>
      <c r="W139" s="126">
        <f t="shared" si="55"/>
        <v>144929.26</v>
      </c>
      <c r="X139" s="126">
        <f t="shared" si="56"/>
        <v>88197.58</v>
      </c>
      <c r="Y139" s="126">
        <f t="shared" si="57"/>
        <v>35348.6</v>
      </c>
      <c r="Z139" s="145">
        <f t="shared" si="58"/>
        <v>0</v>
      </c>
      <c r="AA139" s="126">
        <f t="shared" si="59"/>
        <v>90832.43</v>
      </c>
      <c r="AB139" s="260"/>
      <c r="AC139" s="261"/>
      <c r="AD139" s="262"/>
      <c r="AE139" s="263"/>
      <c r="AF139" s="262"/>
      <c r="AG139" s="118"/>
      <c r="AH139" s="118"/>
      <c r="AI139" s="118"/>
    </row>
    <row r="140" spans="3:35" s="65" customFormat="1">
      <c r="C140" s="120" t="s">
        <v>167</v>
      </c>
      <c r="D140" s="120" t="s">
        <v>168</v>
      </c>
      <c r="E140" s="128">
        <v>22.812799999999999</v>
      </c>
      <c r="F140" s="129">
        <f>Perfils!$G$9</f>
        <v>62.77</v>
      </c>
      <c r="G140" s="130">
        <f t="shared" si="49"/>
        <v>1431.96</v>
      </c>
      <c r="H140" s="128">
        <v>13.068300000000001</v>
      </c>
      <c r="I140" s="129">
        <f>Perfils!$G$16</f>
        <v>62.77</v>
      </c>
      <c r="J140" s="130">
        <f t="shared" si="50"/>
        <v>820.3</v>
      </c>
      <c r="K140" s="128">
        <v>8.5548000000000002</v>
      </c>
      <c r="L140" s="129">
        <f>Perfils!$G$23</f>
        <v>62.77</v>
      </c>
      <c r="M140" s="130">
        <f t="shared" si="51"/>
        <v>536.98</v>
      </c>
      <c r="N140" s="130">
        <v>0</v>
      </c>
      <c r="O140" s="128">
        <v>11.8088</v>
      </c>
      <c r="P140" s="129">
        <f>Perfils!$G$30</f>
        <v>71.540000000000006</v>
      </c>
      <c r="Q140" s="130">
        <f t="shared" si="52"/>
        <v>844.8</v>
      </c>
      <c r="R140" s="130">
        <f t="shared" si="54"/>
        <v>3634.04</v>
      </c>
      <c r="S140" s="119"/>
      <c r="T140" s="119"/>
      <c r="U140" s="119"/>
      <c r="W140" s="126">
        <f t="shared" si="55"/>
        <v>1431.96</v>
      </c>
      <c r="X140" s="126">
        <f t="shared" si="56"/>
        <v>820.3</v>
      </c>
      <c r="Y140" s="126">
        <f t="shared" si="57"/>
        <v>536.98</v>
      </c>
      <c r="Z140" s="145">
        <f t="shared" si="58"/>
        <v>0</v>
      </c>
      <c r="AA140" s="126">
        <f t="shared" si="59"/>
        <v>844.8</v>
      </c>
      <c r="AB140" s="260"/>
      <c r="AC140" s="261"/>
      <c r="AD140" s="262"/>
      <c r="AE140" s="263"/>
      <c r="AF140" s="262"/>
      <c r="AG140" s="118"/>
      <c r="AH140" s="118"/>
      <c r="AI140" s="118"/>
    </row>
    <row r="141" spans="3:35" s="65" customFormat="1">
      <c r="C141" s="120" t="s">
        <v>169</v>
      </c>
      <c r="D141" s="120" t="s">
        <v>214</v>
      </c>
      <c r="E141" s="128">
        <v>114.0685</v>
      </c>
      <c r="F141" s="129">
        <f>Perfils!$G$9</f>
        <v>62.77</v>
      </c>
      <c r="G141" s="130">
        <f t="shared" si="49"/>
        <v>7160.08</v>
      </c>
      <c r="H141" s="128">
        <v>573.57619999999997</v>
      </c>
      <c r="I141" s="129">
        <f>Perfils!$G$16</f>
        <v>62.77</v>
      </c>
      <c r="J141" s="130">
        <f t="shared" si="50"/>
        <v>36003.379999999997</v>
      </c>
      <c r="K141" s="128">
        <v>185.3613</v>
      </c>
      <c r="L141" s="129">
        <f>Perfils!$G$23</f>
        <v>62.77</v>
      </c>
      <c r="M141" s="130">
        <f t="shared" si="51"/>
        <v>11635.13</v>
      </c>
      <c r="N141" s="130">
        <v>68543.489520000003</v>
      </c>
      <c r="O141" s="128">
        <v>518.29690000000005</v>
      </c>
      <c r="P141" s="129">
        <f>Perfils!$G$30</f>
        <v>71.540000000000006</v>
      </c>
      <c r="Q141" s="130">
        <f t="shared" si="52"/>
        <v>37078.959999999999</v>
      </c>
      <c r="R141" s="130">
        <f t="shared" si="54"/>
        <v>160421.03951999999</v>
      </c>
      <c r="S141" s="119"/>
      <c r="T141" s="119"/>
      <c r="U141" s="119"/>
      <c r="W141" s="126">
        <f t="shared" si="55"/>
        <v>7160.08</v>
      </c>
      <c r="X141" s="126">
        <f t="shared" si="56"/>
        <v>36003.379999999997</v>
      </c>
      <c r="Y141" s="126">
        <f t="shared" si="57"/>
        <v>11635.13</v>
      </c>
      <c r="Z141" s="145">
        <f t="shared" si="58"/>
        <v>68543.489520000003</v>
      </c>
      <c r="AA141" s="126">
        <f t="shared" si="59"/>
        <v>37078.959999999999</v>
      </c>
      <c r="AB141" s="260"/>
      <c r="AC141" s="261"/>
      <c r="AD141" s="262"/>
      <c r="AE141" s="263"/>
      <c r="AF141" s="262"/>
      <c r="AG141" s="118"/>
      <c r="AH141" s="118"/>
      <c r="AI141" s="118"/>
    </row>
    <row r="142" spans="3:35" s="65" customFormat="1">
      <c r="C142" s="120" t="s">
        <v>170</v>
      </c>
      <c r="D142" s="120" t="s">
        <v>171</v>
      </c>
      <c r="E142" s="128">
        <v>136.8826</v>
      </c>
      <c r="F142" s="129">
        <f>Perfils!$G$9</f>
        <v>62.77</v>
      </c>
      <c r="G142" s="130">
        <f t="shared" si="49"/>
        <v>8592.1200000000008</v>
      </c>
      <c r="H142" s="128">
        <v>453.0539</v>
      </c>
      <c r="I142" s="129">
        <f>Perfils!$G$16</f>
        <v>62.77</v>
      </c>
      <c r="J142" s="130">
        <f t="shared" si="50"/>
        <v>28438.19</v>
      </c>
      <c r="K142" s="128">
        <v>114.0688</v>
      </c>
      <c r="L142" s="129">
        <f>Perfils!$G$23</f>
        <v>62.77</v>
      </c>
      <c r="M142" s="130">
        <f t="shared" si="51"/>
        <v>7160.1</v>
      </c>
      <c r="N142" s="130">
        <v>0</v>
      </c>
      <c r="O142" s="128">
        <v>409.39010000000002</v>
      </c>
      <c r="P142" s="129">
        <f>Perfils!$G$30</f>
        <v>71.540000000000006</v>
      </c>
      <c r="Q142" s="130">
        <f t="shared" si="52"/>
        <v>29287.77</v>
      </c>
      <c r="R142" s="130">
        <f t="shared" si="54"/>
        <v>73478.179999999993</v>
      </c>
      <c r="S142" s="119"/>
      <c r="T142" s="119"/>
      <c r="U142" s="119"/>
      <c r="W142" s="126">
        <f t="shared" si="55"/>
        <v>8592.1200000000008</v>
      </c>
      <c r="X142" s="126">
        <f t="shared" si="56"/>
        <v>28438.19</v>
      </c>
      <c r="Y142" s="126">
        <f t="shared" si="57"/>
        <v>7160.1</v>
      </c>
      <c r="Z142" s="145">
        <f t="shared" si="58"/>
        <v>0</v>
      </c>
      <c r="AA142" s="126">
        <f t="shared" si="59"/>
        <v>29287.77</v>
      </c>
      <c r="AB142" s="260"/>
      <c r="AC142" s="261"/>
      <c r="AD142" s="262"/>
      <c r="AE142" s="263"/>
      <c r="AF142" s="262"/>
      <c r="AG142" s="118"/>
      <c r="AH142" s="118"/>
      <c r="AI142" s="118"/>
    </row>
    <row r="143" spans="3:35" s="65" customFormat="1">
      <c r="C143" s="120" t="s">
        <v>172</v>
      </c>
      <c r="D143" s="120" t="s">
        <v>173</v>
      </c>
      <c r="E143" s="128">
        <v>124.8535</v>
      </c>
      <c r="F143" s="129">
        <f>Perfils!$G$9</f>
        <v>62.77</v>
      </c>
      <c r="G143" s="130">
        <f t="shared" si="49"/>
        <v>7837.05</v>
      </c>
      <c r="H143" s="128">
        <v>150.57320000000001</v>
      </c>
      <c r="I143" s="129">
        <f>Perfils!$G$16</f>
        <v>62.77</v>
      </c>
      <c r="J143" s="130">
        <f t="shared" si="50"/>
        <v>9451.48</v>
      </c>
      <c r="K143" s="128">
        <v>41.617800000000003</v>
      </c>
      <c r="L143" s="129">
        <f>Perfils!$G$23</f>
        <v>62.77</v>
      </c>
      <c r="M143" s="130">
        <f t="shared" si="51"/>
        <v>2612.35</v>
      </c>
      <c r="N143" s="130">
        <v>0</v>
      </c>
      <c r="O143" s="128">
        <v>57.468200000000003</v>
      </c>
      <c r="P143" s="129">
        <f>Perfils!$G$30</f>
        <v>71.540000000000006</v>
      </c>
      <c r="Q143" s="130">
        <f t="shared" si="52"/>
        <v>4111.28</v>
      </c>
      <c r="R143" s="130">
        <f t="shared" si="54"/>
        <v>24012.159999999996</v>
      </c>
      <c r="S143" s="119"/>
      <c r="T143" s="119"/>
      <c r="U143" s="119"/>
      <c r="W143" s="126">
        <f t="shared" si="55"/>
        <v>7837.05</v>
      </c>
      <c r="X143" s="126">
        <f t="shared" si="56"/>
        <v>9451.48</v>
      </c>
      <c r="Y143" s="126">
        <f t="shared" si="57"/>
        <v>2612.35</v>
      </c>
      <c r="Z143" s="145">
        <f t="shared" si="58"/>
        <v>0</v>
      </c>
      <c r="AA143" s="126">
        <f t="shared" si="59"/>
        <v>4111.28</v>
      </c>
      <c r="AB143" s="260"/>
      <c r="AC143" s="261"/>
      <c r="AD143" s="262"/>
      <c r="AE143" s="263"/>
      <c r="AF143" s="262"/>
      <c r="AG143" s="118"/>
      <c r="AH143" s="118"/>
      <c r="AI143" s="118"/>
    </row>
    <row r="144" spans="3:35" s="65" customFormat="1">
      <c r="C144" s="120" t="s">
        <v>174</v>
      </c>
      <c r="D144" s="120" t="s">
        <v>175</v>
      </c>
      <c r="E144" s="128">
        <v>93.075800000000001</v>
      </c>
      <c r="F144" s="129">
        <f>Perfils!$G$9</f>
        <v>62.77</v>
      </c>
      <c r="G144" s="130">
        <f t="shared" si="49"/>
        <v>5842.37</v>
      </c>
      <c r="H144" s="128">
        <v>20.8247</v>
      </c>
      <c r="I144" s="129">
        <f>Perfils!$G$16</f>
        <v>62.77</v>
      </c>
      <c r="J144" s="130">
        <f t="shared" si="50"/>
        <v>1307.17</v>
      </c>
      <c r="K144" s="128">
        <v>7.0511999999999997</v>
      </c>
      <c r="L144" s="129">
        <f>Perfils!$G$23</f>
        <v>62.77</v>
      </c>
      <c r="M144" s="130">
        <f t="shared" si="51"/>
        <v>442.6</v>
      </c>
      <c r="N144" s="130">
        <v>0</v>
      </c>
      <c r="O144" s="128">
        <v>18.817699999999999</v>
      </c>
      <c r="P144" s="129">
        <f>Perfils!$G$30</f>
        <v>71.540000000000006</v>
      </c>
      <c r="Q144" s="130">
        <f t="shared" si="52"/>
        <v>1346.22</v>
      </c>
      <c r="R144" s="130">
        <f t="shared" si="54"/>
        <v>8938.36</v>
      </c>
      <c r="S144" s="119"/>
      <c r="T144" s="119"/>
      <c r="U144" s="119"/>
      <c r="W144" s="126">
        <f t="shared" si="55"/>
        <v>5842.37</v>
      </c>
      <c r="X144" s="126">
        <f t="shared" si="56"/>
        <v>1307.17</v>
      </c>
      <c r="Y144" s="126">
        <f t="shared" si="57"/>
        <v>442.6</v>
      </c>
      <c r="Z144" s="145">
        <f t="shared" si="58"/>
        <v>0</v>
      </c>
      <c r="AA144" s="126">
        <f t="shared" si="59"/>
        <v>1346.22</v>
      </c>
      <c r="AB144" s="260"/>
      <c r="AC144" s="261"/>
      <c r="AD144" s="262"/>
      <c r="AE144" s="263"/>
      <c r="AF144" s="262"/>
      <c r="AG144" s="118"/>
      <c r="AH144" s="118"/>
      <c r="AI144" s="118"/>
    </row>
    <row r="145" spans="3:35" s="65" customFormat="1">
      <c r="C145" s="120" t="s">
        <v>176</v>
      </c>
      <c r="D145" s="120" t="s">
        <v>177</v>
      </c>
      <c r="E145" s="128">
        <v>199.24160000000001</v>
      </c>
      <c r="F145" s="129">
        <f>Perfils!$G$9</f>
        <v>62.77</v>
      </c>
      <c r="G145" s="130">
        <f t="shared" si="49"/>
        <v>12506.4</v>
      </c>
      <c r="H145" s="128">
        <v>48.977699999999999</v>
      </c>
      <c r="I145" s="129">
        <f>Perfils!$G$16</f>
        <v>62.77</v>
      </c>
      <c r="J145" s="130">
        <f t="shared" si="50"/>
        <v>3074.33</v>
      </c>
      <c r="K145" s="128">
        <v>48.092799999999997</v>
      </c>
      <c r="L145" s="129">
        <f>Perfils!$G$23</f>
        <v>62.77</v>
      </c>
      <c r="M145" s="130">
        <f t="shared" si="51"/>
        <v>3018.79</v>
      </c>
      <c r="N145" s="130">
        <v>0</v>
      </c>
      <c r="O145" s="128">
        <v>44.257399999999997</v>
      </c>
      <c r="P145" s="129">
        <f>Perfils!$G$30</f>
        <v>71.540000000000006</v>
      </c>
      <c r="Q145" s="130">
        <f t="shared" si="52"/>
        <v>3166.17</v>
      </c>
      <c r="R145" s="130">
        <f t="shared" si="54"/>
        <v>21765.690000000002</v>
      </c>
      <c r="S145" s="119"/>
      <c r="T145" s="119"/>
      <c r="U145" s="119"/>
      <c r="W145" s="126">
        <f t="shared" si="55"/>
        <v>12506.4</v>
      </c>
      <c r="X145" s="126">
        <f t="shared" si="56"/>
        <v>3074.33</v>
      </c>
      <c r="Y145" s="126">
        <f t="shared" si="57"/>
        <v>3018.79</v>
      </c>
      <c r="Z145" s="145">
        <f t="shared" si="58"/>
        <v>0</v>
      </c>
      <c r="AA145" s="126">
        <f t="shared" si="59"/>
        <v>3166.17</v>
      </c>
      <c r="AB145" s="260"/>
      <c r="AC145" s="261"/>
      <c r="AD145" s="262"/>
      <c r="AE145" s="263"/>
      <c r="AF145" s="262"/>
      <c r="AG145" s="118"/>
      <c r="AH145" s="118"/>
      <c r="AI145" s="118"/>
    </row>
    <row r="146" spans="3:35" s="65" customFormat="1">
      <c r="C146" s="120" t="s">
        <v>178</v>
      </c>
      <c r="D146" s="120" t="s">
        <v>179</v>
      </c>
      <c r="E146" s="128">
        <v>256.65550000000002</v>
      </c>
      <c r="F146" s="129">
        <f>Perfils!$G$9</f>
        <v>62.77</v>
      </c>
      <c r="G146" s="130">
        <f t="shared" si="49"/>
        <v>16110.27</v>
      </c>
      <c r="H146" s="128">
        <v>94.386499999999998</v>
      </c>
      <c r="I146" s="129">
        <f>Perfils!$G$16</f>
        <v>62.77</v>
      </c>
      <c r="J146" s="130">
        <f t="shared" si="50"/>
        <v>5924.64</v>
      </c>
      <c r="K146" s="128">
        <v>33.270200000000003</v>
      </c>
      <c r="L146" s="129">
        <f>Perfils!$G$23</f>
        <v>62.77</v>
      </c>
      <c r="M146" s="130">
        <f t="shared" si="51"/>
        <v>2088.37</v>
      </c>
      <c r="N146" s="130">
        <v>0</v>
      </c>
      <c r="O146" s="128">
        <v>85.2898</v>
      </c>
      <c r="P146" s="129">
        <f>Perfils!$G$30</f>
        <v>71.540000000000006</v>
      </c>
      <c r="Q146" s="130">
        <f t="shared" si="52"/>
        <v>6101.63</v>
      </c>
      <c r="R146" s="130">
        <f t="shared" si="54"/>
        <v>30224.91</v>
      </c>
      <c r="S146" s="119"/>
      <c r="T146" s="119"/>
      <c r="U146" s="119"/>
      <c r="W146" s="126">
        <f t="shared" si="55"/>
        <v>16110.27</v>
      </c>
      <c r="X146" s="126">
        <f t="shared" si="56"/>
        <v>5924.64</v>
      </c>
      <c r="Y146" s="126">
        <f t="shared" si="57"/>
        <v>2088.37</v>
      </c>
      <c r="Z146" s="145">
        <f t="shared" si="58"/>
        <v>0</v>
      </c>
      <c r="AA146" s="126">
        <f t="shared" si="59"/>
        <v>6101.63</v>
      </c>
      <c r="AB146" s="260"/>
      <c r="AC146" s="261"/>
      <c r="AD146" s="262"/>
      <c r="AE146" s="263"/>
      <c r="AF146" s="262"/>
      <c r="AG146" s="118"/>
      <c r="AH146" s="118"/>
      <c r="AI146" s="118"/>
    </row>
    <row r="147" spans="3:35" s="65" customFormat="1">
      <c r="C147" s="120" t="s">
        <v>180</v>
      </c>
      <c r="D147" s="120" t="s">
        <v>280</v>
      </c>
      <c r="E147" s="128">
        <v>0</v>
      </c>
      <c r="F147" s="129">
        <f>Perfils!$G$9</f>
        <v>62.77</v>
      </c>
      <c r="G147" s="130">
        <f t="shared" si="49"/>
        <v>0</v>
      </c>
      <c r="H147" s="128">
        <v>0</v>
      </c>
      <c r="I147" s="129">
        <f>Perfils!$G$16</f>
        <v>62.77</v>
      </c>
      <c r="J147" s="130">
        <f t="shared" si="50"/>
        <v>0</v>
      </c>
      <c r="K147" s="128">
        <v>2071.1486</v>
      </c>
      <c r="L147" s="129">
        <f>Perfils!$G$23</f>
        <v>62.77</v>
      </c>
      <c r="M147" s="130">
        <f t="shared" si="51"/>
        <v>130006</v>
      </c>
      <c r="N147" s="130">
        <v>0</v>
      </c>
      <c r="O147" s="128">
        <v>11306.380300000001</v>
      </c>
      <c r="P147" s="129">
        <f>Perfils!$G$30</f>
        <v>71.540000000000006</v>
      </c>
      <c r="Q147" s="130">
        <f t="shared" si="52"/>
        <v>808858.45</v>
      </c>
      <c r="R147" s="130">
        <f t="shared" si="54"/>
        <v>938864.45</v>
      </c>
      <c r="S147" s="119"/>
      <c r="T147" s="119"/>
      <c r="U147" s="119"/>
      <c r="W147" s="126">
        <f t="shared" si="55"/>
        <v>0</v>
      </c>
      <c r="X147" s="126">
        <f t="shared" si="56"/>
        <v>0</v>
      </c>
      <c r="Y147" s="126">
        <f t="shared" si="57"/>
        <v>130006</v>
      </c>
      <c r="Z147" s="145">
        <f t="shared" si="58"/>
        <v>0</v>
      </c>
      <c r="AA147" s="126">
        <f t="shared" si="59"/>
        <v>808858.45</v>
      </c>
      <c r="AB147" s="260"/>
      <c r="AC147" s="261"/>
      <c r="AD147" s="262"/>
      <c r="AE147" s="263"/>
      <c r="AF147" s="262"/>
      <c r="AG147" s="220"/>
      <c r="AH147" s="118"/>
      <c r="AI147" s="118"/>
    </row>
    <row r="148" spans="3:35" s="65" customFormat="1">
      <c r="C148" s="120" t="s">
        <v>181</v>
      </c>
      <c r="D148" s="120" t="s">
        <v>182</v>
      </c>
      <c r="E148" s="128">
        <v>0</v>
      </c>
      <c r="F148" s="129">
        <f>Perfils!$G$9</f>
        <v>62.77</v>
      </c>
      <c r="G148" s="130">
        <f t="shared" si="49"/>
        <v>0</v>
      </c>
      <c r="H148" s="128">
        <v>0</v>
      </c>
      <c r="I148" s="129">
        <f>Perfils!$G$16</f>
        <v>62.77</v>
      </c>
      <c r="J148" s="130">
        <f t="shared" si="50"/>
        <v>0</v>
      </c>
      <c r="K148" s="128">
        <v>0</v>
      </c>
      <c r="L148" s="129">
        <f>Perfils!$G$23</f>
        <v>62.77</v>
      </c>
      <c r="M148" s="130">
        <f t="shared" si="51"/>
        <v>0</v>
      </c>
      <c r="N148" s="130">
        <v>58564.933037670002</v>
      </c>
      <c r="O148" s="128">
        <v>0</v>
      </c>
      <c r="P148" s="129">
        <f>Perfils!$G$30</f>
        <v>71.540000000000006</v>
      </c>
      <c r="Q148" s="130">
        <f t="shared" si="52"/>
        <v>0</v>
      </c>
      <c r="R148" s="130">
        <f t="shared" si="54"/>
        <v>58564.933037670002</v>
      </c>
      <c r="S148" s="119"/>
      <c r="T148" s="119"/>
      <c r="U148" s="119"/>
      <c r="W148" s="126">
        <f t="shared" si="55"/>
        <v>0</v>
      </c>
      <c r="X148" s="126">
        <f t="shared" si="56"/>
        <v>0</v>
      </c>
      <c r="Y148" s="126">
        <f t="shared" si="57"/>
        <v>0</v>
      </c>
      <c r="Z148" s="145">
        <f t="shared" si="58"/>
        <v>58564.933037670002</v>
      </c>
      <c r="AA148" s="126">
        <f t="shared" si="59"/>
        <v>0</v>
      </c>
      <c r="AB148" s="260"/>
      <c r="AC148" s="261"/>
      <c r="AD148" s="262"/>
      <c r="AE148" s="263"/>
      <c r="AF148" s="262"/>
      <c r="AG148" s="118"/>
      <c r="AH148" s="118"/>
      <c r="AI148" s="118"/>
    </row>
    <row r="149" spans="3:35" s="65" customFormat="1">
      <c r="C149" s="30" t="s">
        <v>294</v>
      </c>
      <c r="D149" s="30" t="s">
        <v>295</v>
      </c>
      <c r="E149" s="128">
        <v>0</v>
      </c>
      <c r="F149" s="129">
        <f>Perfils!$G$9</f>
        <v>62.77</v>
      </c>
      <c r="G149" s="130">
        <f t="shared" si="49"/>
        <v>0</v>
      </c>
      <c r="H149" s="128">
        <v>0</v>
      </c>
      <c r="I149" s="129">
        <f>Perfils!$G$16</f>
        <v>62.77</v>
      </c>
      <c r="J149" s="130">
        <f t="shared" si="50"/>
        <v>0</v>
      </c>
      <c r="K149" s="128">
        <v>0</v>
      </c>
      <c r="L149" s="129">
        <f>Perfils!$G$23</f>
        <v>62.77</v>
      </c>
      <c r="M149" s="130">
        <f t="shared" si="51"/>
        <v>0</v>
      </c>
      <c r="N149" s="130">
        <v>25119.599999999999</v>
      </c>
      <c r="O149" s="128">
        <v>0</v>
      </c>
      <c r="P149" s="129">
        <f>Perfils!$G$30</f>
        <v>71.540000000000006</v>
      </c>
      <c r="Q149" s="130">
        <f t="shared" si="52"/>
        <v>0</v>
      </c>
      <c r="R149" s="130">
        <f t="shared" si="54"/>
        <v>25119.599999999999</v>
      </c>
      <c r="S149" s="119"/>
      <c r="T149" s="119"/>
      <c r="U149" s="119"/>
      <c r="W149" s="126">
        <f t="shared" si="55"/>
        <v>0</v>
      </c>
      <c r="X149" s="126">
        <f t="shared" si="56"/>
        <v>0</v>
      </c>
      <c r="Y149" s="126">
        <f t="shared" si="57"/>
        <v>0</v>
      </c>
      <c r="Z149" s="145">
        <f t="shared" si="58"/>
        <v>25119.599999999999</v>
      </c>
      <c r="AA149" s="126">
        <f t="shared" si="59"/>
        <v>0</v>
      </c>
      <c r="AB149" s="260"/>
      <c r="AC149" s="261"/>
      <c r="AD149" s="262"/>
      <c r="AE149" s="263"/>
      <c r="AF149" s="262"/>
      <c r="AG149" s="118"/>
      <c r="AH149" s="118"/>
      <c r="AI149" s="118"/>
    </row>
    <row r="150" spans="3:35" s="65" customFormat="1">
      <c r="C150" s="120" t="s">
        <v>210</v>
      </c>
      <c r="D150" s="120" t="s">
        <v>183</v>
      </c>
      <c r="E150" s="128">
        <v>317.50319999999999</v>
      </c>
      <c r="F150" s="129">
        <f>Perfils!$G$9</f>
        <v>62.77</v>
      </c>
      <c r="G150" s="130">
        <f t="shared" si="49"/>
        <v>19929.68</v>
      </c>
      <c r="H150" s="128">
        <v>254.05699999999999</v>
      </c>
      <c r="I150" s="129">
        <f>Perfils!$G$16</f>
        <v>62.77</v>
      </c>
      <c r="J150" s="130">
        <f t="shared" si="50"/>
        <v>15947.16</v>
      </c>
      <c r="K150" s="128">
        <v>90.715199999999996</v>
      </c>
      <c r="L150" s="129">
        <f>Perfils!$G$23</f>
        <v>62.77</v>
      </c>
      <c r="M150" s="130">
        <f t="shared" si="51"/>
        <v>5694.19</v>
      </c>
      <c r="N150" s="130">
        <v>0</v>
      </c>
      <c r="O150" s="128">
        <v>229.5718</v>
      </c>
      <c r="P150" s="129">
        <f>Perfils!$G$30</f>
        <v>71.540000000000006</v>
      </c>
      <c r="Q150" s="130">
        <f t="shared" si="52"/>
        <v>16423.57</v>
      </c>
      <c r="R150" s="130">
        <f t="shared" si="54"/>
        <v>57994.6</v>
      </c>
      <c r="S150" s="119"/>
      <c r="T150" s="119"/>
      <c r="U150" s="119"/>
      <c r="W150" s="126">
        <f t="shared" si="55"/>
        <v>19929.68</v>
      </c>
      <c r="X150" s="126">
        <f t="shared" si="56"/>
        <v>15947.16</v>
      </c>
      <c r="Y150" s="126">
        <f t="shared" si="57"/>
        <v>5694.19</v>
      </c>
      <c r="Z150" s="145">
        <f t="shared" si="58"/>
        <v>0</v>
      </c>
      <c r="AA150" s="126">
        <f t="shared" si="59"/>
        <v>16423.57</v>
      </c>
      <c r="AB150" s="260"/>
      <c r="AC150" s="261"/>
      <c r="AD150" s="262"/>
      <c r="AE150" s="263"/>
      <c r="AF150" s="262"/>
      <c r="AG150" s="118"/>
      <c r="AH150" s="118"/>
      <c r="AI150" s="118"/>
    </row>
    <row r="151" spans="3:35" s="65" customFormat="1">
      <c r="C151" s="30" t="s">
        <v>213</v>
      </c>
      <c r="D151" s="120" t="s">
        <v>215</v>
      </c>
      <c r="E151" s="128">
        <v>266.15960000000001</v>
      </c>
      <c r="F151" s="129">
        <f>Perfils!$G$9</f>
        <v>62.77</v>
      </c>
      <c r="G151" s="130">
        <f t="shared" si="49"/>
        <v>16706.84</v>
      </c>
      <c r="H151" s="128">
        <v>232.33449999999999</v>
      </c>
      <c r="I151" s="129">
        <f>Perfils!$G$16</f>
        <v>62.77</v>
      </c>
      <c r="J151" s="130">
        <f t="shared" si="50"/>
        <v>14583.64</v>
      </c>
      <c r="K151" s="128">
        <v>38.022799999999997</v>
      </c>
      <c r="L151" s="129">
        <f>Perfils!$G$23</f>
        <v>62.77</v>
      </c>
      <c r="M151" s="130">
        <f t="shared" si="51"/>
        <v>2386.69</v>
      </c>
      <c r="N151" s="130">
        <v>0</v>
      </c>
      <c r="O151" s="128">
        <v>209.94290000000001</v>
      </c>
      <c r="P151" s="129">
        <f>Perfils!$G$30</f>
        <v>71.540000000000006</v>
      </c>
      <c r="Q151" s="130">
        <f t="shared" si="52"/>
        <v>15019.32</v>
      </c>
      <c r="R151" s="130">
        <f t="shared" si="54"/>
        <v>48696.49</v>
      </c>
      <c r="S151" s="119"/>
      <c r="T151" s="119"/>
      <c r="U151" s="119"/>
      <c r="W151" s="126">
        <f t="shared" si="55"/>
        <v>16706.84</v>
      </c>
      <c r="X151" s="126">
        <f t="shared" si="56"/>
        <v>14583.64</v>
      </c>
      <c r="Y151" s="126">
        <f t="shared" si="57"/>
        <v>2386.69</v>
      </c>
      <c r="Z151" s="145">
        <f t="shared" si="58"/>
        <v>0</v>
      </c>
      <c r="AA151" s="126">
        <f t="shared" si="59"/>
        <v>15019.32</v>
      </c>
      <c r="AB151" s="260"/>
      <c r="AC151" s="261"/>
      <c r="AD151" s="262"/>
      <c r="AE151" s="263"/>
      <c r="AF151" s="262"/>
      <c r="AG151" s="118"/>
      <c r="AH151" s="118"/>
      <c r="AI151" s="118"/>
    </row>
    <row r="152" spans="3:35" s="65" customFormat="1">
      <c r="C152" s="30" t="s">
        <v>211</v>
      </c>
      <c r="D152" s="30" t="s">
        <v>212</v>
      </c>
      <c r="E152" s="128">
        <v>74.143699999999995</v>
      </c>
      <c r="F152" s="129">
        <f>Perfils!$G$9</f>
        <v>62.77</v>
      </c>
      <c r="G152" s="130">
        <f t="shared" si="49"/>
        <v>4654</v>
      </c>
      <c r="H152" s="128">
        <v>97.289100000000005</v>
      </c>
      <c r="I152" s="129">
        <f>Perfils!$G$16</f>
        <v>62.77</v>
      </c>
      <c r="J152" s="130">
        <f t="shared" si="50"/>
        <v>6106.84</v>
      </c>
      <c r="K152" s="128">
        <v>19.9618</v>
      </c>
      <c r="L152" s="129">
        <f>Perfils!$G$23</f>
        <v>62.77</v>
      </c>
      <c r="M152" s="130">
        <f t="shared" si="51"/>
        <v>1253</v>
      </c>
      <c r="N152" s="130">
        <v>0</v>
      </c>
      <c r="O152" s="128">
        <v>87.912700000000001</v>
      </c>
      <c r="P152" s="129">
        <f>Perfils!$G$30</f>
        <v>71.540000000000006</v>
      </c>
      <c r="Q152" s="130">
        <f t="shared" si="52"/>
        <v>6289.27</v>
      </c>
      <c r="R152" s="130">
        <f t="shared" si="54"/>
        <v>18303.11</v>
      </c>
      <c r="S152" s="119"/>
      <c r="T152" s="119"/>
      <c r="U152" s="119"/>
      <c r="W152" s="126">
        <f t="shared" si="55"/>
        <v>4654</v>
      </c>
      <c r="X152" s="126">
        <f t="shared" si="56"/>
        <v>6106.84</v>
      </c>
      <c r="Y152" s="126">
        <f t="shared" si="57"/>
        <v>1253</v>
      </c>
      <c r="Z152" s="145">
        <f t="shared" si="58"/>
        <v>0</v>
      </c>
      <c r="AA152" s="126">
        <f t="shared" si="59"/>
        <v>6289.27</v>
      </c>
      <c r="AB152" s="260"/>
      <c r="AC152" s="261"/>
      <c r="AD152" s="262"/>
      <c r="AE152" s="263"/>
      <c r="AF152" s="262"/>
      <c r="AG152" s="118"/>
      <c r="AH152" s="118"/>
      <c r="AI152" s="118"/>
    </row>
    <row r="153" spans="3:35" s="65" customFormat="1">
      <c r="C153" s="120" t="s">
        <v>208</v>
      </c>
      <c r="D153" s="120" t="s">
        <v>209</v>
      </c>
      <c r="E153" s="128">
        <v>380.22730000000001</v>
      </c>
      <c r="F153" s="129">
        <f>Perfils!$G$9</f>
        <v>62.77</v>
      </c>
      <c r="G153" s="130">
        <f t="shared" si="49"/>
        <v>23866.87</v>
      </c>
      <c r="H153" s="128">
        <v>217.81319999999999</v>
      </c>
      <c r="I153" s="129">
        <f>Perfils!$G$16</f>
        <v>62.77</v>
      </c>
      <c r="J153" s="130">
        <f t="shared" si="50"/>
        <v>13672.13</v>
      </c>
      <c r="K153" s="128">
        <v>142.58519999999999</v>
      </c>
      <c r="L153" s="129">
        <f>Perfils!$G$23</f>
        <v>62.77</v>
      </c>
      <c r="M153" s="130">
        <f t="shared" si="51"/>
        <v>8950.07</v>
      </c>
      <c r="N153" s="130">
        <v>0</v>
      </c>
      <c r="O153" s="128">
        <v>196.8211</v>
      </c>
      <c r="P153" s="129">
        <f>Perfils!$G$30</f>
        <v>71.540000000000006</v>
      </c>
      <c r="Q153" s="130">
        <f t="shared" si="52"/>
        <v>14080.58</v>
      </c>
      <c r="R153" s="130">
        <f t="shared" si="54"/>
        <v>60569.65</v>
      </c>
      <c r="S153" s="119"/>
      <c r="T153" s="119"/>
      <c r="U153" s="119"/>
      <c r="W153" s="126">
        <f t="shared" si="55"/>
        <v>23866.87</v>
      </c>
      <c r="X153" s="126">
        <f t="shared" si="56"/>
        <v>13672.13</v>
      </c>
      <c r="Y153" s="126">
        <f t="shared" si="57"/>
        <v>8950.07</v>
      </c>
      <c r="Z153" s="145">
        <f t="shared" si="58"/>
        <v>0</v>
      </c>
      <c r="AA153" s="126">
        <f t="shared" si="59"/>
        <v>14080.58</v>
      </c>
      <c r="AB153" s="260"/>
      <c r="AC153" s="261"/>
      <c r="AD153" s="262"/>
      <c r="AE153" s="263"/>
      <c r="AF153" s="262"/>
      <c r="AG153" s="118"/>
      <c r="AH153" s="118"/>
      <c r="AI153" s="118"/>
    </row>
    <row r="154" spans="3:35" s="65" customFormat="1">
      <c r="C154" s="120" t="s">
        <v>221</v>
      </c>
      <c r="D154" s="120" t="s">
        <v>218</v>
      </c>
      <c r="E154" s="128">
        <v>456.27379999999999</v>
      </c>
      <c r="F154" s="129">
        <f>Perfils!$G$9</f>
        <v>62.77</v>
      </c>
      <c r="G154" s="130">
        <f t="shared" si="49"/>
        <v>28640.31</v>
      </c>
      <c r="H154" s="128">
        <v>261.37639999999999</v>
      </c>
      <c r="I154" s="129">
        <f>Perfils!$G$16</f>
        <v>62.77</v>
      </c>
      <c r="J154" s="130">
        <f t="shared" si="50"/>
        <v>16406.599999999999</v>
      </c>
      <c r="K154" s="128">
        <v>171.1027</v>
      </c>
      <c r="L154" s="129">
        <f>Perfils!$G$23</f>
        <v>62.77</v>
      </c>
      <c r="M154" s="130">
        <f t="shared" si="51"/>
        <v>10740.12</v>
      </c>
      <c r="N154" s="130">
        <v>0</v>
      </c>
      <c r="O154" s="128">
        <v>236.1858</v>
      </c>
      <c r="P154" s="129">
        <f>Perfils!$G$30</f>
        <v>71.540000000000006</v>
      </c>
      <c r="Q154" s="130">
        <f t="shared" si="52"/>
        <v>16896.73</v>
      </c>
      <c r="R154" s="130">
        <f t="shared" si="54"/>
        <v>72683.760000000009</v>
      </c>
      <c r="S154" s="119"/>
      <c r="T154" s="119"/>
      <c r="U154" s="119"/>
      <c r="W154" s="126">
        <f t="shared" si="55"/>
        <v>28640.31</v>
      </c>
      <c r="X154" s="126">
        <f t="shared" si="56"/>
        <v>16406.599999999999</v>
      </c>
      <c r="Y154" s="126">
        <f t="shared" si="57"/>
        <v>10740.12</v>
      </c>
      <c r="Z154" s="145">
        <f t="shared" si="58"/>
        <v>0</v>
      </c>
      <c r="AA154" s="126">
        <f t="shared" si="59"/>
        <v>16896.73</v>
      </c>
      <c r="AB154" s="260"/>
      <c r="AC154" s="261"/>
      <c r="AD154" s="262"/>
      <c r="AE154" s="263"/>
      <c r="AF154" s="262"/>
      <c r="AG154" s="118"/>
      <c r="AH154" s="118"/>
      <c r="AI154" s="118"/>
    </row>
    <row r="155" spans="3:35" s="65" customFormat="1">
      <c r="C155" s="120" t="s">
        <v>289</v>
      </c>
      <c r="D155" s="120" t="s">
        <v>290</v>
      </c>
      <c r="E155" s="128">
        <v>382.5095</v>
      </c>
      <c r="F155" s="129">
        <f>Perfils!$G$9</f>
        <v>62.77</v>
      </c>
      <c r="G155" s="130">
        <f t="shared" si="49"/>
        <v>24010.12</v>
      </c>
      <c r="H155" s="128">
        <v>219.1206</v>
      </c>
      <c r="I155" s="129">
        <f>Perfils!$G$16</f>
        <v>62.77</v>
      </c>
      <c r="J155" s="130">
        <f t="shared" si="50"/>
        <v>13754.2</v>
      </c>
      <c r="K155" s="128">
        <v>143.44110000000001</v>
      </c>
      <c r="L155" s="129">
        <f>Perfils!$G$23</f>
        <v>62.77</v>
      </c>
      <c r="M155" s="130">
        <f t="shared" si="51"/>
        <v>9003.7999999999993</v>
      </c>
      <c r="N155" s="130">
        <v>0</v>
      </c>
      <c r="O155" s="128">
        <v>198.0025</v>
      </c>
      <c r="P155" s="129">
        <f>Perfils!$G$30</f>
        <v>71.540000000000006</v>
      </c>
      <c r="Q155" s="130">
        <f t="shared" si="52"/>
        <v>14165.1</v>
      </c>
      <c r="R155" s="130">
        <f t="shared" si="54"/>
        <v>60933.219999999994</v>
      </c>
      <c r="S155" s="119"/>
      <c r="T155" s="119"/>
      <c r="U155" s="119"/>
      <c r="W155" s="126">
        <f t="shared" si="55"/>
        <v>24010.12</v>
      </c>
      <c r="X155" s="126">
        <f t="shared" si="56"/>
        <v>13754.2</v>
      </c>
      <c r="Y155" s="126">
        <f t="shared" si="57"/>
        <v>9003.7999999999993</v>
      </c>
      <c r="Z155" s="145">
        <f t="shared" si="58"/>
        <v>0</v>
      </c>
      <c r="AA155" s="126">
        <f t="shared" si="59"/>
        <v>14165.1</v>
      </c>
      <c r="AB155" s="260"/>
      <c r="AC155" s="261"/>
      <c r="AD155" s="262"/>
      <c r="AE155" s="263"/>
      <c r="AF155" s="262"/>
      <c r="AG155" s="118"/>
      <c r="AH155" s="118"/>
      <c r="AI155" s="118"/>
    </row>
    <row r="156" spans="3:35" s="65" customFormat="1">
      <c r="C156" s="120" t="s">
        <v>292</v>
      </c>
      <c r="D156" s="120" t="s">
        <v>293</v>
      </c>
      <c r="E156" s="128">
        <v>266.15969999999999</v>
      </c>
      <c r="F156" s="129">
        <f>Perfils!$G$9</f>
        <v>62.77</v>
      </c>
      <c r="G156" s="130">
        <f t="shared" si="49"/>
        <v>16706.84</v>
      </c>
      <c r="H156" s="128">
        <v>152.46960000000001</v>
      </c>
      <c r="I156" s="129">
        <f>Perfils!$G$16</f>
        <v>62.77</v>
      </c>
      <c r="J156" s="130">
        <f t="shared" si="50"/>
        <v>9570.52</v>
      </c>
      <c r="K156" s="128">
        <v>99.809899999999999</v>
      </c>
      <c r="L156" s="129">
        <f>Perfils!$G$23</f>
        <v>62.77</v>
      </c>
      <c r="M156" s="130">
        <f t="shared" si="51"/>
        <v>6265.07</v>
      </c>
      <c r="N156" s="130">
        <v>0</v>
      </c>
      <c r="O156" s="128">
        <v>137.77510000000001</v>
      </c>
      <c r="P156" s="129">
        <f>Perfils!$G$30</f>
        <v>71.540000000000006</v>
      </c>
      <c r="Q156" s="130">
        <f t="shared" si="52"/>
        <v>9856.43</v>
      </c>
      <c r="R156" s="130">
        <f t="shared" ref="R156" si="60">G156+J156+M156+N156+Q156</f>
        <v>42398.86</v>
      </c>
      <c r="S156" s="119"/>
      <c r="T156" s="119"/>
      <c r="U156" s="119"/>
      <c r="W156" s="126">
        <f t="shared" si="55"/>
        <v>16706.84</v>
      </c>
      <c r="X156" s="126">
        <f t="shared" si="56"/>
        <v>9570.52</v>
      </c>
      <c r="Y156" s="126">
        <f t="shared" si="57"/>
        <v>6265.07</v>
      </c>
      <c r="Z156" s="145">
        <f t="shared" si="58"/>
        <v>0</v>
      </c>
      <c r="AA156" s="126">
        <f t="shared" si="59"/>
        <v>9856.43</v>
      </c>
      <c r="AB156" s="260"/>
      <c r="AC156" s="261"/>
      <c r="AD156" s="262"/>
      <c r="AE156" s="263"/>
      <c r="AF156" s="262"/>
      <c r="AG156" s="118"/>
      <c r="AH156" s="118"/>
      <c r="AI156" s="118"/>
    </row>
    <row r="157" spans="3:35" s="65" customFormat="1">
      <c r="C157" s="120" t="s">
        <v>220</v>
      </c>
      <c r="D157" s="120" t="s">
        <v>219</v>
      </c>
      <c r="E157" s="128">
        <v>0</v>
      </c>
      <c r="F157" s="129">
        <f>Perfils!$G$9</f>
        <v>62.77</v>
      </c>
      <c r="G157" s="130">
        <f t="shared" si="49"/>
        <v>0</v>
      </c>
      <c r="H157" s="128">
        <v>0</v>
      </c>
      <c r="I157" s="129">
        <f>Perfils!$G$16</f>
        <v>62.77</v>
      </c>
      <c r="J157" s="130">
        <f t="shared" si="50"/>
        <v>0</v>
      </c>
      <c r="K157" s="128">
        <v>0</v>
      </c>
      <c r="L157" s="129">
        <f>Perfils!$G$23</f>
        <v>62.77</v>
      </c>
      <c r="M157" s="130">
        <f t="shared" si="51"/>
        <v>0</v>
      </c>
      <c r="N157" s="130">
        <v>0</v>
      </c>
      <c r="O157" s="128">
        <v>15704.0746</v>
      </c>
      <c r="P157" s="129">
        <f>Perfils!$G$30</f>
        <v>71.540000000000006</v>
      </c>
      <c r="Q157" s="130">
        <f t="shared" si="52"/>
        <v>1123469.5</v>
      </c>
      <c r="R157" s="130">
        <f t="shared" si="54"/>
        <v>1123469.5</v>
      </c>
      <c r="S157" s="119"/>
      <c r="T157" s="119"/>
      <c r="U157" s="119"/>
      <c r="W157" s="126">
        <f t="shared" si="55"/>
        <v>0</v>
      </c>
      <c r="X157" s="126">
        <f t="shared" si="56"/>
        <v>0</v>
      </c>
      <c r="Y157" s="126">
        <f t="shared" si="57"/>
        <v>0</v>
      </c>
      <c r="Z157" s="145">
        <f t="shared" si="58"/>
        <v>0</v>
      </c>
      <c r="AA157" s="126">
        <f t="shared" si="59"/>
        <v>1123469.5</v>
      </c>
      <c r="AB157" s="260"/>
      <c r="AC157" s="261"/>
      <c r="AD157" s="262"/>
      <c r="AE157" s="263"/>
      <c r="AF157" s="262"/>
      <c r="AG157" s="220"/>
      <c r="AH157" s="118"/>
      <c r="AI157" s="118"/>
    </row>
    <row r="158" spans="3:35" s="65" customFormat="1" ht="15.5">
      <c r="C158" s="67" t="s">
        <v>116</v>
      </c>
      <c r="D158" s="112"/>
      <c r="E158" s="131">
        <f>SUM(E127:E157)</f>
        <v>18095.603299999999</v>
      </c>
      <c r="F158" s="110"/>
      <c r="G158" s="143">
        <f>SUM(G127:G157)</f>
        <v>1135861.0400000005</v>
      </c>
      <c r="H158" s="131">
        <f>SUM(H127:H157)</f>
        <v>10595.467200000003</v>
      </c>
      <c r="I158" s="110"/>
      <c r="J158" s="143">
        <f>SUM(J127:J157)</f>
        <v>665077.47999999986</v>
      </c>
      <c r="K158" s="131">
        <f>SUM(K127:K157)</f>
        <v>6662.6842999999999</v>
      </c>
      <c r="L158" s="110"/>
      <c r="M158" s="143">
        <f>SUM(M127:M157)</f>
        <v>418216.7</v>
      </c>
      <c r="N158" s="143">
        <f>SUM(N127:N157)</f>
        <v>152228.02255767002</v>
      </c>
      <c r="O158" s="131">
        <f>SUM(O127:O157)</f>
        <v>36446.571200000006</v>
      </c>
      <c r="P158" s="110"/>
      <c r="Q158" s="143">
        <f>SUM(Q127:Q157)</f>
        <v>2607387.6900000004</v>
      </c>
      <c r="R158" s="144">
        <f>SUM(R127:R157)</f>
        <v>4978770.9325576704</v>
      </c>
      <c r="S158" s="110"/>
      <c r="T158" s="110"/>
      <c r="U158" s="143"/>
      <c r="W158" s="143">
        <f t="shared" ref="W158:AA158" si="61">ROUND(SUM(W127:W157),2)</f>
        <v>1135861.04</v>
      </c>
      <c r="X158" s="143">
        <f t="shared" si="61"/>
        <v>665077.48</v>
      </c>
      <c r="Y158" s="143">
        <f t="shared" si="61"/>
        <v>418216.7</v>
      </c>
      <c r="Z158" s="143">
        <f t="shared" si="61"/>
        <v>152228.01999999999</v>
      </c>
      <c r="AA158" s="143">
        <f t="shared" si="61"/>
        <v>2607387.69</v>
      </c>
      <c r="AB158" s="265"/>
      <c r="AC158" s="265"/>
      <c r="AD158" s="266"/>
      <c r="AE158" s="266"/>
      <c r="AF158" s="118"/>
      <c r="AG158" s="118"/>
      <c r="AH158" s="118"/>
      <c r="AI158" s="118"/>
    </row>
    <row r="159" spans="3:35">
      <c r="AC159" s="61"/>
      <c r="AD159" s="61"/>
      <c r="AE159" s="61"/>
      <c r="AF159" s="61"/>
      <c r="AG159" s="61"/>
      <c r="AH159" s="61"/>
      <c r="AI159" s="61"/>
    </row>
    <row r="160" spans="3:35">
      <c r="W160" s="74">
        <v>47119</v>
      </c>
      <c r="AC160" s="61"/>
      <c r="AD160" s="61"/>
      <c r="AE160" s="61"/>
      <c r="AF160" s="61"/>
      <c r="AG160" s="61"/>
      <c r="AH160" s="61"/>
      <c r="AI160" s="61"/>
    </row>
    <row r="161" spans="3:35">
      <c r="W161" s="74">
        <f>B5</f>
        <v>47221</v>
      </c>
      <c r="X161" s="71"/>
      <c r="AC161" s="61"/>
      <c r="AD161" s="61"/>
      <c r="AE161" s="61"/>
      <c r="AF161" s="61"/>
      <c r="AG161" s="61"/>
      <c r="AH161" s="61"/>
      <c r="AI161" s="61"/>
    </row>
    <row r="162" spans="3:35">
      <c r="C162" s="65" t="s">
        <v>296</v>
      </c>
      <c r="F162" s="60"/>
      <c r="V162" s="61"/>
      <c r="W162" s="74" t="s">
        <v>297</v>
      </c>
      <c r="X162" s="71"/>
      <c r="Y162" s="61"/>
      <c r="AA162" s="60"/>
      <c r="AC162" s="61"/>
      <c r="AD162" s="61"/>
      <c r="AE162" s="61"/>
      <c r="AF162" s="61"/>
      <c r="AG162" s="61"/>
      <c r="AH162" s="61"/>
      <c r="AI162" s="61"/>
    </row>
    <row r="163" spans="3:35" s="65" customFormat="1" ht="54" customHeight="1">
      <c r="C163" s="67" t="s">
        <v>0</v>
      </c>
      <c r="D163" s="67" t="s">
        <v>123</v>
      </c>
      <c r="E163" s="68" t="s">
        <v>120</v>
      </c>
      <c r="F163" s="68" t="s">
        <v>108</v>
      </c>
      <c r="G163" s="68" t="s">
        <v>2</v>
      </c>
      <c r="H163" s="68" t="s">
        <v>124</v>
      </c>
      <c r="I163" s="68" t="s">
        <v>108</v>
      </c>
      <c r="J163" s="68" t="s">
        <v>15</v>
      </c>
      <c r="K163" s="68" t="s">
        <v>136</v>
      </c>
      <c r="L163" s="68" t="s">
        <v>108</v>
      </c>
      <c r="M163" s="68" t="s">
        <v>137</v>
      </c>
      <c r="N163" s="68" t="s">
        <v>130</v>
      </c>
      <c r="O163" s="68" t="s">
        <v>396</v>
      </c>
      <c r="P163" s="68" t="s">
        <v>108</v>
      </c>
      <c r="Q163" s="68" t="s">
        <v>206</v>
      </c>
      <c r="R163" s="68" t="s">
        <v>207</v>
      </c>
      <c r="S163" s="67" t="s">
        <v>125</v>
      </c>
      <c r="T163" s="67" t="s">
        <v>122</v>
      </c>
      <c r="U163" s="67" t="s">
        <v>189</v>
      </c>
      <c r="W163" s="68" t="s">
        <v>2</v>
      </c>
      <c r="X163" s="68" t="s">
        <v>15</v>
      </c>
      <c r="Y163" s="68" t="s">
        <v>137</v>
      </c>
      <c r="Z163" s="68" t="s">
        <v>130</v>
      </c>
      <c r="AA163" s="68" t="s">
        <v>223</v>
      </c>
      <c r="AB163" s="258"/>
      <c r="AC163" s="258"/>
      <c r="AD163" s="259"/>
      <c r="AE163" s="259"/>
      <c r="AF163" s="259"/>
      <c r="AG163" s="118"/>
      <c r="AH163" s="118"/>
      <c r="AI163" s="118"/>
    </row>
    <row r="164" spans="3:35" s="65" customFormat="1">
      <c r="C164" s="120" t="s">
        <v>143</v>
      </c>
      <c r="D164" s="120" t="s">
        <v>144</v>
      </c>
      <c r="E164" s="128">
        <v>1303.7132999999999</v>
      </c>
      <c r="F164" s="129">
        <f>Perfils!$G$9</f>
        <v>62.77</v>
      </c>
      <c r="G164" s="130">
        <f t="shared" ref="G164:G194" si="62">ROUND(E164*F164,2)</f>
        <v>81834.080000000002</v>
      </c>
      <c r="H164" s="128">
        <v>1016.5214999999999</v>
      </c>
      <c r="I164" s="129">
        <f>Perfils!$G$16</f>
        <v>62.77</v>
      </c>
      <c r="J164" s="130">
        <f t="shared" ref="J164:J194" si="63">ROUND(H164*I164,2)</f>
        <v>63807.05</v>
      </c>
      <c r="K164" s="128">
        <v>774.07979999999998</v>
      </c>
      <c r="L164" s="129">
        <f>Perfils!$G$23</f>
        <v>62.77</v>
      </c>
      <c r="M164" s="130">
        <f t="shared" ref="M164:M194" si="64">ROUND(K164*L164,2)</f>
        <v>48588.99</v>
      </c>
      <c r="N164" s="130">
        <v>0</v>
      </c>
      <c r="O164" s="128">
        <v>918.55259999999998</v>
      </c>
      <c r="P164" s="129">
        <f>Perfils!$G$30</f>
        <v>71.540000000000006</v>
      </c>
      <c r="Q164" s="130">
        <f t="shared" ref="Q164:Q194" si="65">ROUND(O164*P164,2)</f>
        <v>65713.25</v>
      </c>
      <c r="R164" s="130">
        <f>G164+J164+M164+N164+Q164</f>
        <v>259943.37</v>
      </c>
      <c r="S164" s="119"/>
      <c r="T164" s="119"/>
      <c r="U164" s="119"/>
      <c r="W164" s="126">
        <f>ROUND(G164*(MIN($W$161-$W$160+1,365))/365,2)</f>
        <v>23092.9</v>
      </c>
      <c r="X164" s="126">
        <f>ROUND(J164*MIN(($W$161-$W$160+1),365)/365,2)</f>
        <v>18005.830000000002</v>
      </c>
      <c r="Y164" s="126">
        <f>ROUND(M164*MIN(($W$161-$W$160+1),365)/365,2)</f>
        <v>13711.41</v>
      </c>
      <c r="Z164" s="145">
        <f t="shared" ref="Z164" si="66">N164</f>
        <v>0</v>
      </c>
      <c r="AA164" s="126">
        <f>ROUND(Q164*MIN(($W$161-$W$160+1),365)/365,2)</f>
        <v>18543.740000000002</v>
      </c>
      <c r="AB164" s="260"/>
      <c r="AC164" s="261"/>
      <c r="AD164" s="262"/>
      <c r="AE164" s="263"/>
      <c r="AF164" s="262"/>
      <c r="AG164" s="118"/>
      <c r="AH164" s="118"/>
      <c r="AI164" s="118"/>
    </row>
    <row r="165" spans="3:35" s="65" customFormat="1">
      <c r="C165" s="120" t="s">
        <v>145</v>
      </c>
      <c r="D165" s="120" t="s">
        <v>146</v>
      </c>
      <c r="E165" s="128">
        <f>4624.5024-0.0012</f>
        <v>4624.5012000000006</v>
      </c>
      <c r="F165" s="129">
        <f>Perfils!$G$9</f>
        <v>62.77</v>
      </c>
      <c r="G165" s="130">
        <f t="shared" si="62"/>
        <v>290279.94</v>
      </c>
      <c r="H165" s="128">
        <f>1448.6908+0.0006</f>
        <v>1448.6914000000002</v>
      </c>
      <c r="I165" s="129">
        <f>Perfils!$G$16</f>
        <v>62.77</v>
      </c>
      <c r="J165" s="130">
        <f t="shared" si="63"/>
        <v>90934.36</v>
      </c>
      <c r="K165" s="128">
        <f>385.3752+0.0002</f>
        <v>385.37540000000001</v>
      </c>
      <c r="L165" s="129">
        <f>Perfils!$G$23</f>
        <v>62.77</v>
      </c>
      <c r="M165" s="130">
        <f t="shared" si="64"/>
        <v>24190.01</v>
      </c>
      <c r="N165" s="130">
        <v>0</v>
      </c>
      <c r="O165" s="128">
        <f>1175.3874+0.0002</f>
        <v>1175.3876</v>
      </c>
      <c r="P165" s="129">
        <f>Perfils!$G$30</f>
        <v>71.540000000000006</v>
      </c>
      <c r="Q165" s="130">
        <f t="shared" si="65"/>
        <v>84087.23</v>
      </c>
      <c r="R165" s="130">
        <f t="shared" ref="R165:R194" si="67">G165+J165+M165+N165+Q165</f>
        <v>489491.54</v>
      </c>
      <c r="S165" s="119"/>
      <c r="T165" s="119"/>
      <c r="U165" s="119"/>
      <c r="W165" s="126">
        <f t="shared" ref="W165:W194" si="68">ROUND(G165*(MIN($W$161-$W$160+1,365))/365,2)</f>
        <v>81914.61</v>
      </c>
      <c r="X165" s="126">
        <f t="shared" ref="X165:X194" si="69">ROUND(J165*MIN(($W$161-$W$160+1),365)/365,2)</f>
        <v>25660.93</v>
      </c>
      <c r="Y165" s="126">
        <f t="shared" ref="Y165:Y194" si="70">ROUND(M165*MIN(($W$161-$W$160+1),365)/365,2)</f>
        <v>6826.22</v>
      </c>
      <c r="Z165" s="145">
        <f t="shared" ref="Z165:Z194" si="71">N165</f>
        <v>0</v>
      </c>
      <c r="AA165" s="126">
        <f t="shared" ref="AA165:AA194" si="72">ROUND(Q165*MIN(($W$161-$W$160+1),365)/365,2)</f>
        <v>23728.73</v>
      </c>
      <c r="AB165" s="260"/>
      <c r="AC165" s="261"/>
      <c r="AD165" s="262"/>
      <c r="AE165" s="263"/>
      <c r="AF165" s="262"/>
      <c r="AG165" s="118"/>
      <c r="AH165" s="118"/>
      <c r="AI165" s="118"/>
    </row>
    <row r="166" spans="3:35" s="65" customFormat="1">
      <c r="C166" s="120" t="s">
        <v>147</v>
      </c>
      <c r="D166" s="120" t="s">
        <v>148</v>
      </c>
      <c r="E166" s="128">
        <v>83.770600000000002</v>
      </c>
      <c r="F166" s="129">
        <f>Perfils!$G$9</f>
        <v>62.77</v>
      </c>
      <c r="G166" s="130">
        <f t="shared" si="62"/>
        <v>5258.28</v>
      </c>
      <c r="H166" s="128">
        <v>132.29400000000001</v>
      </c>
      <c r="I166" s="129">
        <f>Perfils!$G$16</f>
        <v>62.77</v>
      </c>
      <c r="J166" s="130">
        <f t="shared" si="63"/>
        <v>8304.09</v>
      </c>
      <c r="K166" s="128">
        <v>25.997800000000002</v>
      </c>
      <c r="L166" s="129">
        <f>Perfils!$G$23</f>
        <v>62.77</v>
      </c>
      <c r="M166" s="130">
        <f t="shared" si="64"/>
        <v>1631.88</v>
      </c>
      <c r="N166" s="130">
        <v>0</v>
      </c>
      <c r="O166" s="128">
        <v>43.8765</v>
      </c>
      <c r="P166" s="129">
        <f>Perfils!$G$30</f>
        <v>71.540000000000006</v>
      </c>
      <c r="Q166" s="130">
        <f t="shared" si="65"/>
        <v>3138.92</v>
      </c>
      <c r="R166" s="130">
        <f t="shared" si="67"/>
        <v>18333.169999999998</v>
      </c>
      <c r="S166" s="119"/>
      <c r="T166" s="119"/>
      <c r="U166" s="119"/>
      <c r="W166" s="126">
        <f t="shared" si="68"/>
        <v>1483.84</v>
      </c>
      <c r="X166" s="126">
        <f t="shared" si="69"/>
        <v>2343.35</v>
      </c>
      <c r="Y166" s="126">
        <f t="shared" si="70"/>
        <v>460.5</v>
      </c>
      <c r="Z166" s="145">
        <f t="shared" si="71"/>
        <v>0</v>
      </c>
      <c r="AA166" s="126">
        <f t="shared" si="72"/>
        <v>885.78</v>
      </c>
      <c r="AB166" s="260"/>
      <c r="AC166" s="261"/>
      <c r="AD166" s="262"/>
      <c r="AE166" s="263"/>
      <c r="AF166" s="262"/>
      <c r="AG166" s="118"/>
      <c r="AH166" s="118"/>
      <c r="AI166" s="118"/>
    </row>
    <row r="167" spans="3:35" s="65" customFormat="1">
      <c r="C167" s="120" t="s">
        <v>149</v>
      </c>
      <c r="D167" s="120" t="s">
        <v>216</v>
      </c>
      <c r="E167" s="128">
        <v>944.45590000000004</v>
      </c>
      <c r="F167" s="129">
        <f>Perfils!$G$9</f>
        <v>62.77</v>
      </c>
      <c r="G167" s="130">
        <f t="shared" si="62"/>
        <v>59283.5</v>
      </c>
      <c r="H167" s="128">
        <v>1395.2963</v>
      </c>
      <c r="I167" s="129">
        <f>Perfils!$G$16</f>
        <v>62.77</v>
      </c>
      <c r="J167" s="130">
        <f t="shared" si="63"/>
        <v>87582.75</v>
      </c>
      <c r="K167" s="128">
        <v>213.26419999999999</v>
      </c>
      <c r="L167" s="129">
        <f>Perfils!$G$23</f>
        <v>62.77</v>
      </c>
      <c r="M167" s="130">
        <f t="shared" si="64"/>
        <v>13386.59</v>
      </c>
      <c r="N167" s="130">
        <v>0</v>
      </c>
      <c r="O167" s="128">
        <v>462.76459999999997</v>
      </c>
      <c r="P167" s="129">
        <f>Perfils!$G$30</f>
        <v>71.540000000000006</v>
      </c>
      <c r="Q167" s="130">
        <f t="shared" si="65"/>
        <v>33106.18</v>
      </c>
      <c r="R167" s="130">
        <f t="shared" si="67"/>
        <v>193359.02</v>
      </c>
      <c r="S167" s="119"/>
      <c r="T167" s="119"/>
      <c r="U167" s="119"/>
      <c r="W167" s="126">
        <f t="shared" si="68"/>
        <v>16729.32</v>
      </c>
      <c r="X167" s="126">
        <f t="shared" si="69"/>
        <v>24715.13</v>
      </c>
      <c r="Y167" s="126">
        <f t="shared" si="70"/>
        <v>3777.59</v>
      </c>
      <c r="Z167" s="145">
        <f t="shared" si="71"/>
        <v>0</v>
      </c>
      <c r="AA167" s="126">
        <f t="shared" si="72"/>
        <v>9342.2900000000009</v>
      </c>
      <c r="AB167" s="260"/>
      <c r="AC167" s="261"/>
      <c r="AD167" s="262"/>
      <c r="AE167" s="263"/>
      <c r="AF167" s="262"/>
      <c r="AG167" s="118"/>
      <c r="AH167" s="118"/>
      <c r="AI167" s="118"/>
    </row>
    <row r="168" spans="3:35" s="65" customFormat="1">
      <c r="C168" s="120" t="s">
        <v>150</v>
      </c>
      <c r="D168" s="120" t="s">
        <v>217</v>
      </c>
      <c r="E168" s="128">
        <v>3456.2458000000001</v>
      </c>
      <c r="F168" s="129">
        <f>Perfils!$G$9</f>
        <v>62.77</v>
      </c>
      <c r="G168" s="130">
        <f t="shared" si="62"/>
        <v>216948.55</v>
      </c>
      <c r="H168" s="128">
        <v>1242.6717000000001</v>
      </c>
      <c r="I168" s="129">
        <f>Perfils!$G$16</f>
        <v>62.77</v>
      </c>
      <c r="J168" s="130">
        <f t="shared" si="63"/>
        <v>78002.5</v>
      </c>
      <c r="K168" s="128">
        <v>942.61249999999995</v>
      </c>
      <c r="L168" s="129">
        <f>Perfils!$G$23</f>
        <v>62.77</v>
      </c>
      <c r="M168" s="130">
        <f t="shared" si="64"/>
        <v>59167.79</v>
      </c>
      <c r="N168" s="130">
        <v>0</v>
      </c>
      <c r="O168" s="128">
        <v>2070.7139999999999</v>
      </c>
      <c r="P168" s="129">
        <f>Perfils!$G$30</f>
        <v>71.540000000000006</v>
      </c>
      <c r="Q168" s="130">
        <f t="shared" si="65"/>
        <v>148138.88</v>
      </c>
      <c r="R168" s="130">
        <f t="shared" si="67"/>
        <v>502257.72</v>
      </c>
      <c r="S168" s="119"/>
      <c r="T168" s="119"/>
      <c r="U168" s="119"/>
      <c r="W168" s="126">
        <f t="shared" si="68"/>
        <v>61221.1</v>
      </c>
      <c r="X168" s="126">
        <f t="shared" si="69"/>
        <v>22011.66</v>
      </c>
      <c r="Y168" s="126">
        <f t="shared" si="70"/>
        <v>16696.66</v>
      </c>
      <c r="Z168" s="145">
        <f t="shared" si="71"/>
        <v>0</v>
      </c>
      <c r="AA168" s="126">
        <f t="shared" si="72"/>
        <v>41803.57</v>
      </c>
      <c r="AB168" s="260"/>
      <c r="AC168" s="261"/>
      <c r="AD168" s="262"/>
      <c r="AE168" s="263"/>
      <c r="AF168" s="262"/>
      <c r="AG168" s="118"/>
      <c r="AH168" s="118"/>
      <c r="AI168" s="118"/>
    </row>
    <row r="169" spans="3:35" s="65" customFormat="1">
      <c r="C169" s="120" t="s">
        <v>151</v>
      </c>
      <c r="D169" s="120" t="s">
        <v>152</v>
      </c>
      <c r="E169" s="128">
        <v>398.07459999999998</v>
      </c>
      <c r="F169" s="129">
        <f>Perfils!$G$9</f>
        <v>62.77</v>
      </c>
      <c r="G169" s="130">
        <f t="shared" si="62"/>
        <v>24987.14</v>
      </c>
      <c r="H169" s="128">
        <v>152.0247</v>
      </c>
      <c r="I169" s="129">
        <f>Perfils!$G$16</f>
        <v>62.77</v>
      </c>
      <c r="J169" s="130">
        <f t="shared" si="63"/>
        <v>9542.59</v>
      </c>
      <c r="K169" s="128">
        <v>68.897499999999994</v>
      </c>
      <c r="L169" s="129">
        <f>Perfils!$G$23</f>
        <v>62.77</v>
      </c>
      <c r="M169" s="130">
        <f t="shared" si="64"/>
        <v>4324.7</v>
      </c>
      <c r="N169" s="130">
        <v>0</v>
      </c>
      <c r="O169" s="128">
        <v>137.37299999999999</v>
      </c>
      <c r="P169" s="129">
        <f>Perfils!$G$30</f>
        <v>71.540000000000006</v>
      </c>
      <c r="Q169" s="130">
        <f t="shared" si="65"/>
        <v>9827.66</v>
      </c>
      <c r="R169" s="130">
        <f t="shared" si="67"/>
        <v>48682.09</v>
      </c>
      <c r="S169" s="119"/>
      <c r="T169" s="119"/>
      <c r="U169" s="119"/>
      <c r="W169" s="126">
        <f t="shared" si="68"/>
        <v>7051.17</v>
      </c>
      <c r="X169" s="126">
        <f t="shared" si="69"/>
        <v>2692.84</v>
      </c>
      <c r="Y169" s="126">
        <f t="shared" si="70"/>
        <v>1220.3900000000001</v>
      </c>
      <c r="Z169" s="145">
        <f t="shared" si="71"/>
        <v>0</v>
      </c>
      <c r="AA169" s="126">
        <f t="shared" si="72"/>
        <v>2773.28</v>
      </c>
      <c r="AB169" s="260"/>
      <c r="AC169" s="261"/>
      <c r="AD169" s="262"/>
      <c r="AE169" s="263"/>
      <c r="AF169" s="262"/>
      <c r="AG169" s="118"/>
      <c r="AH169" s="118"/>
      <c r="AI169" s="118"/>
    </row>
    <row r="170" spans="3:35" s="65" customFormat="1">
      <c r="C170" s="120" t="s">
        <v>153</v>
      </c>
      <c r="D170" s="120" t="s">
        <v>154</v>
      </c>
      <c r="E170" s="128">
        <v>62.9587</v>
      </c>
      <c r="F170" s="129">
        <f>Perfils!$G$9</f>
        <v>62.77</v>
      </c>
      <c r="G170" s="130">
        <f t="shared" si="62"/>
        <v>3951.92</v>
      </c>
      <c r="H170" s="128">
        <v>40.8018</v>
      </c>
      <c r="I170" s="129">
        <f>Perfils!$G$16</f>
        <v>62.77</v>
      </c>
      <c r="J170" s="130">
        <f t="shared" si="63"/>
        <v>2561.13</v>
      </c>
      <c r="K170" s="128">
        <v>47.695999999999998</v>
      </c>
      <c r="L170" s="129">
        <f>Perfils!$G$23</f>
        <v>62.77</v>
      </c>
      <c r="M170" s="130">
        <f t="shared" si="64"/>
        <v>2993.88</v>
      </c>
      <c r="N170" s="130">
        <v>0</v>
      </c>
      <c r="O170" s="128">
        <v>36.869500000000002</v>
      </c>
      <c r="P170" s="129">
        <f>Perfils!$G$30</f>
        <v>71.540000000000006</v>
      </c>
      <c r="Q170" s="130">
        <f t="shared" si="65"/>
        <v>2637.64</v>
      </c>
      <c r="R170" s="130">
        <f t="shared" si="67"/>
        <v>12144.57</v>
      </c>
      <c r="S170" s="119"/>
      <c r="T170" s="119"/>
      <c r="U170" s="119"/>
      <c r="W170" s="126">
        <f t="shared" si="68"/>
        <v>1115.2</v>
      </c>
      <c r="X170" s="126">
        <f t="shared" si="69"/>
        <v>722.73</v>
      </c>
      <c r="Y170" s="126">
        <f t="shared" si="70"/>
        <v>844.85</v>
      </c>
      <c r="Z170" s="145">
        <f t="shared" si="71"/>
        <v>0</v>
      </c>
      <c r="AA170" s="126">
        <f t="shared" si="72"/>
        <v>744.32</v>
      </c>
      <c r="AB170" s="260"/>
      <c r="AC170" s="261"/>
      <c r="AD170" s="262"/>
      <c r="AE170" s="263"/>
      <c r="AF170" s="262"/>
      <c r="AG170" s="118"/>
      <c r="AH170" s="118"/>
      <c r="AI170" s="118"/>
    </row>
    <row r="171" spans="3:35" s="65" customFormat="1">
      <c r="C171" s="120" t="s">
        <v>155</v>
      </c>
      <c r="D171" s="120" t="s">
        <v>156</v>
      </c>
      <c r="E171" s="128">
        <v>68.441599999999994</v>
      </c>
      <c r="F171" s="129">
        <f>Perfils!$G$9</f>
        <v>62.77</v>
      </c>
      <c r="G171" s="130">
        <f t="shared" si="62"/>
        <v>4296.08</v>
      </c>
      <c r="H171" s="128">
        <v>39.206800000000001</v>
      </c>
      <c r="I171" s="129">
        <f>Perfils!$G$16</f>
        <v>62.77</v>
      </c>
      <c r="J171" s="130">
        <f t="shared" si="63"/>
        <v>2461.0100000000002</v>
      </c>
      <c r="K171" s="128">
        <v>25.665600000000001</v>
      </c>
      <c r="L171" s="129">
        <f>Perfils!$G$23</f>
        <v>62.77</v>
      </c>
      <c r="M171" s="130">
        <f t="shared" si="64"/>
        <v>1611.03</v>
      </c>
      <c r="N171" s="130">
        <v>0</v>
      </c>
      <c r="O171" s="128">
        <v>35.428199999999997</v>
      </c>
      <c r="P171" s="129">
        <f>Perfils!$G$30</f>
        <v>71.540000000000006</v>
      </c>
      <c r="Q171" s="130">
        <f t="shared" si="65"/>
        <v>2534.5300000000002</v>
      </c>
      <c r="R171" s="130">
        <f t="shared" si="67"/>
        <v>10902.650000000001</v>
      </c>
      <c r="S171" s="119"/>
      <c r="T171" s="119"/>
      <c r="U171" s="119"/>
      <c r="W171" s="126">
        <f t="shared" si="68"/>
        <v>1212.32</v>
      </c>
      <c r="X171" s="126">
        <f t="shared" si="69"/>
        <v>694.48</v>
      </c>
      <c r="Y171" s="126">
        <f t="shared" si="70"/>
        <v>454.62</v>
      </c>
      <c r="Z171" s="145">
        <f t="shared" si="71"/>
        <v>0</v>
      </c>
      <c r="AA171" s="126">
        <f t="shared" si="72"/>
        <v>715.22</v>
      </c>
      <c r="AB171" s="260"/>
      <c r="AC171" s="261"/>
      <c r="AD171" s="262"/>
      <c r="AE171" s="263"/>
      <c r="AF171" s="262"/>
      <c r="AG171" s="118"/>
      <c r="AH171" s="118"/>
      <c r="AI171" s="118"/>
    </row>
    <row r="172" spans="3:35" s="65" customFormat="1">
      <c r="C172" s="120" t="s">
        <v>157</v>
      </c>
      <c r="D172" s="120" t="s">
        <v>158</v>
      </c>
      <c r="E172" s="128">
        <v>18.060600000000001</v>
      </c>
      <c r="F172" s="129">
        <f>Perfils!$G$9</f>
        <v>62.77</v>
      </c>
      <c r="G172" s="130">
        <f t="shared" si="62"/>
        <v>1133.6600000000001</v>
      </c>
      <c r="H172" s="128">
        <v>11.6166</v>
      </c>
      <c r="I172" s="129">
        <f>Perfils!$G$16</f>
        <v>62.77</v>
      </c>
      <c r="J172" s="130">
        <f t="shared" si="63"/>
        <v>729.17</v>
      </c>
      <c r="K172" s="128">
        <v>54.181899999999999</v>
      </c>
      <c r="L172" s="129">
        <f>Perfils!$G$23</f>
        <v>62.77</v>
      </c>
      <c r="M172" s="130">
        <f t="shared" si="64"/>
        <v>3401</v>
      </c>
      <c r="N172" s="130">
        <v>0</v>
      </c>
      <c r="O172" s="128">
        <v>10.497</v>
      </c>
      <c r="P172" s="129">
        <f>Perfils!$G$30</f>
        <v>71.540000000000006</v>
      </c>
      <c r="Q172" s="130">
        <f t="shared" si="65"/>
        <v>750.96</v>
      </c>
      <c r="R172" s="130">
        <f t="shared" si="67"/>
        <v>6014.79</v>
      </c>
      <c r="S172" s="119"/>
      <c r="T172" s="119"/>
      <c r="U172" s="119"/>
      <c r="W172" s="126">
        <f t="shared" si="68"/>
        <v>319.91000000000003</v>
      </c>
      <c r="X172" s="126">
        <f t="shared" si="69"/>
        <v>205.77</v>
      </c>
      <c r="Y172" s="126">
        <f t="shared" si="70"/>
        <v>959.73</v>
      </c>
      <c r="Z172" s="145">
        <f t="shared" si="71"/>
        <v>0</v>
      </c>
      <c r="AA172" s="126">
        <f t="shared" si="72"/>
        <v>211.91</v>
      </c>
      <c r="AB172" s="260"/>
      <c r="AC172" s="261"/>
      <c r="AD172" s="262"/>
      <c r="AE172" s="263"/>
      <c r="AF172" s="262"/>
      <c r="AG172" s="118"/>
      <c r="AH172" s="118"/>
      <c r="AI172" s="118"/>
    </row>
    <row r="173" spans="3:35" s="65" customFormat="1">
      <c r="C173" s="120" t="s">
        <v>159</v>
      </c>
      <c r="D173" s="120" t="s">
        <v>160</v>
      </c>
      <c r="E173" s="128">
        <v>17.760000000000002</v>
      </c>
      <c r="F173" s="129">
        <f>Perfils!$G$9</f>
        <v>62.77</v>
      </c>
      <c r="G173" s="130">
        <f t="shared" si="62"/>
        <v>1114.8</v>
      </c>
      <c r="H173" s="128">
        <v>10.1738</v>
      </c>
      <c r="I173" s="129">
        <f>Perfils!$G$16</f>
        <v>62.77</v>
      </c>
      <c r="J173" s="130">
        <f t="shared" si="63"/>
        <v>638.61</v>
      </c>
      <c r="K173" s="128">
        <v>6.66</v>
      </c>
      <c r="L173" s="129">
        <f>Perfils!$G$23</f>
        <v>62.77</v>
      </c>
      <c r="M173" s="130">
        <f t="shared" si="64"/>
        <v>418.05</v>
      </c>
      <c r="N173" s="130">
        <v>0</v>
      </c>
      <c r="O173" s="128">
        <v>9.1933000000000007</v>
      </c>
      <c r="P173" s="129">
        <f>Perfils!$G$30</f>
        <v>71.540000000000006</v>
      </c>
      <c r="Q173" s="130">
        <f t="shared" si="65"/>
        <v>657.69</v>
      </c>
      <c r="R173" s="130">
        <f t="shared" si="67"/>
        <v>2829.15</v>
      </c>
      <c r="S173" s="119"/>
      <c r="T173" s="119"/>
      <c r="U173" s="119"/>
      <c r="W173" s="126">
        <f t="shared" si="68"/>
        <v>314.58999999999997</v>
      </c>
      <c r="X173" s="126">
        <f t="shared" si="69"/>
        <v>180.21</v>
      </c>
      <c r="Y173" s="126">
        <f t="shared" si="70"/>
        <v>117.97</v>
      </c>
      <c r="Z173" s="145">
        <f t="shared" si="71"/>
        <v>0</v>
      </c>
      <c r="AA173" s="126">
        <f t="shared" si="72"/>
        <v>185.59</v>
      </c>
      <c r="AB173" s="260"/>
      <c r="AC173" s="261"/>
      <c r="AD173" s="262"/>
      <c r="AE173" s="263"/>
      <c r="AF173" s="262"/>
      <c r="AG173" s="118"/>
      <c r="AH173" s="118"/>
      <c r="AI173" s="118"/>
    </row>
    <row r="174" spans="3:35" s="65" customFormat="1">
      <c r="C174" s="120" t="s">
        <v>161</v>
      </c>
      <c r="D174" s="120" t="s">
        <v>162</v>
      </c>
      <c r="E174" s="128">
        <v>653.51880000000006</v>
      </c>
      <c r="F174" s="129">
        <f>Perfils!$G$9</f>
        <v>62.77</v>
      </c>
      <c r="G174" s="130">
        <f t="shared" si="62"/>
        <v>41021.379999999997</v>
      </c>
      <c r="H174" s="128">
        <v>248.06620000000001</v>
      </c>
      <c r="I174" s="129">
        <f>Perfils!$G$16</f>
        <v>62.77</v>
      </c>
      <c r="J174" s="130">
        <f t="shared" si="63"/>
        <v>15571.12</v>
      </c>
      <c r="K174" s="128">
        <v>47.528599999999997</v>
      </c>
      <c r="L174" s="129">
        <f>Perfils!$G$23</f>
        <v>62.77</v>
      </c>
      <c r="M174" s="130">
        <f t="shared" si="64"/>
        <v>2983.37</v>
      </c>
      <c r="N174" s="130">
        <v>0</v>
      </c>
      <c r="O174" s="128">
        <v>224.1584</v>
      </c>
      <c r="P174" s="129">
        <f>Perfils!$G$30</f>
        <v>71.540000000000006</v>
      </c>
      <c r="Q174" s="130">
        <f t="shared" si="65"/>
        <v>16036.29</v>
      </c>
      <c r="R174" s="130">
        <f t="shared" si="67"/>
        <v>75612.160000000003</v>
      </c>
      <c r="S174" s="119"/>
      <c r="T174" s="119"/>
      <c r="U174" s="119"/>
      <c r="W174" s="126">
        <f t="shared" si="68"/>
        <v>11575.9</v>
      </c>
      <c r="X174" s="126">
        <f t="shared" si="69"/>
        <v>4394.04</v>
      </c>
      <c r="Y174" s="126">
        <f t="shared" si="70"/>
        <v>841.88</v>
      </c>
      <c r="Z174" s="145">
        <f t="shared" si="71"/>
        <v>0</v>
      </c>
      <c r="AA174" s="126">
        <f t="shared" si="72"/>
        <v>4525.3100000000004</v>
      </c>
      <c r="AB174" s="260"/>
      <c r="AC174" s="261"/>
      <c r="AD174" s="262"/>
      <c r="AE174" s="263"/>
      <c r="AF174" s="262"/>
      <c r="AG174" s="118"/>
      <c r="AH174" s="118"/>
      <c r="AI174" s="118"/>
    </row>
    <row r="175" spans="3:35" s="65" customFormat="1">
      <c r="C175" s="120" t="s">
        <v>163</v>
      </c>
      <c r="D175" s="120" t="s">
        <v>164</v>
      </c>
      <c r="E175" s="128">
        <v>1064.6400000000001</v>
      </c>
      <c r="F175" s="129">
        <f>Perfils!$G$9</f>
        <v>62.77</v>
      </c>
      <c r="G175" s="130">
        <f t="shared" si="62"/>
        <v>66827.45</v>
      </c>
      <c r="H175" s="128">
        <v>664.09050000000002</v>
      </c>
      <c r="I175" s="129">
        <f>Perfils!$G$16</f>
        <v>62.77</v>
      </c>
      <c r="J175" s="130">
        <f t="shared" si="63"/>
        <v>41684.959999999999</v>
      </c>
      <c r="K175" s="128">
        <v>292.77600000000001</v>
      </c>
      <c r="L175" s="129">
        <f>Perfils!$G$23</f>
        <v>62.77</v>
      </c>
      <c r="M175" s="130">
        <f t="shared" si="64"/>
        <v>18377.55</v>
      </c>
      <c r="N175" s="130">
        <v>0</v>
      </c>
      <c r="O175" s="128">
        <v>600.08770000000004</v>
      </c>
      <c r="P175" s="129">
        <f>Perfils!$G$30</f>
        <v>71.540000000000006</v>
      </c>
      <c r="Q175" s="130">
        <f t="shared" si="65"/>
        <v>42930.27</v>
      </c>
      <c r="R175" s="130">
        <f t="shared" si="67"/>
        <v>169820.23</v>
      </c>
      <c r="S175" s="119"/>
      <c r="T175" s="119"/>
      <c r="U175" s="119"/>
      <c r="W175" s="126">
        <f t="shared" si="68"/>
        <v>18858.16</v>
      </c>
      <c r="X175" s="126">
        <f t="shared" si="69"/>
        <v>11763.15</v>
      </c>
      <c r="Y175" s="126">
        <f t="shared" si="70"/>
        <v>5185.99</v>
      </c>
      <c r="Z175" s="145">
        <f t="shared" si="71"/>
        <v>0</v>
      </c>
      <c r="AA175" s="126">
        <f t="shared" si="72"/>
        <v>12114.57</v>
      </c>
      <c r="AB175" s="260"/>
      <c r="AC175" s="261"/>
      <c r="AD175" s="262"/>
      <c r="AE175" s="263"/>
      <c r="AF175" s="262"/>
      <c r="AG175" s="118"/>
      <c r="AH175" s="118"/>
      <c r="AI175" s="118"/>
    </row>
    <row r="176" spans="3:35" s="65" customFormat="1">
      <c r="C176" s="120" t="s">
        <v>165</v>
      </c>
      <c r="D176" s="120" t="s">
        <v>166</v>
      </c>
      <c r="E176" s="128">
        <v>2308.8937000000001</v>
      </c>
      <c r="F176" s="129">
        <f>Perfils!$G$9</f>
        <v>62.77</v>
      </c>
      <c r="G176" s="130">
        <f t="shared" si="62"/>
        <v>144929.26</v>
      </c>
      <c r="H176" s="128">
        <v>1405.0913</v>
      </c>
      <c r="I176" s="129">
        <f>Perfils!$G$16</f>
        <v>62.77</v>
      </c>
      <c r="J176" s="130">
        <f t="shared" si="63"/>
        <v>88197.58</v>
      </c>
      <c r="K176" s="128">
        <v>563.14480000000003</v>
      </c>
      <c r="L176" s="129">
        <f>Perfils!$G$23</f>
        <v>62.77</v>
      </c>
      <c r="M176" s="130">
        <f t="shared" si="64"/>
        <v>35348.6</v>
      </c>
      <c r="N176" s="130">
        <v>0</v>
      </c>
      <c r="O176" s="128">
        <v>1269.6732999999999</v>
      </c>
      <c r="P176" s="129">
        <f>Perfils!$G$30</f>
        <v>71.540000000000006</v>
      </c>
      <c r="Q176" s="130">
        <f t="shared" si="65"/>
        <v>90832.43</v>
      </c>
      <c r="R176" s="130">
        <f t="shared" si="67"/>
        <v>359307.87</v>
      </c>
      <c r="S176" s="119"/>
      <c r="T176" s="119"/>
      <c r="U176" s="119"/>
      <c r="W176" s="126">
        <f t="shared" si="68"/>
        <v>40897.85</v>
      </c>
      <c r="X176" s="126">
        <f t="shared" si="69"/>
        <v>24888.63</v>
      </c>
      <c r="Y176" s="126">
        <f t="shared" si="70"/>
        <v>9975.08</v>
      </c>
      <c r="Z176" s="145">
        <f t="shared" si="71"/>
        <v>0</v>
      </c>
      <c r="AA176" s="126">
        <f t="shared" si="72"/>
        <v>25632.17</v>
      </c>
      <c r="AB176" s="260"/>
      <c r="AC176" s="261"/>
      <c r="AD176" s="262"/>
      <c r="AE176" s="263"/>
      <c r="AF176" s="262"/>
      <c r="AG176" s="118"/>
      <c r="AH176" s="118"/>
      <c r="AI176" s="118"/>
    </row>
    <row r="177" spans="3:35" s="65" customFormat="1">
      <c r="C177" s="120" t="s">
        <v>167</v>
      </c>
      <c r="D177" s="120" t="s">
        <v>168</v>
      </c>
      <c r="E177" s="128">
        <v>22.812799999999999</v>
      </c>
      <c r="F177" s="129">
        <f>Perfils!$G$9</f>
        <v>62.77</v>
      </c>
      <c r="G177" s="130">
        <f t="shared" si="62"/>
        <v>1431.96</v>
      </c>
      <c r="H177" s="128">
        <v>13.068300000000001</v>
      </c>
      <c r="I177" s="129">
        <f>Perfils!$G$16</f>
        <v>62.77</v>
      </c>
      <c r="J177" s="130">
        <f t="shared" si="63"/>
        <v>820.3</v>
      </c>
      <c r="K177" s="128">
        <v>8.5548000000000002</v>
      </c>
      <c r="L177" s="129">
        <f>Perfils!$G$23</f>
        <v>62.77</v>
      </c>
      <c r="M177" s="130">
        <f t="shared" si="64"/>
        <v>536.98</v>
      </c>
      <c r="N177" s="130">
        <v>0</v>
      </c>
      <c r="O177" s="128">
        <v>11.8088</v>
      </c>
      <c r="P177" s="129">
        <f>Perfils!$G$30</f>
        <v>71.540000000000006</v>
      </c>
      <c r="Q177" s="130">
        <f t="shared" si="65"/>
        <v>844.8</v>
      </c>
      <c r="R177" s="130">
        <f t="shared" si="67"/>
        <v>3634.04</v>
      </c>
      <c r="S177" s="119"/>
      <c r="T177" s="119"/>
      <c r="U177" s="119"/>
      <c r="W177" s="126">
        <f t="shared" si="68"/>
        <v>404.09</v>
      </c>
      <c r="X177" s="126">
        <f t="shared" si="69"/>
        <v>231.48</v>
      </c>
      <c r="Y177" s="126">
        <f t="shared" si="70"/>
        <v>151.53</v>
      </c>
      <c r="Z177" s="145">
        <f t="shared" si="71"/>
        <v>0</v>
      </c>
      <c r="AA177" s="126">
        <f t="shared" si="72"/>
        <v>238.4</v>
      </c>
      <c r="AB177" s="260"/>
      <c r="AC177" s="261"/>
      <c r="AD177" s="262"/>
      <c r="AE177" s="263"/>
      <c r="AF177" s="262"/>
      <c r="AG177" s="118"/>
      <c r="AH177" s="118"/>
      <c r="AI177" s="118"/>
    </row>
    <row r="178" spans="3:35" s="65" customFormat="1">
      <c r="C178" s="120" t="s">
        <v>169</v>
      </c>
      <c r="D178" s="120" t="s">
        <v>214</v>
      </c>
      <c r="E178" s="128">
        <v>114.0685</v>
      </c>
      <c r="F178" s="129">
        <f>Perfils!$G$9</f>
        <v>62.77</v>
      </c>
      <c r="G178" s="130">
        <f t="shared" si="62"/>
        <v>7160.08</v>
      </c>
      <c r="H178" s="128">
        <v>573.57619999999997</v>
      </c>
      <c r="I178" s="129">
        <f>Perfils!$G$16</f>
        <v>62.77</v>
      </c>
      <c r="J178" s="130">
        <f t="shared" si="63"/>
        <v>36003.379999999997</v>
      </c>
      <c r="K178" s="128">
        <v>185.3613</v>
      </c>
      <c r="L178" s="129">
        <f>Perfils!$G$23</f>
        <v>62.77</v>
      </c>
      <c r="M178" s="130">
        <f t="shared" si="64"/>
        <v>11635.13</v>
      </c>
      <c r="N178" s="130">
        <v>73341.533786400003</v>
      </c>
      <c r="O178" s="128">
        <v>518.29690000000005</v>
      </c>
      <c r="P178" s="129">
        <f>Perfils!$G$30</f>
        <v>71.540000000000006</v>
      </c>
      <c r="Q178" s="130">
        <f t="shared" si="65"/>
        <v>37078.959999999999</v>
      </c>
      <c r="R178" s="130">
        <f t="shared" si="67"/>
        <v>165219.08378640001</v>
      </c>
      <c r="S178" s="119"/>
      <c r="T178" s="119"/>
      <c r="U178" s="119"/>
      <c r="W178" s="126">
        <f t="shared" si="68"/>
        <v>2020.52</v>
      </c>
      <c r="X178" s="126">
        <f t="shared" si="69"/>
        <v>10159.86</v>
      </c>
      <c r="Y178" s="126">
        <f t="shared" si="70"/>
        <v>3283.34</v>
      </c>
      <c r="Z178" s="145">
        <f t="shared" si="71"/>
        <v>73341.533786400003</v>
      </c>
      <c r="AA178" s="126">
        <f t="shared" si="72"/>
        <v>10463.379999999999</v>
      </c>
      <c r="AB178" s="260"/>
      <c r="AC178" s="261"/>
      <c r="AD178" s="262"/>
      <c r="AE178" s="263"/>
      <c r="AF178" s="262"/>
      <c r="AG178" s="118"/>
      <c r="AH178" s="118"/>
      <c r="AI178" s="118"/>
    </row>
    <row r="179" spans="3:35" s="65" customFormat="1">
      <c r="C179" s="120" t="s">
        <v>170</v>
      </c>
      <c r="D179" s="120" t="s">
        <v>171</v>
      </c>
      <c r="E179" s="128">
        <v>136.8826</v>
      </c>
      <c r="F179" s="129">
        <f>Perfils!$G$9</f>
        <v>62.77</v>
      </c>
      <c r="G179" s="130">
        <f t="shared" si="62"/>
        <v>8592.1200000000008</v>
      </c>
      <c r="H179" s="128">
        <v>453.0539</v>
      </c>
      <c r="I179" s="129">
        <f>Perfils!$G$16</f>
        <v>62.77</v>
      </c>
      <c r="J179" s="130">
        <f t="shared" si="63"/>
        <v>28438.19</v>
      </c>
      <c r="K179" s="128">
        <v>114.0688</v>
      </c>
      <c r="L179" s="129">
        <f>Perfils!$G$23</f>
        <v>62.77</v>
      </c>
      <c r="M179" s="130">
        <f t="shared" si="64"/>
        <v>7160.1</v>
      </c>
      <c r="N179" s="130">
        <v>0</v>
      </c>
      <c r="O179" s="128">
        <v>409.39010000000002</v>
      </c>
      <c r="P179" s="129">
        <f>Perfils!$G$30</f>
        <v>71.540000000000006</v>
      </c>
      <c r="Q179" s="130">
        <f t="shared" si="65"/>
        <v>29287.77</v>
      </c>
      <c r="R179" s="130">
        <f t="shared" si="67"/>
        <v>73478.179999999993</v>
      </c>
      <c r="S179" s="119"/>
      <c r="T179" s="119"/>
      <c r="U179" s="119"/>
      <c r="W179" s="126">
        <f t="shared" si="68"/>
        <v>2424.63</v>
      </c>
      <c r="X179" s="126">
        <f t="shared" si="69"/>
        <v>8025.02</v>
      </c>
      <c r="Y179" s="126">
        <f t="shared" si="70"/>
        <v>2020.52</v>
      </c>
      <c r="Z179" s="145">
        <f t="shared" si="71"/>
        <v>0</v>
      </c>
      <c r="AA179" s="126">
        <f t="shared" si="72"/>
        <v>8264.77</v>
      </c>
      <c r="AB179" s="260"/>
      <c r="AC179" s="261"/>
      <c r="AD179" s="262"/>
      <c r="AE179" s="263"/>
      <c r="AF179" s="262"/>
      <c r="AG179" s="118"/>
      <c r="AH179" s="118"/>
      <c r="AI179" s="118"/>
    </row>
    <row r="180" spans="3:35" s="65" customFormat="1">
      <c r="C180" s="120" t="s">
        <v>172</v>
      </c>
      <c r="D180" s="120" t="s">
        <v>173</v>
      </c>
      <c r="E180" s="128">
        <v>124.8535</v>
      </c>
      <c r="F180" s="129">
        <f>Perfils!$G$9</f>
        <v>62.77</v>
      </c>
      <c r="G180" s="130">
        <f t="shared" si="62"/>
        <v>7837.05</v>
      </c>
      <c r="H180" s="128">
        <v>150.57320000000001</v>
      </c>
      <c r="I180" s="129">
        <f>Perfils!$G$16</f>
        <v>62.77</v>
      </c>
      <c r="J180" s="130">
        <f t="shared" si="63"/>
        <v>9451.48</v>
      </c>
      <c r="K180" s="128">
        <v>41.617800000000003</v>
      </c>
      <c r="L180" s="129">
        <f>Perfils!$G$23</f>
        <v>62.77</v>
      </c>
      <c r="M180" s="130">
        <f t="shared" si="64"/>
        <v>2612.35</v>
      </c>
      <c r="N180" s="130">
        <v>0</v>
      </c>
      <c r="O180" s="128">
        <v>57.468200000000003</v>
      </c>
      <c r="P180" s="129">
        <f>Perfils!$G$30</f>
        <v>71.540000000000006</v>
      </c>
      <c r="Q180" s="130">
        <f t="shared" si="65"/>
        <v>4111.28</v>
      </c>
      <c r="R180" s="130">
        <f t="shared" si="67"/>
        <v>24012.159999999996</v>
      </c>
      <c r="S180" s="119"/>
      <c r="T180" s="119"/>
      <c r="U180" s="119"/>
      <c r="W180" s="126">
        <f t="shared" si="68"/>
        <v>2211.5500000000002</v>
      </c>
      <c r="X180" s="126">
        <f t="shared" si="69"/>
        <v>2667.13</v>
      </c>
      <c r="Y180" s="126">
        <f t="shared" si="70"/>
        <v>737.18</v>
      </c>
      <c r="Z180" s="145">
        <f t="shared" si="71"/>
        <v>0</v>
      </c>
      <c r="AA180" s="126">
        <f t="shared" si="72"/>
        <v>1160.17</v>
      </c>
      <c r="AB180" s="260"/>
      <c r="AC180" s="261"/>
      <c r="AD180" s="262"/>
      <c r="AE180" s="263"/>
      <c r="AF180" s="262"/>
      <c r="AG180" s="118"/>
      <c r="AH180" s="118"/>
      <c r="AI180" s="118"/>
    </row>
    <row r="181" spans="3:35" s="65" customFormat="1">
      <c r="C181" s="120" t="s">
        <v>174</v>
      </c>
      <c r="D181" s="120" t="s">
        <v>175</v>
      </c>
      <c r="E181" s="128">
        <v>93.075800000000001</v>
      </c>
      <c r="F181" s="129">
        <f>Perfils!$G$9</f>
        <v>62.77</v>
      </c>
      <c r="G181" s="130">
        <f t="shared" si="62"/>
        <v>5842.37</v>
      </c>
      <c r="H181" s="128">
        <v>20.8247</v>
      </c>
      <c r="I181" s="129">
        <f>Perfils!$G$16</f>
        <v>62.77</v>
      </c>
      <c r="J181" s="130">
        <f t="shared" si="63"/>
        <v>1307.17</v>
      </c>
      <c r="K181" s="128">
        <v>7.0511999999999997</v>
      </c>
      <c r="L181" s="129">
        <f>Perfils!$G$23</f>
        <v>62.77</v>
      </c>
      <c r="M181" s="130">
        <f t="shared" si="64"/>
        <v>442.6</v>
      </c>
      <c r="N181" s="130">
        <v>0</v>
      </c>
      <c r="O181" s="128">
        <v>18.817699999999999</v>
      </c>
      <c r="P181" s="129">
        <f>Perfils!$G$30</f>
        <v>71.540000000000006</v>
      </c>
      <c r="Q181" s="130">
        <f t="shared" si="65"/>
        <v>1346.22</v>
      </c>
      <c r="R181" s="130">
        <f t="shared" si="67"/>
        <v>8938.36</v>
      </c>
      <c r="S181" s="119"/>
      <c r="T181" s="119"/>
      <c r="U181" s="119"/>
      <c r="W181" s="126">
        <f t="shared" si="68"/>
        <v>1648.67</v>
      </c>
      <c r="X181" s="126">
        <f t="shared" si="69"/>
        <v>368.87</v>
      </c>
      <c r="Y181" s="126">
        <f t="shared" si="70"/>
        <v>124.9</v>
      </c>
      <c r="Z181" s="145">
        <f t="shared" si="71"/>
        <v>0</v>
      </c>
      <c r="AA181" s="126">
        <f t="shared" si="72"/>
        <v>379.89</v>
      </c>
      <c r="AB181" s="260"/>
      <c r="AC181" s="261"/>
      <c r="AD181" s="262"/>
      <c r="AE181" s="263"/>
      <c r="AF181" s="262"/>
      <c r="AG181" s="118"/>
      <c r="AH181" s="118"/>
      <c r="AI181" s="118"/>
    </row>
    <row r="182" spans="3:35" s="65" customFormat="1">
      <c r="C182" s="120" t="s">
        <v>176</v>
      </c>
      <c r="D182" s="120" t="s">
        <v>177</v>
      </c>
      <c r="E182" s="128">
        <v>199.24160000000001</v>
      </c>
      <c r="F182" s="129">
        <f>Perfils!$G$9</f>
        <v>62.77</v>
      </c>
      <c r="G182" s="130">
        <f t="shared" si="62"/>
        <v>12506.4</v>
      </c>
      <c r="H182" s="128">
        <v>48.977699999999999</v>
      </c>
      <c r="I182" s="129">
        <f>Perfils!$G$16</f>
        <v>62.77</v>
      </c>
      <c r="J182" s="130">
        <f t="shared" si="63"/>
        <v>3074.33</v>
      </c>
      <c r="K182" s="128">
        <v>48.092799999999997</v>
      </c>
      <c r="L182" s="129">
        <f>Perfils!$G$23</f>
        <v>62.77</v>
      </c>
      <c r="M182" s="130">
        <f t="shared" si="64"/>
        <v>3018.79</v>
      </c>
      <c r="N182" s="130">
        <v>0</v>
      </c>
      <c r="O182" s="128">
        <v>44.257399999999997</v>
      </c>
      <c r="P182" s="129">
        <f>Perfils!$G$30</f>
        <v>71.540000000000006</v>
      </c>
      <c r="Q182" s="130">
        <f t="shared" si="65"/>
        <v>3166.17</v>
      </c>
      <c r="R182" s="130">
        <f t="shared" si="67"/>
        <v>21765.690000000002</v>
      </c>
      <c r="S182" s="119"/>
      <c r="T182" s="119"/>
      <c r="U182" s="119"/>
      <c r="W182" s="126">
        <f t="shared" si="68"/>
        <v>3529.2</v>
      </c>
      <c r="X182" s="126">
        <f t="shared" si="69"/>
        <v>867.55</v>
      </c>
      <c r="Y182" s="126">
        <f t="shared" si="70"/>
        <v>851.88</v>
      </c>
      <c r="Z182" s="145">
        <f t="shared" si="71"/>
        <v>0</v>
      </c>
      <c r="AA182" s="126">
        <f t="shared" si="72"/>
        <v>893.47</v>
      </c>
      <c r="AB182" s="260"/>
      <c r="AC182" s="261"/>
      <c r="AD182" s="262"/>
      <c r="AE182" s="263"/>
      <c r="AF182" s="262"/>
      <c r="AG182" s="118"/>
      <c r="AH182" s="118"/>
      <c r="AI182" s="118"/>
    </row>
    <row r="183" spans="3:35" s="65" customFormat="1">
      <c r="C183" s="120" t="s">
        <v>178</v>
      </c>
      <c r="D183" s="120" t="s">
        <v>179</v>
      </c>
      <c r="E183" s="128">
        <v>256.65550000000002</v>
      </c>
      <c r="F183" s="129">
        <f>Perfils!$G$9</f>
        <v>62.77</v>
      </c>
      <c r="G183" s="130">
        <f t="shared" si="62"/>
        <v>16110.27</v>
      </c>
      <c r="H183" s="128">
        <v>94.386499999999998</v>
      </c>
      <c r="I183" s="129">
        <f>Perfils!$G$16</f>
        <v>62.77</v>
      </c>
      <c r="J183" s="130">
        <f t="shared" si="63"/>
        <v>5924.64</v>
      </c>
      <c r="K183" s="128">
        <v>33.270200000000003</v>
      </c>
      <c r="L183" s="129">
        <f>Perfils!$G$23</f>
        <v>62.77</v>
      </c>
      <c r="M183" s="130">
        <f t="shared" si="64"/>
        <v>2088.37</v>
      </c>
      <c r="N183" s="130">
        <v>0</v>
      </c>
      <c r="O183" s="128">
        <v>85.2898</v>
      </c>
      <c r="P183" s="129">
        <f>Perfils!$G$30</f>
        <v>71.540000000000006</v>
      </c>
      <c r="Q183" s="130">
        <f t="shared" si="65"/>
        <v>6101.63</v>
      </c>
      <c r="R183" s="130">
        <f t="shared" si="67"/>
        <v>30224.91</v>
      </c>
      <c r="S183" s="119"/>
      <c r="T183" s="119"/>
      <c r="U183" s="119"/>
      <c r="W183" s="126">
        <f t="shared" si="68"/>
        <v>4546.1899999999996</v>
      </c>
      <c r="X183" s="126">
        <f t="shared" si="69"/>
        <v>1671.88</v>
      </c>
      <c r="Y183" s="126">
        <f t="shared" si="70"/>
        <v>589.32000000000005</v>
      </c>
      <c r="Z183" s="145">
        <f t="shared" si="71"/>
        <v>0</v>
      </c>
      <c r="AA183" s="126">
        <f t="shared" si="72"/>
        <v>1721.83</v>
      </c>
      <c r="AB183" s="260"/>
      <c r="AC183" s="261"/>
      <c r="AD183" s="262"/>
      <c r="AE183" s="263"/>
      <c r="AF183" s="262"/>
      <c r="AG183" s="118"/>
      <c r="AH183" s="118"/>
      <c r="AI183" s="118"/>
    </row>
    <row r="184" spans="3:35" s="65" customFormat="1">
      <c r="C184" s="120" t="s">
        <v>180</v>
      </c>
      <c r="D184" s="120" t="s">
        <v>280</v>
      </c>
      <c r="E184" s="128">
        <v>0</v>
      </c>
      <c r="F184" s="129">
        <f>Perfils!$G$9</f>
        <v>62.77</v>
      </c>
      <c r="G184" s="130">
        <f t="shared" si="62"/>
        <v>0</v>
      </c>
      <c r="H184" s="128">
        <v>0</v>
      </c>
      <c r="I184" s="129">
        <f>Perfils!$G$16</f>
        <v>62.77</v>
      </c>
      <c r="J184" s="130">
        <f t="shared" si="63"/>
        <v>0</v>
      </c>
      <c r="K184" s="128">
        <v>1938.7068999999999</v>
      </c>
      <c r="L184" s="129">
        <f>Perfils!$G$23</f>
        <v>62.77</v>
      </c>
      <c r="M184" s="130">
        <f t="shared" si="64"/>
        <v>121692.63</v>
      </c>
      <c r="N184" s="130">
        <v>0</v>
      </c>
      <c r="O184" s="128">
        <v>4880.0676999999996</v>
      </c>
      <c r="P184" s="129">
        <f>Perfils!$G$30</f>
        <v>71.540000000000006</v>
      </c>
      <c r="Q184" s="130">
        <f t="shared" si="65"/>
        <v>349120.04</v>
      </c>
      <c r="R184" s="130">
        <f t="shared" si="67"/>
        <v>470812.67</v>
      </c>
      <c r="S184" s="119"/>
      <c r="T184" s="119"/>
      <c r="U184" s="119"/>
      <c r="W184" s="126">
        <f t="shared" si="68"/>
        <v>0</v>
      </c>
      <c r="X184" s="126">
        <f t="shared" si="69"/>
        <v>0</v>
      </c>
      <c r="Y184" s="126">
        <f>ROUND(M184*MIN(($W$161-$W$160+1),365)/365,2)</f>
        <v>34340.660000000003</v>
      </c>
      <c r="Z184" s="145">
        <f t="shared" si="71"/>
        <v>0</v>
      </c>
      <c r="AA184" s="126">
        <f t="shared" si="72"/>
        <v>98518.81</v>
      </c>
      <c r="AB184" s="260"/>
      <c r="AC184" s="261"/>
      <c r="AD184" s="262"/>
      <c r="AE184" s="263"/>
      <c r="AF184" s="262"/>
      <c r="AG184" s="220"/>
      <c r="AH184" s="118"/>
      <c r="AI184" s="118"/>
    </row>
    <row r="185" spans="3:35" s="65" customFormat="1">
      <c r="C185" s="120" t="s">
        <v>181</v>
      </c>
      <c r="D185" s="120" t="s">
        <v>182</v>
      </c>
      <c r="E185" s="128">
        <v>0</v>
      </c>
      <c r="F185" s="129">
        <f>Perfils!$G$9</f>
        <v>62.77</v>
      </c>
      <c r="G185" s="130">
        <f t="shared" si="62"/>
        <v>0</v>
      </c>
      <c r="H185" s="128">
        <v>0</v>
      </c>
      <c r="I185" s="129">
        <f>Perfils!$G$16</f>
        <v>62.77</v>
      </c>
      <c r="J185" s="130">
        <f t="shared" si="63"/>
        <v>0</v>
      </c>
      <c r="K185" s="128">
        <v>0</v>
      </c>
      <c r="L185" s="129">
        <f>Perfils!$G$23</f>
        <v>62.77</v>
      </c>
      <c r="M185" s="130">
        <f t="shared" si="64"/>
        <v>0</v>
      </c>
      <c r="N185" s="130">
        <v>60321.881028800104</v>
      </c>
      <c r="O185" s="128">
        <v>0</v>
      </c>
      <c r="P185" s="129">
        <f>Perfils!$G$30</f>
        <v>71.540000000000006</v>
      </c>
      <c r="Q185" s="130">
        <f t="shared" si="65"/>
        <v>0</v>
      </c>
      <c r="R185" s="130">
        <f t="shared" si="67"/>
        <v>60321.881028800104</v>
      </c>
      <c r="S185" s="119"/>
      <c r="T185" s="119"/>
      <c r="U185" s="119"/>
      <c r="W185" s="126">
        <f t="shared" si="68"/>
        <v>0</v>
      </c>
      <c r="X185" s="126">
        <f t="shared" si="69"/>
        <v>0</v>
      </c>
      <c r="Y185" s="126">
        <f t="shared" si="70"/>
        <v>0</v>
      </c>
      <c r="Z185" s="145">
        <f>ROUND(N185*MIN(($W$161-$W$160+1),365)/365,2)</f>
        <v>17022.34</v>
      </c>
      <c r="AA185" s="126">
        <f t="shared" si="72"/>
        <v>0</v>
      </c>
      <c r="AB185" s="260"/>
      <c r="AC185" s="261"/>
      <c r="AD185" s="262"/>
      <c r="AE185" s="263"/>
      <c r="AF185" s="262"/>
      <c r="AG185" s="118"/>
      <c r="AH185" s="118"/>
      <c r="AI185" s="118"/>
    </row>
    <row r="186" spans="3:35" s="65" customFormat="1">
      <c r="C186" s="30" t="s">
        <v>294</v>
      </c>
      <c r="D186" s="30" t="s">
        <v>295</v>
      </c>
      <c r="E186" s="128">
        <v>0</v>
      </c>
      <c r="F186" s="129">
        <f>Perfils!$G$9</f>
        <v>62.77</v>
      </c>
      <c r="G186" s="130">
        <f t="shared" si="62"/>
        <v>0</v>
      </c>
      <c r="H186" s="128">
        <v>0</v>
      </c>
      <c r="I186" s="129">
        <f>Perfils!$G$16</f>
        <v>62.77</v>
      </c>
      <c r="J186" s="130">
        <f t="shared" si="63"/>
        <v>0</v>
      </c>
      <c r="K186" s="128">
        <v>0</v>
      </c>
      <c r="L186" s="129">
        <f>Perfils!$G$23</f>
        <v>62.77</v>
      </c>
      <c r="M186" s="130">
        <f t="shared" si="64"/>
        <v>0</v>
      </c>
      <c r="N186" s="130">
        <v>26877.972000000002</v>
      </c>
      <c r="O186" s="128">
        <v>0</v>
      </c>
      <c r="P186" s="129">
        <f>Perfils!$G$30</f>
        <v>71.540000000000006</v>
      </c>
      <c r="Q186" s="130">
        <f t="shared" si="65"/>
        <v>0</v>
      </c>
      <c r="R186" s="130">
        <f t="shared" si="67"/>
        <v>26877.972000000002</v>
      </c>
      <c r="S186" s="119"/>
      <c r="T186" s="119"/>
      <c r="U186" s="119"/>
      <c r="W186" s="126">
        <f t="shared" si="68"/>
        <v>0</v>
      </c>
      <c r="X186" s="126">
        <f t="shared" si="69"/>
        <v>0</v>
      </c>
      <c r="Y186" s="126">
        <f t="shared" si="70"/>
        <v>0</v>
      </c>
      <c r="Z186" s="145">
        <f>ROUND(N186*MIN(($W$161-$W$160+1),365)/365,2)</f>
        <v>7584.74</v>
      </c>
      <c r="AA186" s="126">
        <f t="shared" si="72"/>
        <v>0</v>
      </c>
      <c r="AB186" s="260"/>
      <c r="AC186" s="261"/>
      <c r="AD186" s="262"/>
      <c r="AE186" s="263"/>
      <c r="AF186" s="262"/>
      <c r="AG186" s="118"/>
      <c r="AH186" s="118"/>
      <c r="AI186" s="118"/>
    </row>
    <row r="187" spans="3:35" s="65" customFormat="1">
      <c r="C187" s="120" t="s">
        <v>210</v>
      </c>
      <c r="D187" s="120" t="s">
        <v>183</v>
      </c>
      <c r="E187" s="128">
        <v>317.50319999999999</v>
      </c>
      <c r="F187" s="129">
        <f>Perfils!$G$9</f>
        <v>62.77</v>
      </c>
      <c r="G187" s="130">
        <f t="shared" si="62"/>
        <v>19929.68</v>
      </c>
      <c r="H187" s="128">
        <v>254.05699999999999</v>
      </c>
      <c r="I187" s="129">
        <f>Perfils!$G$16</f>
        <v>62.77</v>
      </c>
      <c r="J187" s="130">
        <f t="shared" si="63"/>
        <v>15947.16</v>
      </c>
      <c r="K187" s="128">
        <v>90.715199999999996</v>
      </c>
      <c r="L187" s="129">
        <f>Perfils!$G$23</f>
        <v>62.77</v>
      </c>
      <c r="M187" s="130">
        <f t="shared" si="64"/>
        <v>5694.19</v>
      </c>
      <c r="N187" s="130">
        <v>0</v>
      </c>
      <c r="O187" s="128">
        <v>229.5718</v>
      </c>
      <c r="P187" s="129">
        <f>Perfils!$G$30</f>
        <v>71.540000000000006</v>
      </c>
      <c r="Q187" s="130">
        <f t="shared" si="65"/>
        <v>16423.57</v>
      </c>
      <c r="R187" s="130">
        <f t="shared" si="67"/>
        <v>57994.6</v>
      </c>
      <c r="S187" s="119"/>
      <c r="T187" s="119"/>
      <c r="U187" s="119"/>
      <c r="W187" s="126">
        <f t="shared" si="68"/>
        <v>5623.99</v>
      </c>
      <c r="X187" s="126">
        <f t="shared" si="69"/>
        <v>4500.16</v>
      </c>
      <c r="Y187" s="126">
        <f t="shared" si="70"/>
        <v>1606.85</v>
      </c>
      <c r="Z187" s="145">
        <f t="shared" si="71"/>
        <v>0</v>
      </c>
      <c r="AA187" s="126">
        <f t="shared" si="72"/>
        <v>4634.6000000000004</v>
      </c>
      <c r="AB187" s="260"/>
      <c r="AC187" s="261"/>
      <c r="AD187" s="262"/>
      <c r="AE187" s="263"/>
      <c r="AF187" s="262"/>
      <c r="AG187" s="118"/>
      <c r="AH187" s="118"/>
      <c r="AI187" s="118"/>
    </row>
    <row r="188" spans="3:35" s="65" customFormat="1">
      <c r="C188" s="30" t="s">
        <v>213</v>
      </c>
      <c r="D188" s="120" t="s">
        <v>215</v>
      </c>
      <c r="E188" s="128">
        <v>266.15960000000001</v>
      </c>
      <c r="F188" s="129">
        <f>Perfils!$G$9</f>
        <v>62.77</v>
      </c>
      <c r="G188" s="130">
        <f t="shared" si="62"/>
        <v>16706.84</v>
      </c>
      <c r="H188" s="128">
        <v>232.33449999999999</v>
      </c>
      <c r="I188" s="129">
        <f>Perfils!$G$16</f>
        <v>62.77</v>
      </c>
      <c r="J188" s="130">
        <f t="shared" si="63"/>
        <v>14583.64</v>
      </c>
      <c r="K188" s="128">
        <v>38.022799999999997</v>
      </c>
      <c r="L188" s="129">
        <f>Perfils!$G$23</f>
        <v>62.77</v>
      </c>
      <c r="M188" s="130">
        <f t="shared" si="64"/>
        <v>2386.69</v>
      </c>
      <c r="N188" s="130">
        <v>0</v>
      </c>
      <c r="O188" s="128">
        <v>209.94290000000001</v>
      </c>
      <c r="P188" s="129">
        <f>Perfils!$G$30</f>
        <v>71.540000000000006</v>
      </c>
      <c r="Q188" s="130">
        <f t="shared" si="65"/>
        <v>15019.32</v>
      </c>
      <c r="R188" s="130">
        <f t="shared" si="67"/>
        <v>48696.49</v>
      </c>
      <c r="S188" s="119"/>
      <c r="T188" s="119"/>
      <c r="U188" s="119"/>
      <c r="W188" s="126">
        <f t="shared" si="68"/>
        <v>4714.53</v>
      </c>
      <c r="X188" s="126">
        <f t="shared" si="69"/>
        <v>4115.38</v>
      </c>
      <c r="Y188" s="126">
        <f t="shared" si="70"/>
        <v>673.5</v>
      </c>
      <c r="Z188" s="145">
        <f t="shared" si="71"/>
        <v>0</v>
      </c>
      <c r="AA188" s="126">
        <f t="shared" si="72"/>
        <v>4238.33</v>
      </c>
      <c r="AB188" s="260"/>
      <c r="AC188" s="261"/>
      <c r="AD188" s="262"/>
      <c r="AE188" s="263"/>
      <c r="AF188" s="262"/>
      <c r="AG188" s="118"/>
      <c r="AH188" s="118"/>
      <c r="AI188" s="118"/>
    </row>
    <row r="189" spans="3:35" s="65" customFormat="1">
      <c r="C189" s="30" t="s">
        <v>211</v>
      </c>
      <c r="D189" s="30" t="s">
        <v>212</v>
      </c>
      <c r="E189" s="128">
        <v>74.143699999999995</v>
      </c>
      <c r="F189" s="129">
        <f>Perfils!$G$9</f>
        <v>62.77</v>
      </c>
      <c r="G189" s="130">
        <f t="shared" si="62"/>
        <v>4654</v>
      </c>
      <c r="H189" s="128">
        <v>97.289100000000005</v>
      </c>
      <c r="I189" s="129">
        <f>Perfils!$G$16</f>
        <v>62.77</v>
      </c>
      <c r="J189" s="130">
        <f t="shared" si="63"/>
        <v>6106.84</v>
      </c>
      <c r="K189" s="128">
        <v>19.9618</v>
      </c>
      <c r="L189" s="129">
        <f>Perfils!$G$23</f>
        <v>62.77</v>
      </c>
      <c r="M189" s="130">
        <f t="shared" si="64"/>
        <v>1253</v>
      </c>
      <c r="N189" s="130">
        <v>0</v>
      </c>
      <c r="O189" s="128">
        <v>87.912700000000001</v>
      </c>
      <c r="P189" s="129">
        <f>Perfils!$G$30</f>
        <v>71.540000000000006</v>
      </c>
      <c r="Q189" s="130">
        <f t="shared" si="65"/>
        <v>6289.27</v>
      </c>
      <c r="R189" s="130">
        <f t="shared" si="67"/>
        <v>18303.11</v>
      </c>
      <c r="S189" s="119"/>
      <c r="T189" s="119"/>
      <c r="U189" s="119"/>
      <c r="W189" s="126">
        <f t="shared" si="68"/>
        <v>1313.32</v>
      </c>
      <c r="X189" s="126">
        <f t="shared" si="69"/>
        <v>1723.3</v>
      </c>
      <c r="Y189" s="126">
        <f t="shared" si="70"/>
        <v>353.59</v>
      </c>
      <c r="Z189" s="145">
        <f t="shared" si="71"/>
        <v>0</v>
      </c>
      <c r="AA189" s="126">
        <f t="shared" si="72"/>
        <v>1774.78</v>
      </c>
      <c r="AB189" s="260"/>
      <c r="AC189" s="261"/>
      <c r="AD189" s="262"/>
      <c r="AE189" s="263"/>
      <c r="AF189" s="262"/>
      <c r="AG189" s="118"/>
      <c r="AH189" s="118"/>
      <c r="AI189" s="118"/>
    </row>
    <row r="190" spans="3:35" s="65" customFormat="1">
      <c r="C190" s="120" t="s">
        <v>208</v>
      </c>
      <c r="D190" s="120" t="s">
        <v>209</v>
      </c>
      <c r="E190" s="128">
        <v>380.22730000000001</v>
      </c>
      <c r="F190" s="129">
        <f>Perfils!$G$9</f>
        <v>62.77</v>
      </c>
      <c r="G190" s="130">
        <f t="shared" si="62"/>
        <v>23866.87</v>
      </c>
      <c r="H190" s="128">
        <v>217.81319999999999</v>
      </c>
      <c r="I190" s="129">
        <f>Perfils!$G$16</f>
        <v>62.77</v>
      </c>
      <c r="J190" s="130">
        <f t="shared" si="63"/>
        <v>13672.13</v>
      </c>
      <c r="K190" s="128">
        <v>142.58519999999999</v>
      </c>
      <c r="L190" s="129">
        <f>Perfils!$G$23</f>
        <v>62.77</v>
      </c>
      <c r="M190" s="130">
        <f t="shared" si="64"/>
        <v>8950.07</v>
      </c>
      <c r="N190" s="130">
        <v>0</v>
      </c>
      <c r="O190" s="128">
        <v>196.8211</v>
      </c>
      <c r="P190" s="129">
        <f>Perfils!$G$30</f>
        <v>71.540000000000006</v>
      </c>
      <c r="Q190" s="130">
        <f t="shared" si="65"/>
        <v>14080.58</v>
      </c>
      <c r="R190" s="130">
        <f t="shared" si="67"/>
        <v>60569.65</v>
      </c>
      <c r="S190" s="119"/>
      <c r="T190" s="119"/>
      <c r="U190" s="119"/>
      <c r="W190" s="126">
        <f t="shared" si="68"/>
        <v>6735.03</v>
      </c>
      <c r="X190" s="126">
        <f t="shared" si="69"/>
        <v>3858.16</v>
      </c>
      <c r="Y190" s="126">
        <f t="shared" si="70"/>
        <v>2525.64</v>
      </c>
      <c r="Z190" s="145">
        <f t="shared" si="71"/>
        <v>0</v>
      </c>
      <c r="AA190" s="126">
        <f t="shared" si="72"/>
        <v>3973.42</v>
      </c>
      <c r="AB190" s="260"/>
      <c r="AC190" s="261"/>
      <c r="AD190" s="262"/>
      <c r="AE190" s="263"/>
      <c r="AF190" s="262"/>
      <c r="AG190" s="118"/>
      <c r="AH190" s="118"/>
      <c r="AI190" s="118"/>
    </row>
    <row r="191" spans="3:35" s="65" customFormat="1">
      <c r="C191" s="120" t="s">
        <v>221</v>
      </c>
      <c r="D191" s="120" t="s">
        <v>218</v>
      </c>
      <c r="E191" s="128">
        <v>456.27379999999999</v>
      </c>
      <c r="F191" s="129">
        <f>Perfils!$G$9</f>
        <v>62.77</v>
      </c>
      <c r="G191" s="130">
        <f t="shared" si="62"/>
        <v>28640.31</v>
      </c>
      <c r="H191" s="128">
        <v>261.37639999999999</v>
      </c>
      <c r="I191" s="129">
        <f>Perfils!$G$16</f>
        <v>62.77</v>
      </c>
      <c r="J191" s="130">
        <f t="shared" si="63"/>
        <v>16406.599999999999</v>
      </c>
      <c r="K191" s="128">
        <v>171.1027</v>
      </c>
      <c r="L191" s="129">
        <f>Perfils!$G$23</f>
        <v>62.77</v>
      </c>
      <c r="M191" s="130">
        <f t="shared" si="64"/>
        <v>10740.12</v>
      </c>
      <c r="N191" s="130">
        <v>0</v>
      </c>
      <c r="O191" s="128">
        <v>236.1858</v>
      </c>
      <c r="P191" s="129">
        <f>Perfils!$G$30</f>
        <v>71.540000000000006</v>
      </c>
      <c r="Q191" s="130">
        <f t="shared" si="65"/>
        <v>16896.73</v>
      </c>
      <c r="R191" s="130">
        <f t="shared" si="67"/>
        <v>72683.760000000009</v>
      </c>
      <c r="S191" s="142"/>
      <c r="T191" s="142"/>
      <c r="U191" s="119"/>
      <c r="W191" s="126">
        <f t="shared" si="68"/>
        <v>8082.06</v>
      </c>
      <c r="X191" s="126">
        <f t="shared" si="69"/>
        <v>4629.8100000000004</v>
      </c>
      <c r="Y191" s="126">
        <f t="shared" si="70"/>
        <v>3030.77</v>
      </c>
      <c r="Z191" s="145">
        <f t="shared" si="71"/>
        <v>0</v>
      </c>
      <c r="AA191" s="126">
        <f t="shared" si="72"/>
        <v>4768.12</v>
      </c>
      <c r="AB191" s="260"/>
      <c r="AC191" s="261"/>
      <c r="AD191" s="262"/>
      <c r="AE191" s="263"/>
      <c r="AF191" s="262"/>
      <c r="AG191" s="118"/>
      <c r="AH191" s="118"/>
      <c r="AI191" s="118"/>
    </row>
    <row r="192" spans="3:35" s="65" customFormat="1">
      <c r="C192" s="120" t="s">
        <v>289</v>
      </c>
      <c r="D192" s="120" t="s">
        <v>290</v>
      </c>
      <c r="E192" s="128">
        <v>382.5095</v>
      </c>
      <c r="F192" s="129">
        <f>Perfils!$G$9</f>
        <v>62.77</v>
      </c>
      <c r="G192" s="130">
        <f t="shared" si="62"/>
        <v>24010.12</v>
      </c>
      <c r="H192" s="128">
        <v>219.1206</v>
      </c>
      <c r="I192" s="129">
        <f>Perfils!$G$16</f>
        <v>62.77</v>
      </c>
      <c r="J192" s="130">
        <f t="shared" si="63"/>
        <v>13754.2</v>
      </c>
      <c r="K192" s="128">
        <v>143.44110000000001</v>
      </c>
      <c r="L192" s="129">
        <f>Perfils!$G$23</f>
        <v>62.77</v>
      </c>
      <c r="M192" s="130">
        <f t="shared" si="64"/>
        <v>9003.7999999999993</v>
      </c>
      <c r="N192" s="130">
        <v>0</v>
      </c>
      <c r="O192" s="128">
        <v>198.0025</v>
      </c>
      <c r="P192" s="129">
        <f>Perfils!$G$30</f>
        <v>71.540000000000006</v>
      </c>
      <c r="Q192" s="130">
        <f t="shared" si="65"/>
        <v>14165.1</v>
      </c>
      <c r="R192" s="130">
        <f t="shared" si="67"/>
        <v>60933.219999999994</v>
      </c>
      <c r="S192" s="142"/>
      <c r="T192" s="142"/>
      <c r="U192" s="119"/>
      <c r="W192" s="126">
        <f t="shared" si="68"/>
        <v>6775.46</v>
      </c>
      <c r="X192" s="126">
        <f t="shared" si="69"/>
        <v>3881.32</v>
      </c>
      <c r="Y192" s="126">
        <f t="shared" si="70"/>
        <v>2540.8000000000002</v>
      </c>
      <c r="Z192" s="145">
        <f t="shared" si="71"/>
        <v>0</v>
      </c>
      <c r="AA192" s="126">
        <f t="shared" si="72"/>
        <v>3997.27</v>
      </c>
      <c r="AB192" s="260"/>
      <c r="AC192" s="261"/>
      <c r="AD192" s="262"/>
      <c r="AE192" s="263"/>
      <c r="AF192" s="262"/>
      <c r="AG192" s="118"/>
      <c r="AH192" s="118"/>
      <c r="AI192" s="118"/>
    </row>
    <row r="193" spans="3:35" s="65" customFormat="1">
      <c r="C193" s="120" t="s">
        <v>292</v>
      </c>
      <c r="D193" s="120" t="s">
        <v>293</v>
      </c>
      <c r="E193" s="128">
        <v>266.15969999999999</v>
      </c>
      <c r="F193" s="129">
        <f>Perfils!$G$9</f>
        <v>62.77</v>
      </c>
      <c r="G193" s="130">
        <f t="shared" si="62"/>
        <v>16706.84</v>
      </c>
      <c r="H193" s="128">
        <v>152.46960000000001</v>
      </c>
      <c r="I193" s="129">
        <f>Perfils!$G$16</f>
        <v>62.77</v>
      </c>
      <c r="J193" s="130">
        <f t="shared" si="63"/>
        <v>9570.52</v>
      </c>
      <c r="K193" s="128">
        <v>99.809899999999999</v>
      </c>
      <c r="L193" s="129">
        <f>Perfils!$G$23</f>
        <v>62.77</v>
      </c>
      <c r="M193" s="130">
        <f t="shared" si="64"/>
        <v>6265.07</v>
      </c>
      <c r="N193" s="130">
        <v>0</v>
      </c>
      <c r="O193" s="128">
        <v>137.77510000000001</v>
      </c>
      <c r="P193" s="129">
        <f>Perfils!$G$30</f>
        <v>71.540000000000006</v>
      </c>
      <c r="Q193" s="130">
        <f t="shared" si="65"/>
        <v>9856.43</v>
      </c>
      <c r="R193" s="130">
        <f t="shared" si="67"/>
        <v>42398.86</v>
      </c>
      <c r="S193" s="142"/>
      <c r="T193" s="142"/>
      <c r="U193" s="119"/>
      <c r="W193" s="126">
        <f t="shared" si="68"/>
        <v>4714.53</v>
      </c>
      <c r="X193" s="126">
        <f t="shared" si="69"/>
        <v>2700.72</v>
      </c>
      <c r="Y193" s="126">
        <f t="shared" si="70"/>
        <v>1767.95</v>
      </c>
      <c r="Z193" s="145">
        <f t="shared" si="71"/>
        <v>0</v>
      </c>
      <c r="AA193" s="126">
        <f t="shared" si="72"/>
        <v>2781.4</v>
      </c>
      <c r="AB193" s="260"/>
      <c r="AC193" s="261"/>
      <c r="AD193" s="262"/>
      <c r="AE193" s="263"/>
      <c r="AF193" s="262"/>
      <c r="AG193" s="118"/>
      <c r="AH193" s="118"/>
      <c r="AI193" s="118"/>
    </row>
    <row r="194" spans="3:35" s="65" customFormat="1">
      <c r="C194" s="120" t="s">
        <v>220</v>
      </c>
      <c r="D194" s="120" t="s">
        <v>219</v>
      </c>
      <c r="E194" s="128">
        <v>0</v>
      </c>
      <c r="F194" s="129">
        <f>Perfils!$G$9</f>
        <v>62.77</v>
      </c>
      <c r="G194" s="130">
        <f t="shared" si="62"/>
        <v>0</v>
      </c>
      <c r="H194" s="128">
        <v>0</v>
      </c>
      <c r="I194" s="129">
        <f>Perfils!$G$16</f>
        <v>62.77</v>
      </c>
      <c r="J194" s="130">
        <f t="shared" si="63"/>
        <v>0</v>
      </c>
      <c r="K194" s="128">
        <v>0</v>
      </c>
      <c r="L194" s="129">
        <f>Perfils!$G$23</f>
        <v>62.77</v>
      </c>
      <c r="M194" s="130">
        <f t="shared" si="64"/>
        <v>0</v>
      </c>
      <c r="N194" s="130">
        <v>0</v>
      </c>
      <c r="O194" s="128">
        <v>22130.3871</v>
      </c>
      <c r="P194" s="129">
        <f>Perfils!$G$30</f>
        <v>71.540000000000006</v>
      </c>
      <c r="Q194" s="130">
        <f t="shared" si="65"/>
        <v>1583207.89</v>
      </c>
      <c r="R194" s="130">
        <f t="shared" si="67"/>
        <v>1583207.89</v>
      </c>
      <c r="S194" s="142"/>
      <c r="T194" s="142"/>
      <c r="U194" s="119"/>
      <c r="W194" s="126">
        <f t="shared" si="68"/>
        <v>0</v>
      </c>
      <c r="X194" s="126">
        <f t="shared" si="69"/>
        <v>0</v>
      </c>
      <c r="Y194" s="126">
        <f t="shared" si="70"/>
        <v>0</v>
      </c>
      <c r="Z194" s="145">
        <f t="shared" si="71"/>
        <v>0</v>
      </c>
      <c r="AA194" s="126">
        <f t="shared" si="72"/>
        <v>446768.25</v>
      </c>
      <c r="AB194" s="260"/>
      <c r="AC194" s="261"/>
      <c r="AD194" s="262"/>
      <c r="AE194" s="263"/>
      <c r="AF194" s="262"/>
      <c r="AG194" s="220"/>
      <c r="AH194" s="118"/>
      <c r="AI194" s="118"/>
    </row>
    <row r="195" spans="3:35" s="65" customFormat="1" ht="15.5">
      <c r="C195" s="67" t="s">
        <v>116</v>
      </c>
      <c r="D195" s="112"/>
      <c r="E195" s="131">
        <f>SUM(E164:E194)</f>
        <v>18095.601899999998</v>
      </c>
      <c r="F195" s="110"/>
      <c r="G195" s="143">
        <f>SUM(G164:G194)</f>
        <v>1135860.9500000004</v>
      </c>
      <c r="H195" s="131">
        <f>SUM(H164:H194)</f>
        <v>10595.467500000002</v>
      </c>
      <c r="I195" s="110"/>
      <c r="J195" s="143">
        <f>SUM(J164:J194)</f>
        <v>665077.49999999988</v>
      </c>
      <c r="K195" s="131">
        <f>SUM(K164:K194)</f>
        <v>6530.2425999999987</v>
      </c>
      <c r="L195" s="110"/>
      <c r="M195" s="143">
        <f>SUM(M164:M194)</f>
        <v>409903.33</v>
      </c>
      <c r="N195" s="143">
        <f>SUM(N164:N194)</f>
        <v>160541.38681520012</v>
      </c>
      <c r="O195" s="131">
        <f>SUM(O164:O194)</f>
        <v>36446.571299999996</v>
      </c>
      <c r="P195" s="110"/>
      <c r="Q195" s="143">
        <f>SUM(Q164:Q194)</f>
        <v>2607387.69</v>
      </c>
      <c r="R195" s="144">
        <f>SUM(R164:R194)</f>
        <v>4978770.8568152003</v>
      </c>
      <c r="S195" s="110"/>
      <c r="T195" s="110"/>
      <c r="U195" s="143"/>
      <c r="W195" s="143">
        <f t="shared" ref="W195:AA195" si="73">ROUND(SUM(W164:W194),2)</f>
        <v>320530.64</v>
      </c>
      <c r="X195" s="143">
        <f t="shared" si="73"/>
        <v>187679.39</v>
      </c>
      <c r="Y195" s="143">
        <f t="shared" si="73"/>
        <v>115671.32</v>
      </c>
      <c r="Z195" s="143">
        <f t="shared" si="73"/>
        <v>97948.61</v>
      </c>
      <c r="AA195" s="143">
        <f t="shared" si="73"/>
        <v>735783.37</v>
      </c>
      <c r="AB195" s="265"/>
      <c r="AC195" s="265"/>
      <c r="AD195" s="266"/>
      <c r="AE195" s="266"/>
      <c r="AF195" s="118"/>
      <c r="AG195" s="118"/>
      <c r="AH195" s="118"/>
      <c r="AI195" s="118"/>
    </row>
    <row r="196" spans="3:35">
      <c r="AC196" s="61"/>
      <c r="AD196" s="266"/>
      <c r="AE196" s="61"/>
      <c r="AF196" s="61"/>
      <c r="AG196" s="61"/>
      <c r="AH196" s="61"/>
      <c r="AI196" s="61"/>
    </row>
    <row r="197" spans="3:35">
      <c r="X197" s="220"/>
      <c r="Y197" s="139"/>
      <c r="Z197" s="220"/>
      <c r="AA197" s="220"/>
      <c r="AC197" s="61"/>
      <c r="AD197" s="61"/>
      <c r="AE197" s="61"/>
      <c r="AF197" s="61"/>
      <c r="AG197" s="61"/>
      <c r="AH197" s="61"/>
      <c r="AI197" s="61"/>
    </row>
    <row r="198" spans="3:35">
      <c r="Y198" s="61"/>
      <c r="AB198" s="222"/>
      <c r="AC198" s="61"/>
      <c r="AD198" s="221"/>
      <c r="AE198" s="61"/>
      <c r="AF198" s="61"/>
      <c r="AG198" s="61"/>
      <c r="AH198" s="61"/>
      <c r="AI198" s="61"/>
    </row>
    <row r="199" spans="3:35">
      <c r="Y199" s="61"/>
      <c r="AB199" s="222"/>
      <c r="AC199" s="61"/>
      <c r="AD199" s="222"/>
      <c r="AE199" s="61"/>
      <c r="AF199" s="61"/>
      <c r="AG199" s="61"/>
      <c r="AH199" s="61"/>
      <c r="AI199" s="61"/>
    </row>
    <row r="200" spans="3:35">
      <c r="AC200" s="61"/>
      <c r="AD200" s="61"/>
      <c r="AE200" s="61"/>
      <c r="AF200" s="61"/>
      <c r="AG200" s="61"/>
      <c r="AH200" s="61"/>
      <c r="AI200" s="61"/>
    </row>
    <row r="201" spans="3:35">
      <c r="AC201" s="61"/>
      <c r="AD201" s="61"/>
      <c r="AE201" s="61"/>
      <c r="AF201" s="61"/>
      <c r="AG201" s="61"/>
      <c r="AH201" s="61"/>
      <c r="AI201" s="61"/>
    </row>
    <row r="202" spans="3:35">
      <c r="AC202" s="61"/>
      <c r="AD202" s="61"/>
      <c r="AE202" s="61"/>
      <c r="AF202" s="61"/>
      <c r="AG202" s="61"/>
      <c r="AH202" s="61"/>
      <c r="AI202" s="61"/>
    </row>
    <row r="203" spans="3:35">
      <c r="AC203" s="61"/>
      <c r="AD203" s="61"/>
      <c r="AE203" s="61"/>
      <c r="AF203" s="61"/>
      <c r="AG203" s="61"/>
      <c r="AH203" s="61"/>
      <c r="AI203" s="61"/>
    </row>
    <row r="204" spans="3:35">
      <c r="AC204" s="61"/>
      <c r="AD204" s="61"/>
      <c r="AE204" s="61"/>
      <c r="AF204" s="61"/>
      <c r="AG204" s="61"/>
      <c r="AH204" s="61"/>
      <c r="AI204" s="61"/>
    </row>
    <row r="205" spans="3:35">
      <c r="AC205" s="61"/>
      <c r="AD205" s="61"/>
      <c r="AE205" s="61"/>
      <c r="AF205" s="61"/>
      <c r="AG205" s="61"/>
      <c r="AH205" s="61"/>
      <c r="AI205" s="61"/>
    </row>
    <row r="206" spans="3:35">
      <c r="AC206" s="61"/>
      <c r="AD206" s="61"/>
      <c r="AE206" s="61"/>
      <c r="AF206" s="61"/>
      <c r="AG206" s="61"/>
      <c r="AH206" s="61"/>
      <c r="AI206" s="61"/>
    </row>
  </sheetData>
  <sheetProtection insertColumns="0" insertRows="0" sort="0" pivotTables="0"/>
  <pageMargins left="0.7" right="0.7" top="0.75" bottom="0.75" header="0.3" footer="0.3"/>
  <pageSetup paperSize="9" orientation="portrait" r:id="rId1"/>
  <drawing r:id="rId2"/>
  <legacyDrawing r:id="rId3"/>
  <controls>
    <mc:AlternateContent xmlns:mc="http://schemas.openxmlformats.org/markup-compatibility/2006">
      <mc:Choice Requires="x14">
        <control shapeId="1046" r:id="rId4" name="Control 22">
          <controlPr defaultSize="0" r:id="rId5">
            <anchor moveWithCells="1">
              <from>
                <xdr:col>0</xdr:col>
                <xdr:colOff>165100</xdr:colOff>
                <xdr:row>49</xdr:row>
                <xdr:rowOff>57150</xdr:rowOff>
              </from>
              <to>
                <xdr:col>0</xdr:col>
                <xdr:colOff>666750</xdr:colOff>
                <xdr:row>49</xdr:row>
                <xdr:rowOff>184150</xdr:rowOff>
              </to>
            </anchor>
          </controlPr>
        </control>
      </mc:Choice>
      <mc:Fallback>
        <control shapeId="1046" r:id="rId4" name="Control 22"/>
      </mc:Fallback>
    </mc:AlternateContent>
    <mc:AlternateContent xmlns:mc="http://schemas.openxmlformats.org/markup-compatibility/2006">
      <mc:Choice Requires="x14">
        <control shapeId="1042" r:id="rId6" name="Control 18">
          <controlPr defaultSize="0" r:id="rId7">
            <anchor moveWithCells="1">
              <from>
                <xdr:col>0</xdr:col>
                <xdr:colOff>165100</xdr:colOff>
                <xdr:row>49</xdr:row>
                <xdr:rowOff>57150</xdr:rowOff>
              </from>
              <to>
                <xdr:col>0</xdr:col>
                <xdr:colOff>666750</xdr:colOff>
                <xdr:row>49</xdr:row>
                <xdr:rowOff>184150</xdr:rowOff>
              </to>
            </anchor>
          </controlPr>
        </control>
      </mc:Choice>
      <mc:Fallback>
        <control shapeId="1042" r:id="rId6" name="Control 18"/>
      </mc:Fallback>
    </mc:AlternateContent>
    <mc:AlternateContent xmlns:mc="http://schemas.openxmlformats.org/markup-compatibility/2006">
      <mc:Choice Requires="x14">
        <control shapeId="1038" r:id="rId8" name="Control 14">
          <controlPr defaultSize="0" r:id="rId9">
            <anchor moveWithCells="1">
              <from>
                <xdr:col>0</xdr:col>
                <xdr:colOff>165100</xdr:colOff>
                <xdr:row>49</xdr:row>
                <xdr:rowOff>57150</xdr:rowOff>
              </from>
              <to>
                <xdr:col>0</xdr:col>
                <xdr:colOff>666750</xdr:colOff>
                <xdr:row>49</xdr:row>
                <xdr:rowOff>184150</xdr:rowOff>
              </to>
            </anchor>
          </controlPr>
        </control>
      </mc:Choice>
      <mc:Fallback>
        <control shapeId="1038" r:id="rId8" name="Control 14"/>
      </mc:Fallback>
    </mc:AlternateContent>
    <mc:AlternateContent xmlns:mc="http://schemas.openxmlformats.org/markup-compatibility/2006">
      <mc:Choice Requires="x14">
        <control shapeId="1034" r:id="rId10" name="Control 10">
          <controlPr defaultSize="0" r:id="rId11">
            <anchor moveWithCells="1">
              <from>
                <xdr:col>0</xdr:col>
                <xdr:colOff>165100</xdr:colOff>
                <xdr:row>49</xdr:row>
                <xdr:rowOff>57150</xdr:rowOff>
              </from>
              <to>
                <xdr:col>0</xdr:col>
                <xdr:colOff>666750</xdr:colOff>
                <xdr:row>49</xdr:row>
                <xdr:rowOff>184150</xdr:rowOff>
              </to>
            </anchor>
          </controlPr>
        </control>
      </mc:Choice>
      <mc:Fallback>
        <control shapeId="1034" r:id="rId10" name="Control 10"/>
      </mc:Fallback>
    </mc:AlternateContent>
    <mc:AlternateContent xmlns:mc="http://schemas.openxmlformats.org/markup-compatibility/2006">
      <mc:Choice Requires="x14">
        <control shapeId="1030" r:id="rId12" name="Control 6">
          <controlPr defaultSize="0" r:id="rId13">
            <anchor moveWithCells="1">
              <from>
                <xdr:col>0</xdr:col>
                <xdr:colOff>165100</xdr:colOff>
                <xdr:row>49</xdr:row>
                <xdr:rowOff>57150</xdr:rowOff>
              </from>
              <to>
                <xdr:col>0</xdr:col>
                <xdr:colOff>666750</xdr:colOff>
                <xdr:row>49</xdr:row>
                <xdr:rowOff>184150</xdr:rowOff>
              </to>
            </anchor>
          </controlPr>
        </control>
      </mc:Choice>
      <mc:Fallback>
        <control shapeId="1030" r:id="rId12" name="Control 6"/>
      </mc:Fallback>
    </mc:AlternateContent>
  </control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I65"/>
  <sheetViews>
    <sheetView topLeftCell="A4" zoomScale="55" zoomScaleNormal="55" workbookViewId="0">
      <selection activeCell="G41" sqref="G41"/>
    </sheetView>
  </sheetViews>
  <sheetFormatPr defaultColWidth="11.453125" defaultRowHeight="14.5"/>
  <cols>
    <col min="1" max="1" width="16.54296875" customWidth="1"/>
    <col min="2" max="2" width="35.1796875" bestFit="1" customWidth="1"/>
    <col min="3" max="3" width="49.54296875" bestFit="1" customWidth="1"/>
    <col min="4" max="4" width="20" customWidth="1"/>
    <col min="5" max="5" width="18.54296875" bestFit="1" customWidth="1"/>
    <col min="6" max="6" width="18.81640625" bestFit="1" customWidth="1"/>
    <col min="9" max="9" width="8.7265625" customWidth="1"/>
  </cols>
  <sheetData>
    <row r="1" spans="2:9" ht="30" customHeight="1"/>
    <row r="2" spans="2:9" ht="28.5" customHeight="1">
      <c r="B2" s="123" t="s">
        <v>4</v>
      </c>
      <c r="C2" s="123" t="s">
        <v>5</v>
      </c>
      <c r="D2" s="123" t="s">
        <v>6</v>
      </c>
      <c r="E2" s="124" t="s">
        <v>131</v>
      </c>
      <c r="F2" s="124" t="s">
        <v>132</v>
      </c>
      <c r="G2" s="124" t="s">
        <v>135</v>
      </c>
      <c r="H2" s="56"/>
      <c r="I2" s="56"/>
    </row>
    <row r="3" spans="2:9" ht="15" customHeight="1">
      <c r="B3" s="275" t="s">
        <v>7</v>
      </c>
      <c r="C3" s="268" t="s">
        <v>140</v>
      </c>
      <c r="D3" s="269">
        <v>7.4999999999999997E-3</v>
      </c>
      <c r="E3" s="270">
        <f t="shared" ref="E3:E8" si="0">E35</f>
        <v>106</v>
      </c>
      <c r="F3" s="270">
        <f>+ROUND(E3/1.21,2)</f>
        <v>87.6</v>
      </c>
      <c r="G3" s="270">
        <f>E3*D3</f>
        <v>0.79499999999999993</v>
      </c>
      <c r="I3" s="56"/>
    </row>
    <row r="4" spans="2:9">
      <c r="B4" s="275"/>
      <c r="C4" s="268" t="s">
        <v>282</v>
      </c>
      <c r="D4" s="269">
        <v>0.14499999999999999</v>
      </c>
      <c r="E4" s="270">
        <f t="shared" si="0"/>
        <v>88.89</v>
      </c>
      <c r="F4" s="270">
        <f t="shared" ref="F4:F8" si="1">+ROUND(E4/1.21,2)</f>
        <v>73.459999999999994</v>
      </c>
      <c r="G4" s="270">
        <f t="shared" ref="G4:G8" si="2">E4*D4</f>
        <v>12.889049999999999</v>
      </c>
      <c r="I4" s="56"/>
    </row>
    <row r="5" spans="2:9">
      <c r="B5" s="275"/>
      <c r="C5" s="268" t="s">
        <v>286</v>
      </c>
      <c r="D5" s="269">
        <v>0</v>
      </c>
      <c r="E5" s="270">
        <f t="shared" si="0"/>
        <v>74.97</v>
      </c>
      <c r="F5" s="270">
        <f t="shared" si="1"/>
        <v>61.96</v>
      </c>
      <c r="G5" s="270">
        <f t="shared" si="2"/>
        <v>0</v>
      </c>
      <c r="I5" s="56"/>
    </row>
    <row r="6" spans="2:9" ht="15" customHeight="1">
      <c r="B6" s="275"/>
      <c r="C6" s="268" t="s">
        <v>284</v>
      </c>
      <c r="D6" s="269">
        <v>4.4999999999999998E-2</v>
      </c>
      <c r="E6" s="270">
        <f t="shared" si="0"/>
        <v>114.15</v>
      </c>
      <c r="F6" s="270">
        <f t="shared" si="1"/>
        <v>94.34</v>
      </c>
      <c r="G6" s="270">
        <f t="shared" si="2"/>
        <v>5.1367500000000001</v>
      </c>
      <c r="I6" s="56"/>
    </row>
    <row r="7" spans="2:9">
      <c r="B7" s="275"/>
      <c r="C7" s="268" t="s">
        <v>139</v>
      </c>
      <c r="D7" s="269">
        <v>0.23</v>
      </c>
      <c r="E7" s="270">
        <f t="shared" si="0"/>
        <v>60.46</v>
      </c>
      <c r="F7" s="270">
        <f t="shared" si="1"/>
        <v>49.97</v>
      </c>
      <c r="G7" s="270">
        <f t="shared" si="2"/>
        <v>13.905800000000001</v>
      </c>
      <c r="I7" s="56"/>
    </row>
    <row r="8" spans="2:9">
      <c r="B8" s="275"/>
      <c r="C8" s="268" t="s">
        <v>283</v>
      </c>
      <c r="D8" s="269">
        <v>0.57250000000000001</v>
      </c>
      <c r="E8" s="270">
        <f t="shared" si="0"/>
        <v>52.48</v>
      </c>
      <c r="F8" s="270">
        <f t="shared" si="1"/>
        <v>43.37</v>
      </c>
      <c r="G8" s="270">
        <f t="shared" si="2"/>
        <v>30.044799999999999</v>
      </c>
      <c r="I8" s="56"/>
    </row>
    <row r="9" spans="2:9">
      <c r="B9" s="275"/>
      <c r="C9" s="274" t="s">
        <v>117</v>
      </c>
      <c r="D9" s="274"/>
      <c r="E9" s="274"/>
      <c r="F9" s="210"/>
      <c r="G9" s="125">
        <f>ROUND(SUM(G3:G8),2)</f>
        <v>62.77</v>
      </c>
      <c r="H9" s="87">
        <f>SUM(D3:D8)</f>
        <v>1</v>
      </c>
      <c r="I9" s="87"/>
    </row>
    <row r="10" spans="2:9">
      <c r="B10" s="275" t="s">
        <v>13</v>
      </c>
      <c r="C10" s="268" t="str">
        <f>C3</f>
        <v>Coordinador del contracte</v>
      </c>
      <c r="D10" s="269">
        <f>D3</f>
        <v>7.4999999999999997E-3</v>
      </c>
      <c r="E10" s="270">
        <f>E3</f>
        <v>106</v>
      </c>
      <c r="F10" s="270">
        <f>+ROUND(E10/1.21,2)</f>
        <v>87.6</v>
      </c>
      <c r="G10" s="270">
        <f>E10*D10</f>
        <v>0.79499999999999993</v>
      </c>
    </row>
    <row r="11" spans="2:9">
      <c r="B11" s="275"/>
      <c r="C11" s="268" t="str">
        <f>C4</f>
        <v>Cap de projecte</v>
      </c>
      <c r="D11" s="269">
        <f t="shared" ref="D11:E11" si="3">D4</f>
        <v>0.14499999999999999</v>
      </c>
      <c r="E11" s="270">
        <f t="shared" si="3"/>
        <v>88.89</v>
      </c>
      <c r="F11" s="270">
        <f t="shared" ref="F11:F15" si="4">+ROUND(E11/1.21,2)</f>
        <v>73.459999999999994</v>
      </c>
      <c r="G11" s="270">
        <f t="shared" ref="G11:G15" si="5">E11*D11</f>
        <v>12.889049999999999</v>
      </c>
    </row>
    <row r="12" spans="2:9">
      <c r="B12" s="275"/>
      <c r="C12" s="268" t="str">
        <f>C5</f>
        <v>Responsable de servei</v>
      </c>
      <c r="D12" s="269">
        <f t="shared" ref="D12:E12" si="6">D5</f>
        <v>0</v>
      </c>
      <c r="E12" s="270">
        <f t="shared" si="6"/>
        <v>74.97</v>
      </c>
      <c r="F12" s="270">
        <f t="shared" si="4"/>
        <v>61.96</v>
      </c>
      <c r="G12" s="270">
        <f t="shared" si="5"/>
        <v>0</v>
      </c>
    </row>
    <row r="13" spans="2:9">
      <c r="B13" s="275"/>
      <c r="C13" s="268" t="str">
        <f>C6</f>
        <v>Arquitecte/a</v>
      </c>
      <c r="D13" s="269">
        <f t="shared" ref="D13:E13" si="7">D6</f>
        <v>4.4999999999999998E-2</v>
      </c>
      <c r="E13" s="270">
        <f t="shared" si="7"/>
        <v>114.15</v>
      </c>
      <c r="F13" s="270">
        <f t="shared" si="4"/>
        <v>94.34</v>
      </c>
      <c r="G13" s="270">
        <f t="shared" si="5"/>
        <v>5.1367500000000001</v>
      </c>
    </row>
    <row r="14" spans="2:9">
      <c r="B14" s="275"/>
      <c r="C14" s="268" t="str">
        <f>C7</f>
        <v>Analista</v>
      </c>
      <c r="D14" s="269">
        <f t="shared" ref="D14:E14" si="8">D7</f>
        <v>0.23</v>
      </c>
      <c r="E14" s="270">
        <f t="shared" si="8"/>
        <v>60.46</v>
      </c>
      <c r="F14" s="270">
        <f t="shared" si="4"/>
        <v>49.97</v>
      </c>
      <c r="G14" s="270">
        <f t="shared" si="5"/>
        <v>13.905800000000001</v>
      </c>
    </row>
    <row r="15" spans="2:9">
      <c r="B15" s="275"/>
      <c r="C15" s="268" t="str">
        <f>C8</f>
        <v>Analista programador/a</v>
      </c>
      <c r="D15" s="269">
        <f t="shared" ref="D15:E15" si="9">D8</f>
        <v>0.57250000000000001</v>
      </c>
      <c r="E15" s="270">
        <f t="shared" si="9"/>
        <v>52.48</v>
      </c>
      <c r="F15" s="270">
        <f t="shared" si="4"/>
        <v>43.37</v>
      </c>
      <c r="G15" s="270">
        <f t="shared" si="5"/>
        <v>30.044799999999999</v>
      </c>
    </row>
    <row r="16" spans="2:9">
      <c r="B16" s="275"/>
      <c r="C16" s="274" t="s">
        <v>117</v>
      </c>
      <c r="D16" s="274"/>
      <c r="E16" s="274"/>
      <c r="F16" s="210"/>
      <c r="G16" s="125">
        <f>ROUND(SUM(G10:G15),2)</f>
        <v>62.77</v>
      </c>
      <c r="H16" s="87">
        <f>SUM(D10:D15)</f>
        <v>1</v>
      </c>
      <c r="I16" s="87"/>
    </row>
    <row r="17" spans="2:8">
      <c r="B17" s="273" t="s">
        <v>138</v>
      </c>
      <c r="C17" s="268" t="str">
        <f>C3</f>
        <v>Coordinador del contracte</v>
      </c>
      <c r="D17" s="269">
        <f>D3</f>
        <v>7.4999999999999997E-3</v>
      </c>
      <c r="E17" s="270">
        <f>E3</f>
        <v>106</v>
      </c>
      <c r="F17" s="270">
        <f>+ROUND(E17/1.21,2)</f>
        <v>87.6</v>
      </c>
      <c r="G17" s="270">
        <f>E17*D17</f>
        <v>0.79499999999999993</v>
      </c>
    </row>
    <row r="18" spans="2:8">
      <c r="B18" s="273"/>
      <c r="C18" s="268" t="str">
        <f>C4</f>
        <v>Cap de projecte</v>
      </c>
      <c r="D18" s="269">
        <f t="shared" ref="D18:E18" si="10">D4</f>
        <v>0.14499999999999999</v>
      </c>
      <c r="E18" s="270">
        <f t="shared" si="10"/>
        <v>88.89</v>
      </c>
      <c r="F18" s="270">
        <f t="shared" ref="F18:F22" si="11">+ROUND(E18/1.21,2)</f>
        <v>73.459999999999994</v>
      </c>
      <c r="G18" s="270">
        <f t="shared" ref="G18:G22" si="12">E18*D18</f>
        <v>12.889049999999999</v>
      </c>
    </row>
    <row r="19" spans="2:8">
      <c r="B19" s="273"/>
      <c r="C19" s="268" t="str">
        <f>C5</f>
        <v>Responsable de servei</v>
      </c>
      <c r="D19" s="269">
        <f t="shared" ref="D19:E19" si="13">D5</f>
        <v>0</v>
      </c>
      <c r="E19" s="270">
        <f t="shared" si="13"/>
        <v>74.97</v>
      </c>
      <c r="F19" s="270">
        <f t="shared" si="11"/>
        <v>61.96</v>
      </c>
      <c r="G19" s="270">
        <f t="shared" si="12"/>
        <v>0</v>
      </c>
    </row>
    <row r="20" spans="2:8">
      <c r="B20" s="273"/>
      <c r="C20" s="268" t="str">
        <f>C6</f>
        <v>Arquitecte/a</v>
      </c>
      <c r="D20" s="269">
        <f t="shared" ref="D20:E20" si="14">D6</f>
        <v>4.4999999999999998E-2</v>
      </c>
      <c r="E20" s="270">
        <f t="shared" si="14"/>
        <v>114.15</v>
      </c>
      <c r="F20" s="270">
        <f t="shared" si="11"/>
        <v>94.34</v>
      </c>
      <c r="G20" s="270">
        <f t="shared" si="12"/>
        <v>5.1367500000000001</v>
      </c>
    </row>
    <row r="21" spans="2:8">
      <c r="B21" s="273"/>
      <c r="C21" s="268" t="str">
        <f>C7</f>
        <v>Analista</v>
      </c>
      <c r="D21" s="269">
        <f t="shared" ref="D21:E21" si="15">D7</f>
        <v>0.23</v>
      </c>
      <c r="E21" s="270">
        <f t="shared" si="15"/>
        <v>60.46</v>
      </c>
      <c r="F21" s="270">
        <f t="shared" si="11"/>
        <v>49.97</v>
      </c>
      <c r="G21" s="270">
        <f t="shared" si="12"/>
        <v>13.905800000000001</v>
      </c>
    </row>
    <row r="22" spans="2:8">
      <c r="B22" s="273"/>
      <c r="C22" s="268" t="str">
        <f>C8</f>
        <v>Analista programador/a</v>
      </c>
      <c r="D22" s="269">
        <f t="shared" ref="D22:E22" si="16">D8</f>
        <v>0.57250000000000001</v>
      </c>
      <c r="E22" s="270">
        <f t="shared" si="16"/>
        <v>52.48</v>
      </c>
      <c r="F22" s="270">
        <f t="shared" si="11"/>
        <v>43.37</v>
      </c>
      <c r="G22" s="270">
        <f t="shared" si="12"/>
        <v>30.044799999999999</v>
      </c>
    </row>
    <row r="23" spans="2:8">
      <c r="B23" s="273"/>
      <c r="C23" s="274" t="s">
        <v>117</v>
      </c>
      <c r="D23" s="274"/>
      <c r="E23" s="274"/>
      <c r="F23" s="210"/>
      <c r="G23" s="125">
        <f>ROUND(SUM(G17:G22),2)</f>
        <v>62.77</v>
      </c>
      <c r="H23" s="87">
        <f>SUM(D17:D22)</f>
        <v>1</v>
      </c>
    </row>
    <row r="24" spans="2:8">
      <c r="B24" s="273" t="s">
        <v>287</v>
      </c>
      <c r="C24" s="268" t="str">
        <f t="shared" ref="C24:C29" si="17">C3</f>
        <v>Coordinador del contracte</v>
      </c>
      <c r="D24" s="269">
        <v>0.02</v>
      </c>
      <c r="E24" s="270">
        <f t="shared" ref="E24:E29" si="18">E3</f>
        <v>106</v>
      </c>
      <c r="F24" s="270">
        <f>+ROUND(E24/1.21,2)</f>
        <v>87.6</v>
      </c>
      <c r="G24" s="270">
        <f>E24*D24</f>
        <v>2.12</v>
      </c>
    </row>
    <row r="25" spans="2:8">
      <c r="B25" s="273"/>
      <c r="C25" s="268" t="str">
        <f t="shared" si="17"/>
        <v>Cap de projecte</v>
      </c>
      <c r="D25" s="269">
        <v>0.15</v>
      </c>
      <c r="E25" s="270">
        <f t="shared" si="18"/>
        <v>88.89</v>
      </c>
      <c r="F25" s="270">
        <f t="shared" ref="F25:F29" si="19">+ROUND(E25/1.21,2)</f>
        <v>73.459999999999994</v>
      </c>
      <c r="G25" s="270">
        <f t="shared" ref="G25:G29" si="20">E25*D25</f>
        <v>13.333499999999999</v>
      </c>
    </row>
    <row r="26" spans="2:8">
      <c r="B26" s="273"/>
      <c r="C26" s="268" t="s">
        <v>285</v>
      </c>
      <c r="D26" s="269">
        <v>0.125</v>
      </c>
      <c r="E26" s="270">
        <f t="shared" si="18"/>
        <v>74.97</v>
      </c>
      <c r="F26" s="270">
        <f t="shared" si="19"/>
        <v>61.96</v>
      </c>
      <c r="G26" s="270">
        <f>E26*D26</f>
        <v>9.3712499999999999</v>
      </c>
    </row>
    <row r="27" spans="2:8">
      <c r="B27" s="273"/>
      <c r="C27" s="268" t="str">
        <f t="shared" si="17"/>
        <v>Arquitecte/a</v>
      </c>
      <c r="D27" s="269">
        <v>0.13</v>
      </c>
      <c r="E27" s="270">
        <f t="shared" si="18"/>
        <v>114.15</v>
      </c>
      <c r="F27" s="270">
        <f t="shared" si="19"/>
        <v>94.34</v>
      </c>
      <c r="G27" s="270">
        <f>E27*D27</f>
        <v>14.839500000000001</v>
      </c>
    </row>
    <row r="28" spans="2:8">
      <c r="B28" s="273"/>
      <c r="C28" s="268" t="str">
        <f t="shared" si="17"/>
        <v>Analista</v>
      </c>
      <c r="D28" s="269">
        <v>0.21249999999999999</v>
      </c>
      <c r="E28" s="270">
        <f t="shared" si="18"/>
        <v>60.46</v>
      </c>
      <c r="F28" s="270">
        <f t="shared" si="19"/>
        <v>49.97</v>
      </c>
      <c r="G28" s="270">
        <f t="shared" si="20"/>
        <v>12.84775</v>
      </c>
    </row>
    <row r="29" spans="2:8">
      <c r="B29" s="273"/>
      <c r="C29" s="268" t="str">
        <f t="shared" si="17"/>
        <v>Analista programador/a</v>
      </c>
      <c r="D29" s="269">
        <v>0.36249999999999999</v>
      </c>
      <c r="E29" s="270">
        <f t="shared" si="18"/>
        <v>52.48</v>
      </c>
      <c r="F29" s="270">
        <f t="shared" si="19"/>
        <v>43.37</v>
      </c>
      <c r="G29" s="270">
        <f t="shared" si="20"/>
        <v>19.023999999999997</v>
      </c>
    </row>
    <row r="30" spans="2:8">
      <c r="B30" s="273"/>
      <c r="C30" s="274" t="s">
        <v>117</v>
      </c>
      <c r="D30" s="274"/>
      <c r="E30" s="274"/>
      <c r="F30" s="210"/>
      <c r="G30" s="125">
        <f>ROUND(SUM(G24:G29),2)</f>
        <v>71.540000000000006</v>
      </c>
      <c r="H30" s="87">
        <f>SUM(D24:D29)</f>
        <v>1</v>
      </c>
    </row>
    <row r="34" spans="3:6" ht="29">
      <c r="E34" s="121" t="s">
        <v>128</v>
      </c>
      <c r="F34" s="121" t="s">
        <v>127</v>
      </c>
    </row>
    <row r="35" spans="3:6">
      <c r="C35" s="272" t="s">
        <v>140</v>
      </c>
      <c r="D35" s="272"/>
      <c r="E35" s="122">
        <f>+ROUND(F35*1.21,2)</f>
        <v>106</v>
      </c>
      <c r="F35" s="211">
        <v>87.6</v>
      </c>
    </row>
    <row r="36" spans="3:6">
      <c r="C36" s="272" t="s">
        <v>282</v>
      </c>
      <c r="D36" s="272"/>
      <c r="E36" s="122">
        <f t="shared" ref="E36:E40" si="21">+ROUND(F36*1.21,2)</f>
        <v>88.89</v>
      </c>
      <c r="F36" s="211">
        <v>73.459999999999994</v>
      </c>
    </row>
    <row r="37" spans="3:6">
      <c r="C37" s="272" t="s">
        <v>397</v>
      </c>
      <c r="D37" s="272"/>
      <c r="E37" s="122">
        <f t="shared" si="21"/>
        <v>74.97</v>
      </c>
      <c r="F37" s="211">
        <v>61.96</v>
      </c>
    </row>
    <row r="38" spans="3:6">
      <c r="C38" s="272" t="s">
        <v>284</v>
      </c>
      <c r="D38" s="272"/>
      <c r="E38" s="122">
        <f t="shared" si="21"/>
        <v>114.15</v>
      </c>
      <c r="F38" s="212">
        <v>94.34</v>
      </c>
    </row>
    <row r="39" spans="3:6">
      <c r="C39" s="272" t="s">
        <v>139</v>
      </c>
      <c r="D39" s="272"/>
      <c r="E39" s="122">
        <f t="shared" si="21"/>
        <v>60.46</v>
      </c>
      <c r="F39" s="212">
        <v>49.97</v>
      </c>
    </row>
    <row r="40" spans="3:6">
      <c r="C40" s="272" t="s">
        <v>283</v>
      </c>
      <c r="D40" s="272"/>
      <c r="E40" s="122">
        <f t="shared" si="21"/>
        <v>52.48</v>
      </c>
      <c r="F40" s="212">
        <v>43.37</v>
      </c>
    </row>
    <row r="64" spans="2:3">
      <c r="B64" s="217"/>
      <c r="C64" s="218"/>
    </row>
    <row r="65" spans="2:3">
      <c r="B65" s="217"/>
      <c r="C65" s="218"/>
    </row>
  </sheetData>
  <mergeCells count="14">
    <mergeCell ref="B24:B30"/>
    <mergeCell ref="C30:E30"/>
    <mergeCell ref="B3:B9"/>
    <mergeCell ref="C9:E9"/>
    <mergeCell ref="B10:B16"/>
    <mergeCell ref="C16:E16"/>
    <mergeCell ref="B17:B23"/>
    <mergeCell ref="C23:E23"/>
    <mergeCell ref="C40:D40"/>
    <mergeCell ref="C35:D35"/>
    <mergeCell ref="C36:D36"/>
    <mergeCell ref="C37:D37"/>
    <mergeCell ref="C38:D38"/>
    <mergeCell ref="C39:D39"/>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S88"/>
  <sheetViews>
    <sheetView showGridLines="0" topLeftCell="A34" zoomScale="80" zoomScaleNormal="80" workbookViewId="0">
      <selection activeCell="D44" sqref="D44"/>
    </sheetView>
  </sheetViews>
  <sheetFormatPr defaultColWidth="10.81640625" defaultRowHeight="13"/>
  <cols>
    <col min="1" max="1" width="15.54296875" style="147" customWidth="1"/>
    <col min="2" max="2" width="25.26953125" style="147" bestFit="1" customWidth="1"/>
    <col min="3" max="3" width="15.54296875" style="147" customWidth="1"/>
    <col min="4" max="4" width="24.26953125" style="147" bestFit="1" customWidth="1"/>
    <col min="5" max="5" width="14.1796875" style="147" customWidth="1"/>
    <col min="6" max="6" width="18.81640625" style="147" bestFit="1" customWidth="1"/>
    <col min="7" max="7" width="15" style="147" bestFit="1" customWidth="1"/>
    <col min="8" max="9" width="13.81640625" style="147" bestFit="1" customWidth="1"/>
    <col min="10" max="10" width="16" style="147" customWidth="1"/>
    <col min="11" max="11" width="14.54296875" style="147" bestFit="1" customWidth="1"/>
    <col min="12" max="12" width="14" style="147" customWidth="1"/>
    <col min="13" max="13" width="15" style="147" customWidth="1"/>
    <col min="14" max="14" width="15" style="147" bestFit="1" customWidth="1"/>
    <col min="15" max="15" width="13.453125" style="147" bestFit="1" customWidth="1"/>
    <col min="16" max="16" width="15.1796875" style="147" customWidth="1"/>
    <col min="17" max="17" width="14.1796875" style="147" bestFit="1" customWidth="1"/>
    <col min="18" max="18" width="12.81640625" style="147" bestFit="1" customWidth="1"/>
    <col min="19" max="19" width="13.81640625" style="147" bestFit="1" customWidth="1"/>
    <col min="20" max="16384" width="10.81640625" style="147"/>
  </cols>
  <sheetData>
    <row r="2" spans="1:19">
      <c r="A2" s="146" t="s">
        <v>228</v>
      </c>
    </row>
    <row r="4" spans="1:19" ht="12.75" customHeight="1">
      <c r="A4" s="148"/>
      <c r="B4" s="276">
        <v>2025</v>
      </c>
      <c r="C4" s="277"/>
      <c r="D4" s="278"/>
      <c r="E4" s="276">
        <v>2026</v>
      </c>
      <c r="F4" s="277"/>
      <c r="G4" s="278"/>
      <c r="H4" s="276">
        <v>2027</v>
      </c>
      <c r="I4" s="277"/>
      <c r="J4" s="278"/>
      <c r="K4" s="276">
        <v>2028</v>
      </c>
      <c r="L4" s="277"/>
      <c r="M4" s="278"/>
      <c r="N4" s="276">
        <v>2029</v>
      </c>
      <c r="O4" s="277"/>
      <c r="P4" s="278"/>
    </row>
    <row r="5" spans="1:19" s="152" customFormat="1" ht="26">
      <c r="A5" s="149" t="s">
        <v>229</v>
      </c>
      <c r="B5" s="150" t="s">
        <v>230</v>
      </c>
      <c r="C5" s="151" t="s">
        <v>231</v>
      </c>
      <c r="D5" s="151" t="s">
        <v>222</v>
      </c>
      <c r="E5" s="151" t="s">
        <v>230</v>
      </c>
      <c r="F5" s="151" t="s">
        <v>231</v>
      </c>
      <c r="G5" s="151" t="s">
        <v>222</v>
      </c>
      <c r="H5" s="151" t="s">
        <v>230</v>
      </c>
      <c r="I5" s="151" t="s">
        <v>231</v>
      </c>
      <c r="J5" s="151" t="s">
        <v>222</v>
      </c>
      <c r="K5" s="151" t="s">
        <v>230</v>
      </c>
      <c r="L5" s="151" t="s">
        <v>231</v>
      </c>
      <c r="M5" s="151" t="s">
        <v>222</v>
      </c>
      <c r="N5" s="151" t="s">
        <v>230</v>
      </c>
      <c r="O5" s="151" t="s">
        <v>231</v>
      </c>
      <c r="P5" s="151" t="s">
        <v>222</v>
      </c>
      <c r="Q5" s="151" t="s">
        <v>232</v>
      </c>
      <c r="R5" s="151" t="s">
        <v>233</v>
      </c>
      <c r="S5" s="151" t="s">
        <v>234</v>
      </c>
    </row>
    <row r="6" spans="1:19" ht="26">
      <c r="A6" s="153" t="s">
        <v>7</v>
      </c>
      <c r="B6" s="154">
        <f>ROUND('Càlcul pressupost '!E6/1.21,2)</f>
        <v>419235.99</v>
      </c>
      <c r="C6" s="154">
        <f>ROUND(B6*0.21,2)</f>
        <v>88039.56</v>
      </c>
      <c r="D6" s="154">
        <f>+B6+C6</f>
        <v>507275.55</v>
      </c>
      <c r="E6" s="154">
        <f>ROUND('Càlcul pressupost '!F6/1.21,2)</f>
        <v>938728.13</v>
      </c>
      <c r="F6" s="154">
        <f t="shared" ref="F6:F8" si="0">ROUND(E6*0.21,2)</f>
        <v>197132.91</v>
      </c>
      <c r="G6" s="154">
        <f t="shared" ref="G6:G8" si="1">+E6+F6</f>
        <v>1135861.04</v>
      </c>
      <c r="H6" s="154">
        <f>ROUND('Càlcul pressupost '!G6/1.21,2)</f>
        <v>938728.13</v>
      </c>
      <c r="I6" s="154">
        <f t="shared" ref="I6:I8" si="2">ROUND(H6*0.21,2)</f>
        <v>197132.91</v>
      </c>
      <c r="J6" s="154">
        <f t="shared" ref="J6:J8" si="3">+H6+I6</f>
        <v>1135861.04</v>
      </c>
      <c r="K6" s="154">
        <f>ROUND('Càlcul pressupost '!H6/1.21,2)</f>
        <v>938728.13</v>
      </c>
      <c r="L6" s="154">
        <f>ROUND(K6*0.21,2)</f>
        <v>197132.91</v>
      </c>
      <c r="M6" s="154">
        <f>+K6+L6</f>
        <v>1135861.04</v>
      </c>
      <c r="N6" s="154">
        <f>ROUND('Càlcul pressupost '!I6/1.21,2)</f>
        <v>264901.36</v>
      </c>
      <c r="O6" s="154">
        <f>ROUND(N6*0.21,2)</f>
        <v>55629.29</v>
      </c>
      <c r="P6" s="154">
        <f>+N6+O6</f>
        <v>320530.64999999997</v>
      </c>
      <c r="Q6" s="154">
        <f t="shared" ref="Q6:S10" si="4">+B6+E6+H6+K6+N6</f>
        <v>3500321.7399999998</v>
      </c>
      <c r="R6" s="154">
        <f t="shared" si="4"/>
        <v>735067.58000000007</v>
      </c>
      <c r="S6" s="154">
        <f t="shared" si="4"/>
        <v>4235389.32</v>
      </c>
    </row>
    <row r="7" spans="1:19" ht="26">
      <c r="A7" s="153" t="s">
        <v>13</v>
      </c>
      <c r="B7" s="154">
        <f>ROUND('Càlcul pressupost '!E7/1.21,2)</f>
        <v>256123.38</v>
      </c>
      <c r="C7" s="154">
        <f t="shared" ref="C7:C10" si="5">ROUND(B7*0.21,2)</f>
        <v>53785.91</v>
      </c>
      <c r="D7" s="154">
        <f t="shared" ref="D7:D8" si="6">+B7+C7</f>
        <v>309909.29000000004</v>
      </c>
      <c r="E7" s="154">
        <f>ROUND('Càlcul pressupost '!F7/1.21,2)</f>
        <v>549650.81000000006</v>
      </c>
      <c r="F7" s="154">
        <f t="shared" si="0"/>
        <v>115426.67</v>
      </c>
      <c r="G7" s="154">
        <f t="shared" si="1"/>
        <v>665077.4800000001</v>
      </c>
      <c r="H7" s="154">
        <f>ROUND('Càlcul pressupost '!G7/1.21,2)</f>
        <v>549650.81000000006</v>
      </c>
      <c r="I7" s="154">
        <f t="shared" si="2"/>
        <v>115426.67</v>
      </c>
      <c r="J7" s="154">
        <f t="shared" si="3"/>
        <v>665077.4800000001</v>
      </c>
      <c r="K7" s="154">
        <f>ROUND('Càlcul pressupost '!H7/1.21,2)</f>
        <v>549650.81000000006</v>
      </c>
      <c r="L7" s="154">
        <f>ROUND(K7*0.21,2)</f>
        <v>115426.67</v>
      </c>
      <c r="M7" s="154">
        <f>+K7+L7</f>
        <v>665077.4800000001</v>
      </c>
      <c r="N7" s="154">
        <f>ROUND('Càlcul pressupost '!I7/1.21,2)</f>
        <v>155106.93</v>
      </c>
      <c r="O7" s="154">
        <f>ROUND(N7*0.21,2)</f>
        <v>32572.46</v>
      </c>
      <c r="P7" s="154">
        <f>+N7+O7</f>
        <v>187679.38999999998</v>
      </c>
      <c r="Q7" s="154">
        <f t="shared" si="4"/>
        <v>2060182.74</v>
      </c>
      <c r="R7" s="154">
        <f t="shared" si="4"/>
        <v>432638.38</v>
      </c>
      <c r="S7" s="154">
        <f t="shared" si="4"/>
        <v>2492821.1200000006</v>
      </c>
    </row>
    <row r="8" spans="1:19" ht="26">
      <c r="A8" s="153" t="s">
        <v>235</v>
      </c>
      <c r="B8" s="154">
        <f>ROUND('Càlcul pressupost '!E10/1.21,2)</f>
        <v>1542968.74</v>
      </c>
      <c r="C8" s="154">
        <f>ROUND(B8*0.21,2)</f>
        <v>324023.44</v>
      </c>
      <c r="D8" s="154">
        <f t="shared" si="6"/>
        <v>1866992.18</v>
      </c>
      <c r="E8" s="154">
        <f>ROUND('Càlcul pressupost '!F10/1.21,2)</f>
        <v>2160662.79</v>
      </c>
      <c r="F8" s="154">
        <f t="shared" si="0"/>
        <v>453739.19</v>
      </c>
      <c r="G8" s="154">
        <f t="shared" si="1"/>
        <v>2614401.98</v>
      </c>
      <c r="H8" s="154">
        <f>ROUND('Càlcul pressupost '!G10/1.21,2)</f>
        <v>2258120.09</v>
      </c>
      <c r="I8" s="154">
        <f t="shared" si="2"/>
        <v>474205.22</v>
      </c>
      <c r="J8" s="154">
        <f t="shared" si="3"/>
        <v>2732325.3099999996</v>
      </c>
      <c r="K8" s="154">
        <f>ROUND('Càlcul pressupost '!H10/1.21,2)</f>
        <v>2154865.86</v>
      </c>
      <c r="L8" s="154">
        <f>ROUND(K8*0.21,2)</f>
        <v>452521.83</v>
      </c>
      <c r="M8" s="154">
        <f>+K8+L8</f>
        <v>2607387.69</v>
      </c>
      <c r="N8" s="154">
        <f>ROUND('Càlcul pressupost '!I10/1.21,2)</f>
        <v>608085.43000000005</v>
      </c>
      <c r="O8" s="154">
        <f>ROUND(N8*0.21,2)</f>
        <v>127697.94</v>
      </c>
      <c r="P8" s="154">
        <f>+N8+O8</f>
        <v>735783.37000000011</v>
      </c>
      <c r="Q8" s="154">
        <f t="shared" si="4"/>
        <v>8724702.9100000001</v>
      </c>
      <c r="R8" s="154">
        <f t="shared" si="4"/>
        <v>1832187.62</v>
      </c>
      <c r="S8" s="154">
        <f t="shared" si="4"/>
        <v>10556890.530000001</v>
      </c>
    </row>
    <row r="9" spans="1:19" ht="39">
      <c r="A9" s="155" t="s">
        <v>138</v>
      </c>
      <c r="B9" s="154">
        <f>ROUND('Càlcul pressupost '!E8/1.21,2)</f>
        <v>152169.24</v>
      </c>
      <c r="C9" s="154">
        <f t="shared" si="5"/>
        <v>31955.54</v>
      </c>
      <c r="D9" s="154">
        <f>+B9+C9</f>
        <v>184124.78</v>
      </c>
      <c r="E9" s="154">
        <f>ROUND('Càlcul pressupost '!F8/1.21,2)</f>
        <v>352117.95</v>
      </c>
      <c r="F9" s="154">
        <f>ROUND(E9*0.21,2)</f>
        <v>73944.77</v>
      </c>
      <c r="G9" s="154">
        <f>+E9+F9</f>
        <v>426062.72000000003</v>
      </c>
      <c r="H9" s="154">
        <f>ROUND('Càlcul pressupost '!G8/1.21,2)</f>
        <v>347043.36</v>
      </c>
      <c r="I9" s="154">
        <f>ROUND(H9*0.21,2)</f>
        <v>72879.11</v>
      </c>
      <c r="J9" s="154">
        <f>+H9+I9</f>
        <v>419922.47</v>
      </c>
      <c r="K9" s="154">
        <f>ROUND('Càlcul pressupost '!H8/1.21,2)</f>
        <v>345633.64</v>
      </c>
      <c r="L9" s="154">
        <f>ROUND(K9*0.21,2)</f>
        <v>72583.06</v>
      </c>
      <c r="M9" s="154">
        <f>+K9+L9</f>
        <v>418216.7</v>
      </c>
      <c r="N9" s="154">
        <f>ROUND('Càlcul pressupost '!I8/1.21,2)+0.01</f>
        <v>95596.14</v>
      </c>
      <c r="O9" s="154">
        <f>ROUND(N9*0.21,2)-0.01</f>
        <v>20075.18</v>
      </c>
      <c r="P9" s="154">
        <f>+N9+O9</f>
        <v>115671.32</v>
      </c>
      <c r="Q9" s="154">
        <f t="shared" si="4"/>
        <v>1292560.3299999998</v>
      </c>
      <c r="R9" s="154">
        <f t="shared" si="4"/>
        <v>271437.65999999997</v>
      </c>
      <c r="S9" s="154">
        <f t="shared" si="4"/>
        <v>1563997.99</v>
      </c>
    </row>
    <row r="10" spans="1:19">
      <c r="A10" s="155" t="s">
        <v>141</v>
      </c>
      <c r="B10" s="154">
        <f>ROUND('Càlcul pressupost '!E9/1.21,2)</f>
        <v>34405.64</v>
      </c>
      <c r="C10" s="154">
        <f t="shared" si="5"/>
        <v>7225.18</v>
      </c>
      <c r="D10" s="154">
        <f>+B10+C10</f>
        <v>41630.82</v>
      </c>
      <c r="E10" s="154">
        <f>ROUND('Càlcul pressupost '!F9/1.21,2)</f>
        <v>119323.97</v>
      </c>
      <c r="F10" s="154">
        <f>ROUND(E10*0.21,2)</f>
        <v>25058.03</v>
      </c>
      <c r="G10" s="154">
        <f>+E10+F10</f>
        <v>144382</v>
      </c>
      <c r="H10" s="154">
        <f>ROUND('Càlcul pressupost '!G9/1.21,2)</f>
        <v>124398.55</v>
      </c>
      <c r="I10" s="154">
        <f>ROUND(H10*0.21,2)</f>
        <v>26123.7</v>
      </c>
      <c r="J10" s="154">
        <f>+H10+I10</f>
        <v>150522.25</v>
      </c>
      <c r="K10" s="154">
        <f>ROUND('Càlcul pressupost '!H9/1.21,2)</f>
        <v>125808.28</v>
      </c>
      <c r="L10" s="154">
        <f>ROUND(K10*0.21,2)</f>
        <v>26419.74</v>
      </c>
      <c r="M10" s="154">
        <f>+K10+L10</f>
        <v>152228.01999999999</v>
      </c>
      <c r="N10" s="154">
        <f>ROUND('Càlcul pressupost '!I9/1.21,2)</f>
        <v>80949.259999999995</v>
      </c>
      <c r="O10" s="154">
        <f>ROUND(N10*0.21,2)</f>
        <v>16999.34</v>
      </c>
      <c r="P10" s="154">
        <f>+N10+O10</f>
        <v>97948.599999999991</v>
      </c>
      <c r="Q10" s="154">
        <f t="shared" si="4"/>
        <v>484885.69999999995</v>
      </c>
      <c r="R10" s="154">
        <f t="shared" si="4"/>
        <v>101825.99</v>
      </c>
      <c r="S10" s="154">
        <f t="shared" si="4"/>
        <v>586711.68999999994</v>
      </c>
    </row>
    <row r="11" spans="1:19">
      <c r="B11" s="156">
        <f>SUM(B6:B10)</f>
        <v>2404902.9899999998</v>
      </c>
      <c r="C11" s="156">
        <f t="shared" ref="C11:J11" si="7">SUM(C6:C10)</f>
        <v>505029.63</v>
      </c>
      <c r="D11" s="156">
        <f t="shared" si="7"/>
        <v>2909932.6199999996</v>
      </c>
      <c r="E11" s="156">
        <f t="shared" si="7"/>
        <v>4120483.6500000004</v>
      </c>
      <c r="F11" s="156">
        <f t="shared" si="7"/>
        <v>865301.57000000007</v>
      </c>
      <c r="G11" s="156">
        <f t="shared" si="7"/>
        <v>4985785.22</v>
      </c>
      <c r="H11" s="156">
        <f t="shared" si="7"/>
        <v>4217940.9399999995</v>
      </c>
      <c r="I11" s="156">
        <f t="shared" si="7"/>
        <v>885767.61</v>
      </c>
      <c r="J11" s="156">
        <f t="shared" si="7"/>
        <v>5103708.55</v>
      </c>
      <c r="K11" s="156">
        <f t="shared" ref="K11:S11" si="8">SUM(K6:K10)</f>
        <v>4114686.7199999997</v>
      </c>
      <c r="L11" s="156">
        <f t="shared" si="8"/>
        <v>864084.21</v>
      </c>
      <c r="M11" s="156">
        <f t="shared" si="8"/>
        <v>4978770.93</v>
      </c>
      <c r="N11" s="156">
        <f t="shared" si="8"/>
        <v>1204639.1199999999</v>
      </c>
      <c r="O11" s="156">
        <f t="shared" si="8"/>
        <v>252974.21</v>
      </c>
      <c r="P11" s="156">
        <f t="shared" si="8"/>
        <v>1457613.3300000003</v>
      </c>
      <c r="Q11" s="156">
        <f t="shared" si="8"/>
        <v>16062653.42</v>
      </c>
      <c r="R11" s="156">
        <f t="shared" si="8"/>
        <v>3373157.2300000004</v>
      </c>
      <c r="S11" s="156">
        <f t="shared" si="8"/>
        <v>19435810.650000002</v>
      </c>
    </row>
    <row r="12" spans="1:19">
      <c r="P12" s="157"/>
    </row>
    <row r="13" spans="1:19">
      <c r="A13" s="158" t="s">
        <v>236</v>
      </c>
    </row>
    <row r="14" spans="1:19">
      <c r="A14" s="158"/>
      <c r="N14" s="147" t="s">
        <v>237</v>
      </c>
      <c r="P14" s="147" t="s">
        <v>237</v>
      </c>
    </row>
    <row r="15" spans="1:19" ht="18" customHeight="1">
      <c r="A15" s="159" t="s">
        <v>238</v>
      </c>
    </row>
    <row r="16" spans="1:19" ht="21" customHeight="1">
      <c r="A16" s="159" t="s">
        <v>118</v>
      </c>
      <c r="B16" s="159" t="s">
        <v>239</v>
      </c>
      <c r="C16" s="159" t="s">
        <v>119</v>
      </c>
      <c r="D16" s="159" t="s">
        <v>222</v>
      </c>
      <c r="M16" s="147" t="s">
        <v>237</v>
      </c>
    </row>
    <row r="17" spans="1:15">
      <c r="A17" s="160">
        <v>2025</v>
      </c>
      <c r="B17" s="161">
        <f>+B11</f>
        <v>2404902.9899999998</v>
      </c>
      <c r="C17" s="161">
        <f>+C11</f>
        <v>505029.63</v>
      </c>
      <c r="D17" s="161">
        <f t="shared" ref="D17:D21" si="9">+B17+C17</f>
        <v>2909932.6199999996</v>
      </c>
      <c r="E17" s="279" t="s">
        <v>412</v>
      </c>
      <c r="F17" s="280"/>
      <c r="G17" s="280"/>
      <c r="H17" s="280"/>
      <c r="I17" s="280"/>
      <c r="J17" s="280"/>
      <c r="K17" s="280"/>
      <c r="L17" s="280"/>
      <c r="M17" s="280"/>
      <c r="N17" s="280"/>
    </row>
    <row r="18" spans="1:15">
      <c r="A18" s="160">
        <v>2026</v>
      </c>
      <c r="B18" s="161">
        <f>+E11</f>
        <v>4120483.6500000004</v>
      </c>
      <c r="C18" s="161">
        <f>+F11</f>
        <v>865301.57000000007</v>
      </c>
      <c r="D18" s="161">
        <f t="shared" si="9"/>
        <v>4985785.2200000007</v>
      </c>
      <c r="E18" s="279"/>
      <c r="F18" s="280"/>
      <c r="G18" s="280"/>
      <c r="H18" s="280"/>
      <c r="I18" s="280"/>
      <c r="J18" s="280"/>
      <c r="K18" s="280"/>
      <c r="L18" s="280"/>
      <c r="M18" s="280"/>
      <c r="N18" s="280"/>
    </row>
    <row r="19" spans="1:15">
      <c r="A19" s="160">
        <v>2027</v>
      </c>
      <c r="B19" s="161">
        <f>+H11</f>
        <v>4217940.9399999995</v>
      </c>
      <c r="C19" s="161">
        <f>+I11</f>
        <v>885767.61</v>
      </c>
      <c r="D19" s="161">
        <f t="shared" si="9"/>
        <v>5103708.55</v>
      </c>
      <c r="E19" s="279"/>
      <c r="F19" s="280"/>
      <c r="G19" s="280"/>
      <c r="H19" s="280"/>
      <c r="I19" s="280"/>
      <c r="J19" s="280"/>
      <c r="K19" s="280"/>
      <c r="L19" s="280"/>
      <c r="M19" s="280"/>
      <c r="N19" s="280"/>
    </row>
    <row r="20" spans="1:15">
      <c r="A20" s="160">
        <v>2028</v>
      </c>
      <c r="B20" s="161">
        <f>+K11</f>
        <v>4114686.7199999997</v>
      </c>
      <c r="C20" s="161">
        <f>+L11</f>
        <v>864084.21</v>
      </c>
      <c r="D20" s="161">
        <f t="shared" si="9"/>
        <v>4978770.93</v>
      </c>
      <c r="E20" s="279"/>
      <c r="F20" s="280"/>
      <c r="G20" s="280"/>
      <c r="H20" s="280"/>
      <c r="I20" s="280"/>
      <c r="J20" s="280"/>
      <c r="K20" s="280"/>
      <c r="L20" s="280"/>
      <c r="M20" s="280"/>
      <c r="N20" s="280"/>
    </row>
    <row r="21" spans="1:15">
      <c r="A21" s="160">
        <v>2029</v>
      </c>
      <c r="B21" s="161">
        <f>+N11</f>
        <v>1204639.1199999999</v>
      </c>
      <c r="C21" s="161">
        <f>+O11</f>
        <v>252974.21</v>
      </c>
      <c r="D21" s="161">
        <f t="shared" si="9"/>
        <v>1457613.3299999998</v>
      </c>
      <c r="E21" s="279"/>
      <c r="F21" s="280"/>
      <c r="G21" s="280"/>
      <c r="H21" s="280"/>
      <c r="I21" s="280"/>
      <c r="J21" s="280"/>
      <c r="K21" s="280"/>
      <c r="L21" s="280"/>
      <c r="M21" s="280"/>
      <c r="N21" s="280"/>
    </row>
    <row r="22" spans="1:15">
      <c r="A22" s="160" t="s">
        <v>116</v>
      </c>
      <c r="B22" s="162">
        <f>SUM(B17:B21)</f>
        <v>16062653.42</v>
      </c>
      <c r="C22" s="162">
        <f>SUM(C17:C21)</f>
        <v>3373157.23</v>
      </c>
      <c r="D22" s="162">
        <f>SUM(D17:D21)</f>
        <v>19435810.649999999</v>
      </c>
      <c r="E22" s="279"/>
      <c r="F22" s="280"/>
      <c r="G22" s="280"/>
      <c r="H22" s="280"/>
      <c r="I22" s="280"/>
      <c r="J22" s="280"/>
      <c r="K22" s="280"/>
      <c r="L22" s="280"/>
      <c r="M22" s="280"/>
      <c r="N22" s="280"/>
    </row>
    <row r="23" spans="1:15">
      <c r="D23" s="219">
        <f>+B22*1.21</f>
        <v>19435810.6382</v>
      </c>
      <c r="E23" s="279"/>
      <c r="F23" s="280"/>
      <c r="G23" s="280"/>
      <c r="H23" s="280"/>
      <c r="I23" s="280"/>
      <c r="J23" s="280"/>
      <c r="K23" s="280"/>
      <c r="L23" s="280"/>
      <c r="M23" s="280"/>
      <c r="N23" s="280"/>
    </row>
    <row r="24" spans="1:15" ht="21.75" customHeight="1">
      <c r="F24" s="163"/>
      <c r="G24" s="163"/>
      <c r="H24" s="163"/>
      <c r="I24" s="163"/>
      <c r="J24" s="163"/>
      <c r="K24" s="163"/>
      <c r="L24" s="163"/>
      <c r="M24" s="163"/>
      <c r="N24" s="163"/>
    </row>
    <row r="25" spans="1:15">
      <c r="A25" s="158" t="s">
        <v>236</v>
      </c>
      <c r="O25" s="164"/>
    </row>
    <row r="26" spans="1:15" ht="13.5" thickBot="1">
      <c r="L26" s="165"/>
    </row>
    <row r="27" spans="1:15" ht="13.5" thickBot="1">
      <c r="A27" s="166" t="s">
        <v>118</v>
      </c>
      <c r="B27" s="167" t="s">
        <v>240</v>
      </c>
      <c r="C27" s="167" t="s">
        <v>241</v>
      </c>
      <c r="D27" s="167" t="s">
        <v>222</v>
      </c>
      <c r="E27" s="167" t="s">
        <v>239</v>
      </c>
      <c r="F27" s="166" t="s">
        <v>119</v>
      </c>
      <c r="H27" s="166" t="s">
        <v>118</v>
      </c>
      <c r="I27" s="166" t="s">
        <v>242</v>
      </c>
      <c r="J27" s="166" t="s">
        <v>243</v>
      </c>
      <c r="N27" s="165"/>
    </row>
    <row r="28" spans="1:15" ht="13.5" thickBot="1">
      <c r="A28" s="168">
        <v>2025</v>
      </c>
      <c r="B28" s="99" t="s">
        <v>409</v>
      </c>
      <c r="C28" s="169" t="s">
        <v>244</v>
      </c>
      <c r="D28" s="170">
        <f>D6+D7+D9+D10</f>
        <v>1042940.4400000001</v>
      </c>
      <c r="E28" s="170">
        <f>B6+B7+B9+B10</f>
        <v>861934.25</v>
      </c>
      <c r="F28" s="171">
        <f>C6+C7+C9+C10</f>
        <v>181006.19</v>
      </c>
      <c r="H28" s="168">
        <v>2025</v>
      </c>
      <c r="I28" s="172">
        <f>D28</f>
        <v>1042940.4400000001</v>
      </c>
      <c r="J28" s="172"/>
      <c r="K28" s="173"/>
      <c r="N28" s="165"/>
    </row>
    <row r="29" spans="1:15" ht="13.5" thickBot="1">
      <c r="A29" s="168">
        <v>2025</v>
      </c>
      <c r="B29" s="99" t="s">
        <v>409</v>
      </c>
      <c r="C29" s="169" t="s">
        <v>246</v>
      </c>
      <c r="D29" s="170">
        <f>D8</f>
        <v>1866992.18</v>
      </c>
      <c r="E29" s="170">
        <f>B8</f>
        <v>1542968.74</v>
      </c>
      <c r="F29" s="171">
        <f>C8</f>
        <v>324023.44</v>
      </c>
      <c r="H29" s="168">
        <v>2025</v>
      </c>
      <c r="I29" s="172"/>
      <c r="J29" s="172">
        <f>D29</f>
        <v>1866992.18</v>
      </c>
      <c r="K29" s="173"/>
      <c r="N29" s="165"/>
    </row>
    <row r="30" spans="1:15" ht="13.5" thickBot="1">
      <c r="A30" s="168">
        <v>2026</v>
      </c>
      <c r="B30" s="99" t="s">
        <v>245</v>
      </c>
      <c r="C30" s="169" t="s">
        <v>244</v>
      </c>
      <c r="D30" s="170">
        <f>G6+G7+G9+G10</f>
        <v>2371383.2400000002</v>
      </c>
      <c r="E30" s="170">
        <f>E6+E7+E9+E10</f>
        <v>1959820.8599999999</v>
      </c>
      <c r="F30" s="171">
        <f>F6+F7+F9+F10</f>
        <v>411562.38</v>
      </c>
      <c r="H30" s="168">
        <v>2026</v>
      </c>
      <c r="I30" s="172">
        <f>D30</f>
        <v>2371383.2400000002</v>
      </c>
      <c r="J30" s="172"/>
      <c r="K30" s="173"/>
      <c r="N30" s="165"/>
    </row>
    <row r="31" spans="1:15" ht="13.5" thickBot="1">
      <c r="A31" s="168">
        <v>2026</v>
      </c>
      <c r="B31" s="99" t="s">
        <v>245</v>
      </c>
      <c r="C31" s="169" t="s">
        <v>246</v>
      </c>
      <c r="D31" s="170">
        <f>G8</f>
        <v>2614401.98</v>
      </c>
      <c r="E31" s="170">
        <f>E8</f>
        <v>2160662.79</v>
      </c>
      <c r="F31" s="171">
        <f>F8</f>
        <v>453739.19</v>
      </c>
      <c r="H31" s="168">
        <v>2026</v>
      </c>
      <c r="I31" s="172"/>
      <c r="J31" s="172">
        <f>D31</f>
        <v>2614401.98</v>
      </c>
      <c r="K31" s="173"/>
      <c r="N31" s="165"/>
    </row>
    <row r="32" spans="1:15" ht="13.5" thickBot="1">
      <c r="A32" s="168">
        <v>2027</v>
      </c>
      <c r="B32" s="99" t="s">
        <v>245</v>
      </c>
      <c r="C32" s="169" t="s">
        <v>244</v>
      </c>
      <c r="D32" s="170">
        <f>J6+J7+J9+J10</f>
        <v>2371383.2400000002</v>
      </c>
      <c r="E32" s="170">
        <f>H6+H7+H9+H10</f>
        <v>1959820.8499999999</v>
      </c>
      <c r="F32" s="170">
        <f>I6+I7+I9+I10</f>
        <v>411562.39</v>
      </c>
      <c r="H32" s="168">
        <v>2027</v>
      </c>
      <c r="I32" s="172">
        <f>D32</f>
        <v>2371383.2400000002</v>
      </c>
      <c r="J32" s="172"/>
      <c r="K32" s="173"/>
      <c r="N32" s="165"/>
    </row>
    <row r="33" spans="1:14" ht="13.5" thickBot="1">
      <c r="A33" s="168">
        <v>2027</v>
      </c>
      <c r="B33" s="99" t="s">
        <v>245</v>
      </c>
      <c r="C33" s="169" t="s">
        <v>246</v>
      </c>
      <c r="D33" s="170">
        <f>J8</f>
        <v>2732325.3099999996</v>
      </c>
      <c r="E33" s="170">
        <f>H8</f>
        <v>2258120.09</v>
      </c>
      <c r="F33" s="170">
        <f>I8</f>
        <v>474205.22</v>
      </c>
      <c r="H33" s="168">
        <v>2027</v>
      </c>
      <c r="I33" s="172"/>
      <c r="J33" s="172">
        <f>D33</f>
        <v>2732325.3099999996</v>
      </c>
      <c r="K33" s="173"/>
      <c r="N33" s="165"/>
    </row>
    <row r="34" spans="1:14" ht="13.5" thickBot="1">
      <c r="A34" s="168">
        <v>2028</v>
      </c>
      <c r="B34" s="99" t="s">
        <v>245</v>
      </c>
      <c r="C34" s="169" t="s">
        <v>244</v>
      </c>
      <c r="D34" s="170">
        <f>M6+M7+M9+M10</f>
        <v>2371383.2400000002</v>
      </c>
      <c r="E34" s="170">
        <f>K6+K7+K9+K10</f>
        <v>1959820.86</v>
      </c>
      <c r="F34" s="170">
        <f>L6+L7+L9+L10</f>
        <v>411562.38</v>
      </c>
      <c r="H34" s="168">
        <v>2028</v>
      </c>
      <c r="I34" s="172">
        <f>D34</f>
        <v>2371383.2400000002</v>
      </c>
      <c r="J34" s="172"/>
      <c r="K34" s="173"/>
      <c r="N34" s="165"/>
    </row>
    <row r="35" spans="1:14" ht="13.5" thickBot="1">
      <c r="A35" s="168">
        <v>2028</v>
      </c>
      <c r="B35" s="99" t="s">
        <v>245</v>
      </c>
      <c r="C35" s="169" t="s">
        <v>246</v>
      </c>
      <c r="D35" s="170">
        <f>+M8</f>
        <v>2607387.69</v>
      </c>
      <c r="E35" s="170">
        <f>+K8</f>
        <v>2154865.86</v>
      </c>
      <c r="F35" s="171">
        <f>+L8</f>
        <v>452521.83</v>
      </c>
      <c r="H35" s="168">
        <v>2028</v>
      </c>
      <c r="I35" s="172"/>
      <c r="J35" s="172">
        <f>+D35</f>
        <v>2607387.69</v>
      </c>
      <c r="K35" s="173"/>
      <c r="N35" s="165"/>
    </row>
    <row r="36" spans="1:14" ht="13.5" thickBot="1">
      <c r="A36" s="168">
        <v>2029</v>
      </c>
      <c r="B36" s="99" t="s">
        <v>410</v>
      </c>
      <c r="C36" s="169" t="s">
        <v>244</v>
      </c>
      <c r="D36" s="170">
        <f>P6+P7+P9+P10</f>
        <v>721829.95999999985</v>
      </c>
      <c r="E36" s="170">
        <f>N6+N7+N9+N10</f>
        <v>596553.68999999994</v>
      </c>
      <c r="F36" s="170">
        <f>O6+O7+O9+O10</f>
        <v>125276.26999999999</v>
      </c>
      <c r="H36" s="168">
        <v>2029</v>
      </c>
      <c r="I36" s="172">
        <f>D36</f>
        <v>721829.95999999985</v>
      </c>
      <c r="J36" s="172"/>
      <c r="K36" s="173"/>
      <c r="N36" s="165"/>
    </row>
    <row r="37" spans="1:14" ht="13.5" thickBot="1">
      <c r="A37" s="168">
        <v>2029</v>
      </c>
      <c r="B37" s="99" t="s">
        <v>410</v>
      </c>
      <c r="C37" s="169" t="s">
        <v>246</v>
      </c>
      <c r="D37" s="170">
        <f>+P8</f>
        <v>735783.37000000011</v>
      </c>
      <c r="E37" s="170">
        <f>+N8</f>
        <v>608085.43000000005</v>
      </c>
      <c r="F37" s="171">
        <f>+O8</f>
        <v>127697.94</v>
      </c>
      <c r="H37" s="168">
        <v>2029</v>
      </c>
      <c r="I37" s="172"/>
      <c r="J37" s="172">
        <f>+D37</f>
        <v>735783.37000000011</v>
      </c>
      <c r="K37" s="173"/>
      <c r="N37" s="165"/>
    </row>
    <row r="38" spans="1:14">
      <c r="A38" s="174" t="s">
        <v>116</v>
      </c>
      <c r="B38" s="174" t="s">
        <v>247</v>
      </c>
      <c r="C38" s="174"/>
      <c r="D38" s="219">
        <f>SUM(D28:D37)</f>
        <v>19435810.650000002</v>
      </c>
      <c r="E38" s="219">
        <f>SUM(E28:E37)</f>
        <v>16062653.419999998</v>
      </c>
      <c r="F38" s="219">
        <f>SUM(F28:F37)</f>
        <v>3373157.2299999995</v>
      </c>
      <c r="H38" s="174" t="s">
        <v>116</v>
      </c>
      <c r="I38" s="219">
        <f>SUM(I28:I37)</f>
        <v>8878920.1199999992</v>
      </c>
      <c r="J38" s="219">
        <f>SUM(J28:J37)</f>
        <v>10556890.530000001</v>
      </c>
      <c r="K38" s="175">
        <f>I38+J38</f>
        <v>19435810.649999999</v>
      </c>
      <c r="N38" s="165"/>
    </row>
    <row r="39" spans="1:14">
      <c r="A39" s="158"/>
      <c r="I39" s="176"/>
      <c r="L39" s="177"/>
    </row>
    <row r="40" spans="1:14">
      <c r="A40" s="158"/>
      <c r="I40" s="176"/>
      <c r="L40" s="177"/>
    </row>
    <row r="41" spans="1:14">
      <c r="A41" s="158" t="s">
        <v>281</v>
      </c>
      <c r="I41" s="176"/>
      <c r="L41" s="177"/>
    </row>
    <row r="42" spans="1:14" ht="13.5" thickBot="1">
      <c r="A42" s="199"/>
    </row>
    <row r="43" spans="1:14" ht="13.5" thickBot="1">
      <c r="A43" s="166" t="s">
        <v>118</v>
      </c>
      <c r="B43" s="167" t="s">
        <v>240</v>
      </c>
      <c r="C43" s="167" t="s">
        <v>241</v>
      </c>
      <c r="D43" s="167" t="s">
        <v>222</v>
      </c>
      <c r="E43" s="167" t="s">
        <v>239</v>
      </c>
      <c r="F43" s="166" t="s">
        <v>119</v>
      </c>
      <c r="H43" s="166" t="s">
        <v>118</v>
      </c>
      <c r="I43" s="166" t="s">
        <v>242</v>
      </c>
      <c r="J43" s="166" t="s">
        <v>243</v>
      </c>
      <c r="N43" s="165"/>
    </row>
    <row r="44" spans="1:14" ht="13.5" thickBot="1">
      <c r="A44" s="168">
        <v>2029</v>
      </c>
      <c r="B44" s="99" t="s">
        <v>409</v>
      </c>
      <c r="C44" s="169" t="s">
        <v>244</v>
      </c>
      <c r="D44" s="170">
        <f t="shared" ref="D44:F45" si="10">D34-D36</f>
        <v>1649553.2800000003</v>
      </c>
      <c r="E44" s="170">
        <f t="shared" si="10"/>
        <v>1363267.1700000002</v>
      </c>
      <c r="F44" s="170">
        <f t="shared" si="10"/>
        <v>286286.11</v>
      </c>
      <c r="H44" s="168">
        <v>2025</v>
      </c>
      <c r="I44" s="172">
        <f>D44</f>
        <v>1649553.2800000003</v>
      </c>
      <c r="J44" s="172"/>
      <c r="K44" s="173"/>
      <c r="N44" s="165"/>
    </row>
    <row r="45" spans="1:14" ht="13.5" thickBot="1">
      <c r="A45" s="168">
        <v>2029</v>
      </c>
      <c r="B45" s="99" t="s">
        <v>409</v>
      </c>
      <c r="C45" s="169" t="s">
        <v>246</v>
      </c>
      <c r="D45" s="170">
        <f t="shared" si="10"/>
        <v>1871604.3199999998</v>
      </c>
      <c r="E45" s="170">
        <f t="shared" si="10"/>
        <v>1546780.4299999997</v>
      </c>
      <c r="F45" s="170">
        <f t="shared" si="10"/>
        <v>324823.89</v>
      </c>
      <c r="H45" s="168">
        <v>2025</v>
      </c>
      <c r="I45" s="172"/>
      <c r="J45" s="172">
        <f>D45</f>
        <v>1871604.3199999998</v>
      </c>
      <c r="K45" s="173"/>
      <c r="N45" s="165"/>
    </row>
    <row r="46" spans="1:14" ht="13.5" thickBot="1">
      <c r="A46" s="168">
        <v>2030</v>
      </c>
      <c r="B46" s="99" t="s">
        <v>410</v>
      </c>
      <c r="C46" s="169" t="s">
        <v>244</v>
      </c>
      <c r="D46" s="170">
        <f t="shared" ref="D46:F47" si="11">D36</f>
        <v>721829.95999999985</v>
      </c>
      <c r="E46" s="170">
        <f t="shared" si="11"/>
        <v>596553.68999999994</v>
      </c>
      <c r="F46" s="170">
        <f t="shared" si="11"/>
        <v>125276.26999999999</v>
      </c>
      <c r="H46" s="168">
        <v>2026</v>
      </c>
      <c r="I46" s="172">
        <f>D46</f>
        <v>721829.95999999985</v>
      </c>
      <c r="J46" s="172"/>
      <c r="K46" s="173"/>
      <c r="N46" s="165"/>
    </row>
    <row r="47" spans="1:14" ht="13.5" thickBot="1">
      <c r="A47" s="168">
        <v>2030</v>
      </c>
      <c r="B47" s="99" t="s">
        <v>410</v>
      </c>
      <c r="C47" s="169" t="s">
        <v>246</v>
      </c>
      <c r="D47" s="170">
        <f t="shared" si="11"/>
        <v>735783.37000000011</v>
      </c>
      <c r="E47" s="170">
        <f t="shared" si="11"/>
        <v>608085.43000000005</v>
      </c>
      <c r="F47" s="170">
        <f t="shared" si="11"/>
        <v>127697.94</v>
      </c>
      <c r="H47" s="168">
        <v>2026</v>
      </c>
      <c r="I47" s="172"/>
      <c r="J47" s="172">
        <f>D47</f>
        <v>735783.37000000011</v>
      </c>
      <c r="K47" s="173"/>
      <c r="N47" s="165"/>
    </row>
    <row r="48" spans="1:14">
      <c r="A48" s="158"/>
      <c r="I48" s="178"/>
    </row>
    <row r="49" spans="1:9">
      <c r="A49" s="158"/>
      <c r="I49" s="178"/>
    </row>
    <row r="50" spans="1:9">
      <c r="A50" s="158"/>
      <c r="I50" s="178"/>
    </row>
    <row r="51" spans="1:9">
      <c r="A51" s="158" t="s">
        <v>248</v>
      </c>
      <c r="E51" s="179"/>
    </row>
    <row r="52" spans="1:9" ht="39">
      <c r="A52" s="180" t="s">
        <v>249</v>
      </c>
      <c r="B52" s="180" t="s">
        <v>250</v>
      </c>
      <c r="C52" s="180" t="s">
        <v>251</v>
      </c>
      <c r="D52" s="180" t="s">
        <v>252</v>
      </c>
      <c r="E52" s="180" t="s">
        <v>253</v>
      </c>
      <c r="F52" s="180" t="s">
        <v>254</v>
      </c>
    </row>
    <row r="53" spans="1:9" ht="65">
      <c r="A53" s="181" t="s">
        <v>255</v>
      </c>
      <c r="B53" s="182">
        <f>$D$22</f>
        <v>19435810.649999999</v>
      </c>
      <c r="C53" s="183">
        <v>0.2</v>
      </c>
      <c r="D53" s="184">
        <f>+ROUND(B53*C53,2)</f>
        <v>3887162.13</v>
      </c>
      <c r="E53" s="183">
        <v>0.2</v>
      </c>
      <c r="F53" s="184">
        <f>+ROUND(B53*E53,2)</f>
        <v>3887162.13</v>
      </c>
    </row>
    <row r="54" spans="1:9">
      <c r="A54" s="185" t="s">
        <v>256</v>
      </c>
      <c r="B54" s="186">
        <f>SUM(B53:B53)</f>
        <v>19435810.649999999</v>
      </c>
      <c r="C54" s="187">
        <f>SUM(C53:C53)</f>
        <v>0.2</v>
      </c>
      <c r="D54" s="188">
        <f>SUM(D53:D53)</f>
        <v>3887162.13</v>
      </c>
      <c r="E54" s="187">
        <f>SUM(E53:E53)</f>
        <v>0.2</v>
      </c>
      <c r="F54" s="188">
        <f>SUM(F53:F53)</f>
        <v>3887162.13</v>
      </c>
    </row>
    <row r="55" spans="1:9">
      <c r="D55" s="189">
        <f>+ROUND(D54/1.21,2)</f>
        <v>3212530.69</v>
      </c>
      <c r="F55" s="189">
        <f>+ROUND(F54/1.21,2)</f>
        <v>3212530.69</v>
      </c>
    </row>
    <row r="56" spans="1:9">
      <c r="D56" s="190" t="s">
        <v>257</v>
      </c>
      <c r="F56" s="190" t="s">
        <v>257</v>
      </c>
    </row>
    <row r="59" spans="1:9">
      <c r="A59" s="158" t="s">
        <v>258</v>
      </c>
    </row>
    <row r="60" spans="1:9" ht="52">
      <c r="A60" s="191"/>
      <c r="B60" s="192" t="s">
        <v>259</v>
      </c>
      <c r="C60" s="192" t="s">
        <v>260</v>
      </c>
      <c r="D60" s="192" t="s">
        <v>261</v>
      </c>
      <c r="E60" s="192" t="s">
        <v>406</v>
      </c>
      <c r="F60" s="192" t="s">
        <v>262</v>
      </c>
      <c r="G60" s="192" t="s">
        <v>263</v>
      </c>
    </row>
    <row r="61" spans="1:9">
      <c r="A61" s="191">
        <v>2025</v>
      </c>
      <c r="B61" s="193">
        <f>B11</f>
        <v>2404902.9899999998</v>
      </c>
      <c r="C61" s="184">
        <v>0</v>
      </c>
      <c r="D61" s="184">
        <f>ROUND(D$55/6,2)</f>
        <v>535421.78</v>
      </c>
      <c r="E61" s="184">
        <v>0</v>
      </c>
      <c r="F61" s="184">
        <f>-ROUND(F$55/6,2)</f>
        <v>-535421.78</v>
      </c>
      <c r="G61" s="194">
        <f t="shared" ref="G61:G65" si="12">SUM(B61:E61)</f>
        <v>2940324.7699999996</v>
      </c>
      <c r="H61" s="195">
        <f t="shared" ref="H61:H66" si="13">B61+C61</f>
        <v>2404902.9899999998</v>
      </c>
    </row>
    <row r="62" spans="1:9">
      <c r="A62" s="191">
        <v>2026</v>
      </c>
      <c r="B62" s="193">
        <f>E11</f>
        <v>4120483.6500000004</v>
      </c>
      <c r="C62" s="184">
        <v>0</v>
      </c>
      <c r="D62" s="184">
        <f>ROUND(D$55/6,2)</f>
        <v>535421.78</v>
      </c>
      <c r="E62" s="184">
        <v>0</v>
      </c>
      <c r="F62" s="184">
        <f>-ROUND(F$55/6,2)</f>
        <v>-535421.78</v>
      </c>
      <c r="G62" s="194">
        <f t="shared" si="12"/>
        <v>4655905.4300000006</v>
      </c>
      <c r="H62" s="195">
        <f t="shared" si="13"/>
        <v>4120483.6500000004</v>
      </c>
    </row>
    <row r="63" spans="1:9">
      <c r="A63" s="191">
        <v>2027</v>
      </c>
      <c r="B63" s="193">
        <f>H11</f>
        <v>4217940.9399999995</v>
      </c>
      <c r="C63" s="184">
        <v>0</v>
      </c>
      <c r="D63" s="184">
        <f>ROUND(D$55/6,2)</f>
        <v>535421.78</v>
      </c>
      <c r="E63" s="184">
        <v>0</v>
      </c>
      <c r="F63" s="184">
        <f>-ROUND(F$55/6,2)</f>
        <v>-535421.78</v>
      </c>
      <c r="G63" s="194">
        <f t="shared" si="12"/>
        <v>4753362.72</v>
      </c>
      <c r="H63" s="195">
        <f t="shared" si="13"/>
        <v>4217940.9399999995</v>
      </c>
    </row>
    <row r="64" spans="1:9">
      <c r="A64" s="191">
        <v>2028</v>
      </c>
      <c r="B64" s="193">
        <f>K11</f>
        <v>4114686.7199999997</v>
      </c>
      <c r="C64" s="184">
        <v>0</v>
      </c>
      <c r="D64" s="184">
        <f>ROUND(D$55/6,2)</f>
        <v>535421.78</v>
      </c>
      <c r="E64" s="184">
        <v>0</v>
      </c>
      <c r="F64" s="184">
        <f>-ROUND(F$55/6,2)</f>
        <v>-535421.78</v>
      </c>
      <c r="G64" s="194">
        <f t="shared" si="12"/>
        <v>4650108.5</v>
      </c>
      <c r="H64" s="195">
        <f t="shared" si="13"/>
        <v>4114686.7199999997</v>
      </c>
    </row>
    <row r="65" spans="1:8">
      <c r="A65" s="191">
        <v>2029</v>
      </c>
      <c r="B65" s="193">
        <f>+N11</f>
        <v>1204639.1199999999</v>
      </c>
      <c r="C65" s="193">
        <f>B64-B65</f>
        <v>2910047.5999999996</v>
      </c>
      <c r="D65" s="184">
        <f>ROUND(D$55/6,2)</f>
        <v>535421.78</v>
      </c>
      <c r="E65" s="184">
        <f>0.1*B53/1.21</f>
        <v>1606265.3429752067</v>
      </c>
      <c r="F65" s="184">
        <f>-ROUND(F$55/6,2)</f>
        <v>-535421.78</v>
      </c>
      <c r="G65" s="194">
        <f t="shared" si="12"/>
        <v>6256373.8429752067</v>
      </c>
      <c r="H65" s="195">
        <f t="shared" si="13"/>
        <v>4114686.7199999997</v>
      </c>
    </row>
    <row r="66" spans="1:8">
      <c r="A66" s="191">
        <v>2030</v>
      </c>
      <c r="B66" s="193"/>
      <c r="C66" s="193">
        <f>B65</f>
        <v>1204639.1199999999</v>
      </c>
      <c r="D66" s="184">
        <f>ROUND(D$55/6,2)+0.01</f>
        <v>535421.79</v>
      </c>
      <c r="E66" s="184">
        <v>0</v>
      </c>
      <c r="F66" s="184">
        <f>-ROUND(F$55/6,2)-0.01</f>
        <v>-535421.79</v>
      </c>
      <c r="G66" s="194">
        <f>SUM(B66:E66)</f>
        <v>1740060.91</v>
      </c>
      <c r="H66" s="195">
        <f t="shared" si="13"/>
        <v>1204639.1199999999</v>
      </c>
    </row>
    <row r="67" spans="1:8">
      <c r="A67" s="196" t="s">
        <v>116</v>
      </c>
      <c r="B67" s="197">
        <f t="shared" ref="B67:E67" si="14">SUM(B61:B66)</f>
        <v>16062653.42</v>
      </c>
      <c r="C67" s="197">
        <f t="shared" si="14"/>
        <v>4114686.7199999997</v>
      </c>
      <c r="D67" s="197">
        <f t="shared" si="14"/>
        <v>3212530.6900000004</v>
      </c>
      <c r="E67" s="197">
        <f t="shared" si="14"/>
        <v>1606265.3429752067</v>
      </c>
      <c r="F67" s="198">
        <f>SUM(F61:F66)</f>
        <v>-3212530.6900000004</v>
      </c>
      <c r="G67" s="197">
        <f>SUM(G61:G66)</f>
        <v>24996136.172975209</v>
      </c>
      <c r="H67" s="188">
        <f>SUM(H61:H66)</f>
        <v>20177340.140000001</v>
      </c>
    </row>
    <row r="68" spans="1:8">
      <c r="F68" s="199"/>
    </row>
    <row r="71" spans="1:8" ht="14.5">
      <c r="A71" s="200"/>
      <c r="B71" s="200"/>
      <c r="C71" s="200"/>
    </row>
    <row r="72" spans="1:8" ht="15.5">
      <c r="A72" s="201" t="s">
        <v>258</v>
      </c>
      <c r="B72" s="281" t="s">
        <v>264</v>
      </c>
      <c r="C72" s="282"/>
      <c r="D72" s="282"/>
      <c r="E72" s="282"/>
    </row>
    <row r="73" spans="1:8" ht="14.5">
      <c r="A73" s="202">
        <f>+G67</f>
        <v>24996136.172975209</v>
      </c>
      <c r="B73" s="283" t="s">
        <v>265</v>
      </c>
      <c r="C73" s="284"/>
      <c r="D73" s="283" t="s">
        <v>266</v>
      </c>
      <c r="E73" s="284"/>
    </row>
    <row r="74" spans="1:8" ht="29">
      <c r="A74" s="201" t="s">
        <v>267</v>
      </c>
      <c r="B74" s="201" t="s">
        <v>268</v>
      </c>
      <c r="C74" s="201" t="s">
        <v>269</v>
      </c>
      <c r="D74" s="201" t="s">
        <v>270</v>
      </c>
      <c r="E74" s="201" t="s">
        <v>269</v>
      </c>
    </row>
    <row r="75" spans="1:8">
      <c r="A75" s="203">
        <v>5</v>
      </c>
      <c r="B75" s="184">
        <f>+C75/A75</f>
        <v>7498840.8518925626</v>
      </c>
      <c r="C75" s="184">
        <f>1.5*A73</f>
        <v>37494204.259462811</v>
      </c>
      <c r="D75" s="184">
        <f>ROUND(A73*2/3/A75,2)</f>
        <v>3332818.16</v>
      </c>
      <c r="E75" s="184">
        <f>+C75</f>
        <v>37494204.259462811</v>
      </c>
      <c r="F75" s="204"/>
    </row>
    <row r="76" spans="1:8">
      <c r="B76" s="205" t="s">
        <v>271</v>
      </c>
      <c r="C76" s="205" t="s">
        <v>272</v>
      </c>
      <c r="D76" s="206" t="s">
        <v>273</v>
      </c>
      <c r="E76" s="205" t="s">
        <v>272</v>
      </c>
    </row>
    <row r="77" spans="1:8" ht="14.5">
      <c r="D77" s="200"/>
    </row>
    <row r="80" spans="1:8">
      <c r="A80" s="199"/>
    </row>
    <row r="81" spans="1:5">
      <c r="A81" s="199"/>
    </row>
    <row r="85" spans="1:5">
      <c r="A85" s="207"/>
      <c r="B85" s="208"/>
      <c r="C85" s="208"/>
      <c r="D85" s="208"/>
      <c r="E85" s="208"/>
    </row>
    <row r="86" spans="1:5">
      <c r="A86" s="207"/>
      <c r="B86" s="209"/>
      <c r="C86" s="208"/>
      <c r="D86" s="209"/>
      <c r="E86" s="208"/>
    </row>
    <row r="87" spans="1:5">
      <c r="B87" s="208"/>
      <c r="C87" s="208"/>
      <c r="D87" s="208"/>
    </row>
    <row r="88" spans="1:5">
      <c r="B88" s="209"/>
      <c r="D88" s="209"/>
    </row>
  </sheetData>
  <mergeCells count="9">
    <mergeCell ref="K4:M4"/>
    <mergeCell ref="E17:N23"/>
    <mergeCell ref="B72:E72"/>
    <mergeCell ref="B73:C73"/>
    <mergeCell ref="D73:E73"/>
    <mergeCell ref="B4:D4"/>
    <mergeCell ref="E4:G4"/>
    <mergeCell ref="H4:J4"/>
    <mergeCell ref="N4:P4"/>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8"/>
  <sheetViews>
    <sheetView workbookViewId="0">
      <selection activeCell="A24" sqref="A24"/>
    </sheetView>
  </sheetViews>
  <sheetFormatPr defaultRowHeight="14.5"/>
  <cols>
    <col min="1" max="1" width="39.453125" bestFit="1" customWidth="1"/>
    <col min="2" max="2" width="15.1796875" bestFit="1" customWidth="1"/>
    <col min="4" max="4" width="14" bestFit="1" customWidth="1"/>
  </cols>
  <sheetData>
    <row r="1" spans="1:2">
      <c r="A1" s="285" t="s">
        <v>274</v>
      </c>
      <c r="B1" s="286"/>
    </row>
    <row r="2" spans="1:2">
      <c r="A2" s="237"/>
      <c r="B2" s="237"/>
    </row>
    <row r="3" spans="1:2">
      <c r="A3" s="238" t="s">
        <v>275</v>
      </c>
      <c r="B3" s="238" t="s">
        <v>398</v>
      </c>
    </row>
    <row r="4" spans="1:2">
      <c r="A4" s="239">
        <v>9405740.5468484499</v>
      </c>
      <c r="B4" s="239">
        <v>0</v>
      </c>
    </row>
    <row r="5" spans="1:2">
      <c r="A5" s="237"/>
      <c r="B5" s="237"/>
    </row>
    <row r="6" spans="1:2">
      <c r="A6" s="240" t="s">
        <v>276</v>
      </c>
      <c r="B6" s="241"/>
    </row>
    <row r="7" spans="1:2">
      <c r="A7" s="242" t="s">
        <v>277</v>
      </c>
      <c r="B7" s="243">
        <f>A4</f>
        <v>9405740.5468484499</v>
      </c>
    </row>
    <row r="8" spans="1:2">
      <c r="A8" s="242" t="s">
        <v>399</v>
      </c>
      <c r="B8" s="243">
        <f>+ROUND((B7*0.34),2)</f>
        <v>3197951.79</v>
      </c>
    </row>
    <row r="9" spans="1:2">
      <c r="A9" s="242" t="s">
        <v>400</v>
      </c>
      <c r="B9" s="243">
        <f>+ROUND(((B7)*0.01),2)</f>
        <v>94057.41</v>
      </c>
    </row>
    <row r="10" spans="1:2">
      <c r="A10" s="242" t="s">
        <v>398</v>
      </c>
      <c r="B10" s="243">
        <f>B4</f>
        <v>0</v>
      </c>
    </row>
    <row r="11" spans="1:2">
      <c r="A11" s="244" t="s">
        <v>278</v>
      </c>
      <c r="B11" s="245">
        <f>SUM(B7:B10)</f>
        <v>12697749.746848449</v>
      </c>
    </row>
    <row r="12" spans="1:2">
      <c r="A12" s="246"/>
      <c r="B12" s="247"/>
    </row>
    <row r="13" spans="1:2">
      <c r="A13" s="248" t="s">
        <v>279</v>
      </c>
      <c r="B13" s="249"/>
    </row>
    <row r="14" spans="1:2">
      <c r="A14" s="250" t="s">
        <v>401</v>
      </c>
      <c r="B14" s="271">
        <f>+ROUND((B11*0.15),2)-0.01</f>
        <v>1904662.45</v>
      </c>
    </row>
    <row r="15" spans="1:2">
      <c r="A15" s="244" t="s">
        <v>402</v>
      </c>
      <c r="B15" s="243">
        <f>B11+B14</f>
        <v>14602412.196848448</v>
      </c>
    </row>
    <row r="16" spans="1:2">
      <c r="A16" s="250" t="s">
        <v>403</v>
      </c>
      <c r="B16" s="251">
        <f>B15*10%</f>
        <v>1460241.2196848448</v>
      </c>
    </row>
    <row r="17" spans="1:2">
      <c r="A17" s="252" t="s">
        <v>404</v>
      </c>
      <c r="B17" s="253">
        <f>ROUND((B15+B16),2)</f>
        <v>16062653.42</v>
      </c>
    </row>
    <row r="18" spans="1:2">
      <c r="A18" s="252" t="s">
        <v>405</v>
      </c>
      <c r="B18" s="253">
        <f>'Taules IJ'!C22</f>
        <v>3373157.23</v>
      </c>
    </row>
  </sheetData>
  <mergeCells count="1">
    <mergeCell ref="A1:B1"/>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11"/>
  <sheetViews>
    <sheetView workbookViewId="0"/>
  </sheetViews>
  <sheetFormatPr defaultColWidth="11.453125" defaultRowHeight="14.5"/>
  <cols>
    <col min="2" max="2" width="19.26953125" customWidth="1"/>
    <col min="3" max="3" width="11.1796875" customWidth="1"/>
    <col min="4" max="4" width="10.7265625" bestFit="1" customWidth="1"/>
    <col min="5" max="5" width="23.453125" customWidth="1"/>
    <col min="6" max="6" width="26.54296875" customWidth="1"/>
  </cols>
  <sheetData>
    <row r="1" spans="2:14" ht="35" thickBot="1">
      <c r="B1" s="225" t="s">
        <v>306</v>
      </c>
      <c r="C1" s="226" t="s">
        <v>307</v>
      </c>
      <c r="D1" s="226" t="s">
        <v>308</v>
      </c>
      <c r="E1" s="226" t="s">
        <v>309</v>
      </c>
      <c r="F1" s="226" t="s">
        <v>310</v>
      </c>
      <c r="G1" s="226" t="s">
        <v>311</v>
      </c>
      <c r="H1" s="226" t="s">
        <v>312</v>
      </c>
      <c r="I1" s="226" t="s">
        <v>313</v>
      </c>
      <c r="J1" s="226" t="s">
        <v>314</v>
      </c>
      <c r="K1" s="226" t="s">
        <v>315</v>
      </c>
      <c r="L1" s="226" t="s">
        <v>316</v>
      </c>
      <c r="M1" s="226" t="s">
        <v>317</v>
      </c>
      <c r="N1" s="226" t="s">
        <v>318</v>
      </c>
    </row>
    <row r="2" spans="2:14" ht="333.5">
      <c r="B2" s="227" t="s">
        <v>319</v>
      </c>
      <c r="C2" s="228" t="s">
        <v>320</v>
      </c>
      <c r="D2" s="228">
        <v>46</v>
      </c>
      <c r="E2" s="228" t="s">
        <v>321</v>
      </c>
      <c r="F2" s="228" t="s">
        <v>322</v>
      </c>
      <c r="G2" s="228" t="s">
        <v>323</v>
      </c>
      <c r="H2" s="228" t="s">
        <v>88</v>
      </c>
      <c r="I2" s="228" t="s">
        <v>324</v>
      </c>
      <c r="J2" s="228" t="s">
        <v>325</v>
      </c>
      <c r="K2" s="228" t="s">
        <v>326</v>
      </c>
      <c r="L2" s="228" t="s">
        <v>327</v>
      </c>
      <c r="M2" s="228" t="s">
        <v>328</v>
      </c>
      <c r="N2" s="228" t="s">
        <v>329</v>
      </c>
    </row>
    <row r="3" spans="2:14" ht="409.6" thickBot="1">
      <c r="B3" s="229" t="s">
        <v>319</v>
      </c>
      <c r="C3" s="230" t="s">
        <v>320</v>
      </c>
      <c r="D3" s="230">
        <v>157</v>
      </c>
      <c r="E3" s="230" t="s">
        <v>330</v>
      </c>
      <c r="F3" s="230" t="s">
        <v>331</v>
      </c>
      <c r="G3" s="230" t="s">
        <v>332</v>
      </c>
      <c r="H3" s="230" t="s">
        <v>88</v>
      </c>
      <c r="I3" s="230" t="s">
        <v>333</v>
      </c>
      <c r="J3" s="230" t="s">
        <v>334</v>
      </c>
      <c r="K3" s="230" t="s">
        <v>335</v>
      </c>
      <c r="L3" s="230" t="s">
        <v>336</v>
      </c>
      <c r="M3" s="230" t="s">
        <v>337</v>
      </c>
      <c r="N3" s="230" t="s">
        <v>329</v>
      </c>
    </row>
    <row r="4" spans="2:14" ht="322">
      <c r="B4" s="227" t="s">
        <v>319</v>
      </c>
      <c r="C4" s="228" t="s">
        <v>320</v>
      </c>
      <c r="D4" s="228">
        <v>163</v>
      </c>
      <c r="E4" s="228" t="s">
        <v>338</v>
      </c>
      <c r="F4" s="228" t="s">
        <v>339</v>
      </c>
      <c r="G4" s="228" t="s">
        <v>323</v>
      </c>
      <c r="H4" s="228" t="s">
        <v>88</v>
      </c>
      <c r="I4" s="228" t="s">
        <v>340</v>
      </c>
      <c r="J4" s="228" t="s">
        <v>341</v>
      </c>
      <c r="K4" s="228" t="s">
        <v>342</v>
      </c>
      <c r="L4" s="228" t="s">
        <v>343</v>
      </c>
      <c r="M4" s="228" t="s">
        <v>344</v>
      </c>
      <c r="N4" s="228" t="s">
        <v>329</v>
      </c>
    </row>
    <row r="5" spans="2:14" ht="322">
      <c r="B5" s="231" t="s">
        <v>319</v>
      </c>
      <c r="C5" s="232" t="s">
        <v>288</v>
      </c>
      <c r="D5" s="232">
        <v>140</v>
      </c>
      <c r="E5" s="232" t="s">
        <v>345</v>
      </c>
      <c r="F5" s="232" t="s">
        <v>346</v>
      </c>
      <c r="G5" s="232" t="s">
        <v>347</v>
      </c>
      <c r="H5" s="232" t="s">
        <v>88</v>
      </c>
      <c r="I5" s="232" t="s">
        <v>348</v>
      </c>
      <c r="J5" s="232" t="s">
        <v>349</v>
      </c>
      <c r="K5" s="232" t="s">
        <v>350</v>
      </c>
      <c r="L5" s="232" t="s">
        <v>351</v>
      </c>
      <c r="M5" s="232" t="s">
        <v>352</v>
      </c>
      <c r="N5" s="232" t="s">
        <v>329</v>
      </c>
    </row>
    <row r="6" spans="2:14" s="216" customFormat="1" ht="322.5" thickBot="1">
      <c r="B6" s="233" t="s">
        <v>319</v>
      </c>
      <c r="C6" s="234" t="s">
        <v>288</v>
      </c>
      <c r="D6" s="234">
        <v>383</v>
      </c>
      <c r="E6" s="234" t="s">
        <v>353</v>
      </c>
      <c r="F6" s="234" t="s">
        <v>354</v>
      </c>
      <c r="G6" s="234" t="s">
        <v>323</v>
      </c>
      <c r="H6" s="234" t="s">
        <v>88</v>
      </c>
      <c r="I6" s="234" t="s">
        <v>355</v>
      </c>
      <c r="J6" s="234" t="s">
        <v>356</v>
      </c>
      <c r="K6" s="234" t="s">
        <v>357</v>
      </c>
      <c r="L6" s="234" t="s">
        <v>343</v>
      </c>
      <c r="M6" s="234" t="s">
        <v>358</v>
      </c>
      <c r="N6" s="234" t="s">
        <v>329</v>
      </c>
    </row>
    <row r="7" spans="2:14" ht="322">
      <c r="B7" s="227" t="s">
        <v>319</v>
      </c>
      <c r="C7" s="228" t="s">
        <v>288</v>
      </c>
      <c r="D7" s="228">
        <v>588</v>
      </c>
      <c r="E7" s="228" t="s">
        <v>359</v>
      </c>
      <c r="F7" s="228" t="s">
        <v>360</v>
      </c>
      <c r="G7" s="228" t="s">
        <v>323</v>
      </c>
      <c r="H7" s="228" t="s">
        <v>88</v>
      </c>
      <c r="I7" s="228" t="s">
        <v>361</v>
      </c>
      <c r="J7" s="228" t="s">
        <v>362</v>
      </c>
      <c r="K7" s="228" t="s">
        <v>363</v>
      </c>
      <c r="L7" s="228" t="s">
        <v>343</v>
      </c>
      <c r="M7" s="228" t="s">
        <v>364</v>
      </c>
      <c r="N7" s="228" t="s">
        <v>329</v>
      </c>
    </row>
    <row r="8" spans="2:14" ht="322">
      <c r="B8" s="231" t="s">
        <v>319</v>
      </c>
      <c r="C8" s="232" t="s">
        <v>288</v>
      </c>
      <c r="D8" s="232">
        <v>591</v>
      </c>
      <c r="E8" s="232" t="s">
        <v>365</v>
      </c>
      <c r="F8" s="232" t="s">
        <v>366</v>
      </c>
      <c r="G8" s="232" t="s">
        <v>367</v>
      </c>
      <c r="H8" s="232" t="s">
        <v>88</v>
      </c>
      <c r="I8" s="232" t="s">
        <v>368</v>
      </c>
      <c r="J8" s="232" t="s">
        <v>369</v>
      </c>
      <c r="K8" s="232" t="s">
        <v>363</v>
      </c>
      <c r="L8" s="232" t="s">
        <v>370</v>
      </c>
      <c r="M8" s="232" t="s">
        <v>371</v>
      </c>
      <c r="N8" s="232" t="s">
        <v>329</v>
      </c>
    </row>
    <row r="9" spans="2:14" ht="322">
      <c r="B9" s="231" t="s">
        <v>319</v>
      </c>
      <c r="C9" s="232" t="s">
        <v>288</v>
      </c>
      <c r="D9" s="232">
        <v>628</v>
      </c>
      <c r="E9" s="232" t="s">
        <v>372</v>
      </c>
      <c r="F9" s="232" t="s">
        <v>373</v>
      </c>
      <c r="G9" s="232" t="s">
        <v>323</v>
      </c>
      <c r="H9" s="232" t="s">
        <v>88</v>
      </c>
      <c r="I9" s="232" t="s">
        <v>374</v>
      </c>
      <c r="J9" s="232" t="s">
        <v>375</v>
      </c>
      <c r="K9" s="232" t="s">
        <v>342</v>
      </c>
      <c r="L9" s="232" t="s">
        <v>376</v>
      </c>
      <c r="M9" s="232" t="s">
        <v>377</v>
      </c>
      <c r="N9" s="232" t="s">
        <v>329</v>
      </c>
    </row>
    <row r="10" spans="2:14" s="216" customFormat="1" ht="409.5">
      <c r="B10" s="235" t="s">
        <v>319</v>
      </c>
      <c r="C10" s="236" t="s">
        <v>378</v>
      </c>
      <c r="D10" s="236">
        <v>664</v>
      </c>
      <c r="E10" s="236" t="s">
        <v>379</v>
      </c>
      <c r="F10" s="236" t="s">
        <v>380</v>
      </c>
      <c r="G10" s="236" t="s">
        <v>381</v>
      </c>
      <c r="H10" s="236" t="s">
        <v>88</v>
      </c>
      <c r="I10" s="236" t="s">
        <v>382</v>
      </c>
      <c r="J10" s="236" t="s">
        <v>383</v>
      </c>
      <c r="K10" s="236" t="s">
        <v>384</v>
      </c>
      <c r="L10" s="236" t="s">
        <v>385</v>
      </c>
      <c r="M10" s="236" t="s">
        <v>386</v>
      </c>
      <c r="N10" s="236" t="s">
        <v>329</v>
      </c>
    </row>
    <row r="11" spans="2:14" ht="322">
      <c r="B11" s="231" t="s">
        <v>319</v>
      </c>
      <c r="C11" s="232" t="s">
        <v>387</v>
      </c>
      <c r="D11" s="232">
        <v>678</v>
      </c>
      <c r="E11" s="232" t="s">
        <v>388</v>
      </c>
      <c r="F11" s="232" t="s">
        <v>389</v>
      </c>
      <c r="G11" s="232" t="s">
        <v>390</v>
      </c>
      <c r="H11" s="232" t="s">
        <v>88</v>
      </c>
      <c r="I11" s="232" t="s">
        <v>391</v>
      </c>
      <c r="J11" s="232" t="s">
        <v>392</v>
      </c>
      <c r="K11" s="232" t="s">
        <v>393</v>
      </c>
      <c r="L11" s="232" t="s">
        <v>394</v>
      </c>
      <c r="M11" s="232" t="s">
        <v>395</v>
      </c>
      <c r="N11" s="232" t="s">
        <v>329</v>
      </c>
    </row>
  </sheetData>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2"/>
  <sheetViews>
    <sheetView zoomScale="70" zoomScaleNormal="70" workbookViewId="0">
      <selection activeCell="C1" sqref="C1"/>
    </sheetView>
  </sheetViews>
  <sheetFormatPr defaultColWidth="9.1796875" defaultRowHeight="14.5"/>
  <cols>
    <col min="1" max="1" width="15.54296875" bestFit="1" customWidth="1"/>
    <col min="2" max="2" width="53.81640625" bestFit="1" customWidth="1"/>
    <col min="3" max="3" width="22" style="134" bestFit="1" customWidth="1"/>
    <col min="4" max="4" width="19.453125" style="134" bestFit="1" customWidth="1"/>
    <col min="5" max="5" width="10.81640625" bestFit="1" customWidth="1"/>
    <col min="6" max="11" width="7.81640625" customWidth="1"/>
    <col min="12" max="13" width="6.453125" customWidth="1"/>
  </cols>
  <sheetData>
    <row r="1" spans="1:13">
      <c r="B1" s="65" t="s">
        <v>122</v>
      </c>
      <c r="C1" s="267">
        <f>'Càlcul pressupost '!B2</f>
        <v>45761</v>
      </c>
      <c r="D1"/>
    </row>
    <row r="2" spans="1:13">
      <c r="A2" s="132" t="s">
        <v>142</v>
      </c>
      <c r="B2" s="132" t="s">
        <v>123</v>
      </c>
      <c r="C2" s="132" t="s">
        <v>125</v>
      </c>
      <c r="D2" s="132" t="s">
        <v>184</v>
      </c>
      <c r="F2" s="287" t="s">
        <v>301</v>
      </c>
      <c r="G2" s="287"/>
      <c r="H2" s="287" t="s">
        <v>302</v>
      </c>
      <c r="I2" s="287"/>
      <c r="J2" s="287" t="s">
        <v>407</v>
      </c>
      <c r="K2" s="287"/>
      <c r="L2" s="287" t="s">
        <v>408</v>
      </c>
      <c r="M2" s="287"/>
    </row>
    <row r="3" spans="1:13">
      <c r="A3" s="120" t="s">
        <v>143</v>
      </c>
      <c r="B3" s="224" t="s">
        <v>144</v>
      </c>
      <c r="C3" s="35">
        <f>$C$1</f>
        <v>45761</v>
      </c>
      <c r="D3" s="35">
        <v>45869</v>
      </c>
      <c r="E3" t="s">
        <v>188</v>
      </c>
      <c r="F3" s="215"/>
      <c r="G3" s="223"/>
      <c r="H3" s="223"/>
      <c r="I3" s="223"/>
      <c r="J3" s="223"/>
      <c r="K3" s="223"/>
      <c r="L3" s="223"/>
      <c r="M3" s="223"/>
    </row>
    <row r="4" spans="1:13">
      <c r="A4" s="120" t="s">
        <v>145</v>
      </c>
      <c r="B4" s="224" t="s">
        <v>146</v>
      </c>
      <c r="C4" s="35">
        <f>$C$1</f>
        <v>45761</v>
      </c>
      <c r="D4" s="35">
        <v>45869</v>
      </c>
      <c r="E4" t="s">
        <v>188</v>
      </c>
      <c r="F4" s="215"/>
      <c r="G4" s="223"/>
      <c r="H4" s="223"/>
      <c r="I4" s="223"/>
      <c r="J4" s="223"/>
      <c r="K4" s="223"/>
      <c r="L4" s="223"/>
      <c r="M4" s="223"/>
    </row>
    <row r="5" spans="1:13">
      <c r="A5" s="120" t="s">
        <v>147</v>
      </c>
      <c r="B5" s="224" t="s">
        <v>148</v>
      </c>
      <c r="C5" s="35">
        <f>$C$1</f>
        <v>45761</v>
      </c>
      <c r="D5" s="35">
        <v>45791</v>
      </c>
      <c r="E5" t="s">
        <v>185</v>
      </c>
      <c r="F5" s="30"/>
      <c r="G5" s="223"/>
      <c r="H5" s="223"/>
      <c r="I5" s="30"/>
      <c r="J5" s="30"/>
      <c r="K5" s="30"/>
      <c r="L5" s="30"/>
      <c r="M5" s="30"/>
    </row>
    <row r="6" spans="1:13">
      <c r="A6" s="120" t="s">
        <v>149</v>
      </c>
      <c r="B6" s="224" t="s">
        <v>216</v>
      </c>
      <c r="C6" s="35">
        <v>45792</v>
      </c>
      <c r="D6" s="35">
        <v>45852</v>
      </c>
      <c r="E6" t="s">
        <v>187</v>
      </c>
      <c r="F6" s="215"/>
      <c r="G6" s="215"/>
      <c r="H6" s="215"/>
      <c r="I6" s="223"/>
      <c r="J6" s="223"/>
      <c r="K6" s="223"/>
      <c r="L6" s="223"/>
      <c r="M6" s="215"/>
    </row>
    <row r="7" spans="1:13">
      <c r="A7" s="120" t="s">
        <v>150</v>
      </c>
      <c r="B7" s="224" t="s">
        <v>217</v>
      </c>
      <c r="C7" s="35">
        <f>$C$1</f>
        <v>45761</v>
      </c>
      <c r="D7" s="35">
        <v>45869</v>
      </c>
      <c r="E7" t="s">
        <v>188</v>
      </c>
      <c r="F7" s="215"/>
      <c r="G7" s="223"/>
      <c r="H7" s="223"/>
      <c r="I7" s="223"/>
      <c r="J7" s="223"/>
      <c r="K7" s="223"/>
      <c r="L7" s="223"/>
      <c r="M7" s="223"/>
    </row>
    <row r="8" spans="1:13">
      <c r="A8" s="120" t="s">
        <v>151</v>
      </c>
      <c r="B8" s="224" t="s">
        <v>152</v>
      </c>
      <c r="C8" s="35">
        <v>45792</v>
      </c>
      <c r="D8" s="35">
        <v>45822</v>
      </c>
      <c r="E8" t="s">
        <v>186</v>
      </c>
      <c r="F8" s="215"/>
      <c r="G8" s="215"/>
      <c r="H8" s="215"/>
      <c r="I8" s="223"/>
      <c r="J8" s="223"/>
      <c r="K8" s="215"/>
      <c r="L8" s="215"/>
      <c r="M8" s="215"/>
    </row>
    <row r="9" spans="1:13">
      <c r="A9" s="120" t="s">
        <v>153</v>
      </c>
      <c r="B9" s="224" t="s">
        <v>154</v>
      </c>
      <c r="C9" s="35">
        <f>$C$1</f>
        <v>45761</v>
      </c>
      <c r="D9" s="35">
        <v>45791</v>
      </c>
      <c r="E9" t="s">
        <v>185</v>
      </c>
      <c r="F9" s="30"/>
      <c r="G9" s="223"/>
      <c r="H9" s="223"/>
      <c r="I9" s="30"/>
      <c r="J9" s="30"/>
      <c r="K9" s="30"/>
      <c r="L9" s="30"/>
      <c r="M9" s="30"/>
    </row>
    <row r="10" spans="1:13">
      <c r="A10" s="120" t="s">
        <v>155</v>
      </c>
      <c r="B10" s="224" t="s">
        <v>156</v>
      </c>
      <c r="C10" s="35">
        <v>45792</v>
      </c>
      <c r="D10" s="35">
        <v>45822</v>
      </c>
      <c r="E10" t="s">
        <v>186</v>
      </c>
      <c r="F10" s="215"/>
      <c r="G10" s="215"/>
      <c r="H10" s="215"/>
      <c r="I10" s="223"/>
      <c r="J10" s="223"/>
      <c r="K10" s="30"/>
      <c r="L10" s="30"/>
      <c r="M10" s="30"/>
    </row>
    <row r="11" spans="1:13">
      <c r="A11" s="120" t="s">
        <v>157</v>
      </c>
      <c r="B11" s="224" t="s">
        <v>158</v>
      </c>
      <c r="C11" s="35">
        <v>45792</v>
      </c>
      <c r="D11" s="35">
        <v>45822</v>
      </c>
      <c r="E11" t="s">
        <v>186</v>
      </c>
      <c r="F11" s="215"/>
      <c r="G11" s="215"/>
      <c r="H11" s="215"/>
      <c r="I11" s="223"/>
      <c r="J11" s="223"/>
      <c r="K11" s="30"/>
      <c r="L11" s="30"/>
      <c r="M11" s="30"/>
    </row>
    <row r="12" spans="1:13">
      <c r="A12" s="120" t="s">
        <v>159</v>
      </c>
      <c r="B12" s="224" t="s">
        <v>160</v>
      </c>
      <c r="C12" s="35">
        <f>$C$1</f>
        <v>45761</v>
      </c>
      <c r="D12" s="35">
        <v>45791</v>
      </c>
      <c r="E12" t="s">
        <v>185</v>
      </c>
      <c r="F12" s="30"/>
      <c r="G12" s="223"/>
      <c r="H12" s="223"/>
      <c r="I12" s="30"/>
      <c r="J12" s="30"/>
      <c r="K12" s="30"/>
      <c r="L12" s="30"/>
      <c r="M12" s="30"/>
    </row>
    <row r="13" spans="1:13">
      <c r="A13" s="120" t="s">
        <v>161</v>
      </c>
      <c r="B13" s="224" t="s">
        <v>162</v>
      </c>
      <c r="C13" s="35">
        <v>45792</v>
      </c>
      <c r="D13" s="35">
        <v>45852</v>
      </c>
      <c r="E13" t="s">
        <v>187</v>
      </c>
      <c r="F13" s="215"/>
      <c r="G13" s="215"/>
      <c r="H13" s="215"/>
      <c r="I13" s="223"/>
      <c r="J13" s="223"/>
      <c r="K13" s="223"/>
      <c r="L13" s="223"/>
      <c r="M13" s="30"/>
    </row>
    <row r="14" spans="1:13">
      <c r="A14" s="120" t="s">
        <v>163</v>
      </c>
      <c r="B14" s="224" t="s">
        <v>164</v>
      </c>
      <c r="C14" s="35">
        <f>C1</f>
        <v>45761</v>
      </c>
      <c r="D14" s="35">
        <v>45822</v>
      </c>
      <c r="E14" t="s">
        <v>186</v>
      </c>
      <c r="F14" s="215"/>
      <c r="G14" s="223"/>
      <c r="H14" s="223"/>
      <c r="I14" s="223"/>
      <c r="J14" s="223"/>
      <c r="K14" s="30"/>
      <c r="L14" s="30"/>
      <c r="M14" s="30"/>
    </row>
    <row r="15" spans="1:13">
      <c r="A15" s="120" t="s">
        <v>165</v>
      </c>
      <c r="B15" s="224" t="s">
        <v>166</v>
      </c>
      <c r="C15" s="35">
        <f>$C$1</f>
        <v>45761</v>
      </c>
      <c r="D15" s="35">
        <v>45869</v>
      </c>
      <c r="E15" t="s">
        <v>188</v>
      </c>
      <c r="F15" s="215"/>
      <c r="G15" s="223"/>
      <c r="H15" s="223"/>
      <c r="I15" s="223"/>
      <c r="J15" s="223"/>
      <c r="K15" s="223"/>
      <c r="L15" s="223"/>
      <c r="M15" s="223"/>
    </row>
    <row r="16" spans="1:13">
      <c r="A16" s="120" t="s">
        <v>167</v>
      </c>
      <c r="B16" s="224" t="s">
        <v>168</v>
      </c>
      <c r="C16" s="35">
        <f>$C$1</f>
        <v>45761</v>
      </c>
      <c r="D16" s="35">
        <v>45791</v>
      </c>
      <c r="E16" t="s">
        <v>185</v>
      </c>
      <c r="F16" s="30"/>
      <c r="G16" s="223"/>
      <c r="H16" s="223"/>
      <c r="I16" s="30"/>
      <c r="J16" s="30"/>
      <c r="K16" s="30"/>
      <c r="L16" s="30"/>
      <c r="M16" s="30"/>
    </row>
    <row r="17" spans="1:13">
      <c r="A17" s="120" t="s">
        <v>169</v>
      </c>
      <c r="B17" s="224" t="s">
        <v>214</v>
      </c>
      <c r="C17" s="35">
        <f>C1</f>
        <v>45761</v>
      </c>
      <c r="D17" s="35">
        <v>45822</v>
      </c>
      <c r="E17" t="s">
        <v>186</v>
      </c>
      <c r="F17" s="215"/>
      <c r="G17" s="138"/>
      <c r="H17" s="138"/>
      <c r="I17" s="223" t="s">
        <v>305</v>
      </c>
      <c r="J17" s="223"/>
      <c r="K17" s="30"/>
      <c r="L17" s="30"/>
      <c r="M17" s="30"/>
    </row>
    <row r="18" spans="1:13">
      <c r="A18" s="120" t="s">
        <v>170</v>
      </c>
      <c r="B18" s="224" t="s">
        <v>171</v>
      </c>
      <c r="C18" s="35">
        <v>45792</v>
      </c>
      <c r="D18" s="35">
        <v>45852</v>
      </c>
      <c r="E18" t="s">
        <v>187</v>
      </c>
      <c r="F18" s="215"/>
      <c r="G18" s="215"/>
      <c r="H18" s="215"/>
      <c r="I18" s="223"/>
      <c r="J18" s="223"/>
      <c r="K18" s="223"/>
      <c r="L18" s="223"/>
      <c r="M18" s="30"/>
    </row>
    <row r="19" spans="1:13">
      <c r="A19" s="120" t="s">
        <v>172</v>
      </c>
      <c r="B19" s="224" t="s">
        <v>173</v>
      </c>
      <c r="C19" s="35">
        <v>45792</v>
      </c>
      <c r="D19" s="35">
        <v>45822</v>
      </c>
      <c r="E19" t="s">
        <v>186</v>
      </c>
      <c r="F19" s="215"/>
      <c r="G19" s="215"/>
      <c r="H19" s="215"/>
      <c r="I19" s="223"/>
      <c r="J19" s="223"/>
      <c r="K19" s="30"/>
      <c r="L19" s="30"/>
      <c r="M19" s="30"/>
    </row>
    <row r="20" spans="1:13">
      <c r="A20" s="120" t="s">
        <v>174</v>
      </c>
      <c r="B20" s="224" t="s">
        <v>175</v>
      </c>
      <c r="C20" s="35">
        <f>$C$1</f>
        <v>45761</v>
      </c>
      <c r="D20" s="35">
        <v>45791</v>
      </c>
      <c r="E20" t="s">
        <v>185</v>
      </c>
      <c r="F20" s="30"/>
      <c r="G20" s="223"/>
      <c r="H20" s="223"/>
      <c r="I20" s="30"/>
      <c r="J20" s="30"/>
      <c r="K20" s="30"/>
      <c r="L20" s="30"/>
      <c r="M20" s="30"/>
    </row>
    <row r="21" spans="1:13">
      <c r="A21" s="120" t="s">
        <v>176</v>
      </c>
      <c r="B21" s="224" t="s">
        <v>177</v>
      </c>
      <c r="C21" s="35">
        <f>$C$1</f>
        <v>45761</v>
      </c>
      <c r="D21" s="35">
        <v>45791</v>
      </c>
      <c r="E21" t="s">
        <v>185</v>
      </c>
      <c r="F21" s="30"/>
      <c r="G21" s="223"/>
      <c r="H21" s="223"/>
      <c r="I21" s="30"/>
      <c r="J21" s="30"/>
      <c r="K21" s="30"/>
      <c r="L21" s="30"/>
      <c r="M21" s="30"/>
    </row>
    <row r="22" spans="1:13">
      <c r="A22" s="120" t="s">
        <v>178</v>
      </c>
      <c r="B22" s="224" t="s">
        <v>179</v>
      </c>
      <c r="C22" s="35">
        <v>45792</v>
      </c>
      <c r="D22" s="35">
        <v>45852</v>
      </c>
      <c r="E22" t="s">
        <v>187</v>
      </c>
      <c r="F22" s="215"/>
      <c r="G22" s="215"/>
      <c r="H22" s="215"/>
      <c r="I22" s="223"/>
      <c r="J22" s="223"/>
      <c r="K22" s="223"/>
      <c r="L22" s="223"/>
      <c r="M22" s="30"/>
    </row>
    <row r="23" spans="1:13">
      <c r="A23" s="120" t="s">
        <v>180</v>
      </c>
      <c r="B23" s="224" t="s">
        <v>280</v>
      </c>
      <c r="C23" s="35">
        <f>$C$1</f>
        <v>45761</v>
      </c>
      <c r="D23" s="35">
        <v>45869</v>
      </c>
      <c r="E23" t="s">
        <v>188</v>
      </c>
      <c r="F23" s="215"/>
      <c r="G23" s="223"/>
      <c r="H23" s="223"/>
      <c r="I23" s="223"/>
      <c r="J23" s="223"/>
      <c r="K23" s="223"/>
      <c r="L23" s="223"/>
      <c r="M23" s="223"/>
    </row>
    <row r="24" spans="1:13">
      <c r="A24" s="120" t="s">
        <v>181</v>
      </c>
      <c r="B24" s="224" t="s">
        <v>182</v>
      </c>
      <c r="C24" s="135">
        <f>C1</f>
        <v>45761</v>
      </c>
      <c r="D24" s="135">
        <v>45791</v>
      </c>
      <c r="E24" t="s">
        <v>185</v>
      </c>
      <c r="F24" s="30"/>
      <c r="G24" s="138"/>
      <c r="H24" s="138"/>
      <c r="I24" s="254" t="s">
        <v>305</v>
      </c>
      <c r="J24" s="30"/>
      <c r="K24" s="30"/>
      <c r="L24" s="30"/>
      <c r="M24" s="30"/>
    </row>
    <row r="25" spans="1:13">
      <c r="A25" s="30" t="s">
        <v>294</v>
      </c>
      <c r="B25" s="214" t="s">
        <v>295</v>
      </c>
      <c r="C25" s="135">
        <f>C1</f>
        <v>45761</v>
      </c>
      <c r="D25" s="135">
        <v>45791</v>
      </c>
      <c r="E25" t="s">
        <v>185</v>
      </c>
      <c r="F25" s="30"/>
      <c r="G25" s="138"/>
      <c r="H25" s="138"/>
      <c r="I25" s="254" t="s">
        <v>305</v>
      </c>
      <c r="J25" s="30"/>
      <c r="K25" s="30"/>
      <c r="L25" s="30"/>
      <c r="M25" s="30"/>
    </row>
    <row r="26" spans="1:13">
      <c r="A26" s="120" t="s">
        <v>210</v>
      </c>
      <c r="B26" s="224" t="s">
        <v>183</v>
      </c>
      <c r="C26" s="35">
        <v>45792</v>
      </c>
      <c r="D26" s="35">
        <v>45852</v>
      </c>
      <c r="E26" t="s">
        <v>187</v>
      </c>
      <c r="F26" s="215"/>
      <c r="G26" s="215"/>
      <c r="H26" s="215"/>
      <c r="I26" s="223"/>
      <c r="J26" s="223"/>
      <c r="K26" s="223"/>
      <c r="L26" s="223"/>
      <c r="M26" s="30"/>
    </row>
    <row r="27" spans="1:13">
      <c r="A27" s="30" t="s">
        <v>213</v>
      </c>
      <c r="B27" s="224" t="s">
        <v>215</v>
      </c>
      <c r="C27" s="35">
        <v>45792</v>
      </c>
      <c r="D27" s="35">
        <v>45822</v>
      </c>
      <c r="E27" t="s">
        <v>186</v>
      </c>
      <c r="F27" s="215"/>
      <c r="G27" s="215"/>
      <c r="H27" s="215"/>
      <c r="I27" s="223"/>
      <c r="J27" s="223"/>
      <c r="K27" s="30"/>
      <c r="L27" s="30"/>
      <c r="M27" s="30"/>
    </row>
    <row r="28" spans="1:13">
      <c r="A28" s="30" t="s">
        <v>211</v>
      </c>
      <c r="B28" s="214" t="s">
        <v>212</v>
      </c>
      <c r="C28" s="35">
        <v>45792</v>
      </c>
      <c r="D28" s="35">
        <v>45822</v>
      </c>
      <c r="E28" t="s">
        <v>186</v>
      </c>
      <c r="F28" s="215"/>
      <c r="G28" s="215"/>
      <c r="H28" s="215"/>
      <c r="I28" s="223"/>
      <c r="J28" s="223"/>
      <c r="K28" s="30"/>
      <c r="L28" s="30"/>
      <c r="M28" s="30"/>
    </row>
    <row r="29" spans="1:13">
      <c r="A29" s="120" t="s">
        <v>208</v>
      </c>
      <c r="B29" s="224" t="s">
        <v>209</v>
      </c>
      <c r="C29" s="35">
        <f>$C$1</f>
        <v>45761</v>
      </c>
      <c r="D29" s="35">
        <v>45791</v>
      </c>
      <c r="E29" t="s">
        <v>303</v>
      </c>
      <c r="F29" s="30"/>
      <c r="G29" s="223"/>
      <c r="H29" s="223"/>
      <c r="I29" s="30"/>
      <c r="J29" s="30"/>
      <c r="K29" s="30"/>
      <c r="L29" s="30"/>
      <c r="M29" s="30"/>
    </row>
    <row r="30" spans="1:13">
      <c r="A30" s="120" t="s">
        <v>221</v>
      </c>
      <c r="B30" s="224" t="s">
        <v>218</v>
      </c>
      <c r="C30" s="35">
        <f>$C$1</f>
        <v>45761</v>
      </c>
      <c r="D30" s="35">
        <v>45822</v>
      </c>
      <c r="E30" t="s">
        <v>303</v>
      </c>
      <c r="F30" s="215"/>
      <c r="G30" s="223"/>
      <c r="H30" s="223"/>
      <c r="I30" s="223"/>
      <c r="J30" s="223"/>
      <c r="K30" s="215"/>
      <c r="L30" s="215"/>
      <c r="M30" s="215"/>
    </row>
    <row r="31" spans="1:13">
      <c r="A31" s="120" t="s">
        <v>289</v>
      </c>
      <c r="B31" s="224" t="s">
        <v>290</v>
      </c>
      <c r="C31" s="35">
        <f>$C$1</f>
        <v>45761</v>
      </c>
      <c r="D31" s="35">
        <v>45869</v>
      </c>
      <c r="E31" t="s">
        <v>303</v>
      </c>
      <c r="F31" s="215"/>
      <c r="G31" s="223"/>
      <c r="H31" s="223"/>
      <c r="I31" s="223"/>
      <c r="J31" s="223"/>
      <c r="K31" s="223"/>
      <c r="L31" s="223"/>
      <c r="M31" s="223"/>
    </row>
    <row r="32" spans="1:13">
      <c r="A32" s="120" t="s">
        <v>292</v>
      </c>
      <c r="B32" s="224" t="s">
        <v>293</v>
      </c>
      <c r="C32" s="35">
        <f>$C$1</f>
        <v>45761</v>
      </c>
      <c r="D32" s="35">
        <v>45791</v>
      </c>
      <c r="E32" t="s">
        <v>303</v>
      </c>
      <c r="F32" s="30"/>
      <c r="G32" s="223"/>
      <c r="H32" s="223"/>
      <c r="I32" s="30"/>
      <c r="J32" s="30"/>
      <c r="K32" s="30"/>
      <c r="L32" s="30"/>
      <c r="M32" s="30"/>
    </row>
  </sheetData>
  <autoFilter ref="B2:M32">
    <filterColumn colId="4" showButton="0"/>
    <filterColumn colId="6" showButton="0"/>
    <filterColumn colId="8" showButton="0"/>
    <filterColumn colId="10" showButton="0"/>
  </autoFilter>
  <mergeCells count="4">
    <mergeCell ref="L2:M2"/>
    <mergeCell ref="F2:G2"/>
    <mergeCell ref="H2:I2"/>
    <mergeCell ref="J2:K2"/>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2"/>
  <sheetViews>
    <sheetView showGridLines="0" workbookViewId="0">
      <selection activeCell="C17" sqref="C17"/>
    </sheetView>
  </sheetViews>
  <sheetFormatPr defaultColWidth="11.453125" defaultRowHeight="14.5"/>
  <cols>
    <col min="1" max="1" width="13.7265625" customWidth="1"/>
    <col min="3" max="3" width="37.54296875" bestFit="1" customWidth="1"/>
    <col min="4" max="4" width="9.26953125" customWidth="1"/>
    <col min="5" max="5" width="16.453125" customWidth="1"/>
  </cols>
  <sheetData>
    <row r="1" spans="1:5" ht="15.5">
      <c r="A1" s="5" t="s">
        <v>11</v>
      </c>
      <c r="B1" s="1" t="s">
        <v>0</v>
      </c>
      <c r="C1" s="1" t="s">
        <v>1</v>
      </c>
      <c r="D1" s="6" t="s">
        <v>12</v>
      </c>
      <c r="E1" t="s">
        <v>102</v>
      </c>
    </row>
    <row r="2" spans="1:5">
      <c r="A2" s="21" t="s">
        <v>84</v>
      </c>
      <c r="B2" s="21" t="s">
        <v>24</v>
      </c>
      <c r="C2" s="21" t="s">
        <v>52</v>
      </c>
      <c r="D2" s="2">
        <v>2</v>
      </c>
      <c r="E2" s="3"/>
    </row>
    <row r="3" spans="1:5">
      <c r="A3" s="21" t="s">
        <v>84</v>
      </c>
      <c r="B3" s="21" t="s">
        <v>24</v>
      </c>
      <c r="C3" s="21" t="s">
        <v>53</v>
      </c>
      <c r="D3" s="2">
        <v>2</v>
      </c>
    </row>
    <row r="4" spans="1:5">
      <c r="A4" s="21" t="s">
        <v>84</v>
      </c>
      <c r="B4" s="21" t="s">
        <v>24</v>
      </c>
      <c r="C4" s="21" t="s">
        <v>54</v>
      </c>
      <c r="D4" s="2">
        <v>2</v>
      </c>
    </row>
    <row r="5" spans="1:5">
      <c r="A5" s="21" t="s">
        <v>84</v>
      </c>
      <c r="B5" s="22" t="s">
        <v>30</v>
      </c>
      <c r="C5" s="22" t="s">
        <v>55</v>
      </c>
      <c r="D5" s="2">
        <v>2</v>
      </c>
    </row>
    <row r="6" spans="1:5">
      <c r="A6" s="21" t="s">
        <v>84</v>
      </c>
      <c r="B6" s="22" t="s">
        <v>30</v>
      </c>
      <c r="C6" s="22" t="s">
        <v>56</v>
      </c>
      <c r="D6" s="2">
        <v>2</v>
      </c>
    </row>
    <row r="7" spans="1:5">
      <c r="A7" s="21" t="s">
        <v>84</v>
      </c>
      <c r="B7" s="22" t="s">
        <v>31</v>
      </c>
      <c r="C7" s="22" t="s">
        <v>57</v>
      </c>
      <c r="D7" s="2">
        <v>2</v>
      </c>
    </row>
    <row r="8" spans="1:5">
      <c r="A8" s="21" t="s">
        <v>84</v>
      </c>
      <c r="B8" s="22" t="s">
        <v>32</v>
      </c>
      <c r="C8" s="21" t="s">
        <v>58</v>
      </c>
      <c r="D8" s="2">
        <v>2</v>
      </c>
    </row>
    <row r="9" spans="1:5">
      <c r="A9" s="21" t="s">
        <v>84</v>
      </c>
      <c r="B9" s="22" t="s">
        <v>33</v>
      </c>
      <c r="C9" s="21" t="s">
        <v>59</v>
      </c>
      <c r="D9" s="2">
        <v>2</v>
      </c>
    </row>
    <row r="10" spans="1:5">
      <c r="A10" s="21" t="s">
        <v>84</v>
      </c>
      <c r="B10" s="21" t="s">
        <v>34</v>
      </c>
      <c r="C10" s="21" t="s">
        <v>60</v>
      </c>
      <c r="D10" s="2">
        <v>2</v>
      </c>
    </row>
    <row r="11" spans="1:5">
      <c r="A11" s="21" t="s">
        <v>84</v>
      </c>
      <c r="B11" s="22" t="s">
        <v>32</v>
      </c>
      <c r="C11" s="21" t="s">
        <v>61</v>
      </c>
      <c r="D11" s="2">
        <v>2</v>
      </c>
    </row>
    <row r="12" spans="1:5">
      <c r="A12" s="9"/>
      <c r="B12" s="23"/>
      <c r="C12" s="23"/>
      <c r="D12" s="2"/>
    </row>
    <row r="13" spans="1:5">
      <c r="A13" s="14" t="s">
        <v>84</v>
      </c>
      <c r="B13" s="24" t="s">
        <v>29</v>
      </c>
      <c r="C13" s="14" t="s">
        <v>62</v>
      </c>
      <c r="D13" s="2">
        <v>1</v>
      </c>
    </row>
    <row r="14" spans="1:5">
      <c r="A14" s="14" t="s">
        <v>84</v>
      </c>
      <c r="B14" s="24" t="s">
        <v>29</v>
      </c>
      <c r="C14" s="14" t="s">
        <v>63</v>
      </c>
      <c r="D14" s="2">
        <v>1</v>
      </c>
    </row>
    <row r="15" spans="1:5">
      <c r="A15" s="14" t="s">
        <v>84</v>
      </c>
      <c r="B15" s="24" t="s">
        <v>29</v>
      </c>
      <c r="C15" s="14" t="s">
        <v>64</v>
      </c>
      <c r="D15" s="2">
        <v>1</v>
      </c>
    </row>
    <row r="16" spans="1:5">
      <c r="A16" s="14" t="s">
        <v>84</v>
      </c>
      <c r="B16" s="24" t="s">
        <v>35</v>
      </c>
      <c r="C16" s="24" t="s">
        <v>65</v>
      </c>
      <c r="D16" s="2">
        <v>1</v>
      </c>
    </row>
    <row r="17" spans="1:4">
      <c r="A17" s="14" t="s">
        <v>85</v>
      </c>
      <c r="B17" s="24" t="s">
        <v>29</v>
      </c>
      <c r="C17" s="14" t="s">
        <v>67</v>
      </c>
      <c r="D17" s="2">
        <v>1</v>
      </c>
    </row>
    <row r="18" spans="1:4">
      <c r="A18" s="14" t="s">
        <v>85</v>
      </c>
      <c r="B18" s="24" t="s">
        <v>29</v>
      </c>
      <c r="C18" s="14" t="s">
        <v>68</v>
      </c>
      <c r="D18" s="2">
        <v>1</v>
      </c>
    </row>
    <row r="19" spans="1:4">
      <c r="A19" s="14" t="s">
        <v>86</v>
      </c>
      <c r="B19" s="24" t="s">
        <v>29</v>
      </c>
      <c r="C19" s="14" t="s">
        <v>69</v>
      </c>
      <c r="D19" s="2">
        <v>1</v>
      </c>
    </row>
    <row r="20" spans="1:4">
      <c r="A20" s="14" t="s">
        <v>96</v>
      </c>
      <c r="B20" s="24" t="s">
        <v>29</v>
      </c>
      <c r="C20" s="14" t="s">
        <v>95</v>
      </c>
      <c r="D20" s="2">
        <v>1</v>
      </c>
    </row>
    <row r="21" spans="1:4">
      <c r="A21" s="14" t="s">
        <v>97</v>
      </c>
      <c r="B21" s="24" t="s">
        <v>38</v>
      </c>
      <c r="C21" s="14" t="s">
        <v>94</v>
      </c>
      <c r="D21" s="2">
        <v>1</v>
      </c>
    </row>
    <row r="22" spans="1:4">
      <c r="A22" s="9"/>
      <c r="B22" s="23"/>
      <c r="C22" s="23"/>
      <c r="D22" s="2"/>
    </row>
    <row r="23" spans="1:4">
      <c r="A23" s="15" t="s">
        <v>85</v>
      </c>
      <c r="B23" s="18" t="s">
        <v>29</v>
      </c>
      <c r="C23" s="15" t="s">
        <v>66</v>
      </c>
      <c r="D23" s="2">
        <v>1</v>
      </c>
    </row>
    <row r="24" spans="1:4">
      <c r="A24" s="15" t="s">
        <v>85</v>
      </c>
      <c r="B24" s="18" t="s">
        <v>36</v>
      </c>
      <c r="C24" s="16" t="s">
        <v>70</v>
      </c>
      <c r="D24" s="2">
        <v>1</v>
      </c>
    </row>
    <row r="25" spans="1:4">
      <c r="A25" s="16" t="s">
        <v>21</v>
      </c>
      <c r="B25" s="18" t="s">
        <v>36</v>
      </c>
      <c r="C25" s="16" t="s">
        <v>71</v>
      </c>
      <c r="D25" s="2">
        <v>1</v>
      </c>
    </row>
    <row r="26" spans="1:4">
      <c r="A26" s="15" t="s">
        <v>85</v>
      </c>
      <c r="B26" s="17" t="s">
        <v>26</v>
      </c>
      <c r="C26" s="17" t="s">
        <v>72</v>
      </c>
      <c r="D26" s="2">
        <v>1</v>
      </c>
    </row>
    <row r="27" spans="1:4">
      <c r="A27" s="15" t="s">
        <v>85</v>
      </c>
      <c r="B27" s="18" t="s">
        <v>37</v>
      </c>
      <c r="C27" s="18" t="s">
        <v>73</v>
      </c>
      <c r="D27" s="2">
        <v>1</v>
      </c>
    </row>
    <row r="28" spans="1:4">
      <c r="A28" s="15" t="s">
        <v>85</v>
      </c>
      <c r="B28" s="18" t="s">
        <v>37</v>
      </c>
      <c r="C28" s="18" t="s">
        <v>74</v>
      </c>
      <c r="D28" s="2">
        <v>1</v>
      </c>
    </row>
    <row r="29" spans="1:4">
      <c r="A29" s="15" t="s">
        <v>85</v>
      </c>
      <c r="B29" s="18" t="s">
        <v>37</v>
      </c>
      <c r="C29" s="18" t="s">
        <v>75</v>
      </c>
      <c r="D29" s="2">
        <v>1</v>
      </c>
    </row>
    <row r="30" spans="1:4">
      <c r="A30" s="15" t="s">
        <v>85</v>
      </c>
      <c r="B30" s="18" t="s">
        <v>37</v>
      </c>
      <c r="C30" s="18" t="s">
        <v>76</v>
      </c>
      <c r="D30" s="2">
        <v>1</v>
      </c>
    </row>
    <row r="31" spans="1:4">
      <c r="A31" s="15" t="s">
        <v>85</v>
      </c>
      <c r="B31" s="18" t="s">
        <v>38</v>
      </c>
      <c r="C31" s="18" t="s">
        <v>78</v>
      </c>
      <c r="D31" s="2">
        <v>1</v>
      </c>
    </row>
    <row r="32" spans="1:4">
      <c r="A32" s="18" t="s">
        <v>21</v>
      </c>
      <c r="B32" s="18" t="s">
        <v>38</v>
      </c>
      <c r="C32" s="18" t="s">
        <v>77</v>
      </c>
      <c r="D32" s="2">
        <v>1</v>
      </c>
    </row>
    <row r="33" spans="1:5">
      <c r="A33" s="18" t="s">
        <v>21</v>
      </c>
      <c r="B33" s="18" t="s">
        <v>39</v>
      </c>
      <c r="C33" s="18" t="s">
        <v>80</v>
      </c>
      <c r="D33" s="2">
        <v>1</v>
      </c>
    </row>
    <row r="34" spans="1:5">
      <c r="A34" s="18" t="s">
        <v>21</v>
      </c>
      <c r="B34" s="18" t="s">
        <v>39</v>
      </c>
      <c r="C34" s="18" t="s">
        <v>79</v>
      </c>
      <c r="D34" s="2">
        <v>1</v>
      </c>
    </row>
    <row r="35" spans="1:5">
      <c r="D35" s="2"/>
    </row>
    <row r="36" spans="1:5">
      <c r="A36" t="s">
        <v>93</v>
      </c>
      <c r="D36" s="2"/>
    </row>
    <row r="37" spans="1:5">
      <c r="A37" s="8" t="s">
        <v>16</v>
      </c>
      <c r="B37" s="19" t="s">
        <v>23</v>
      </c>
      <c r="C37" s="8" t="s">
        <v>40</v>
      </c>
      <c r="D37" s="2" t="s">
        <v>88</v>
      </c>
      <c r="E37" s="3" t="s">
        <v>90</v>
      </c>
    </row>
    <row r="38" spans="1:5">
      <c r="A38" s="8" t="s">
        <v>16</v>
      </c>
      <c r="B38" s="19" t="s">
        <v>23</v>
      </c>
      <c r="C38" s="8" t="s">
        <v>41</v>
      </c>
      <c r="D38" s="2" t="s">
        <v>88</v>
      </c>
      <c r="E38" s="3"/>
    </row>
    <row r="39" spans="1:5">
      <c r="A39" s="8" t="s">
        <v>16</v>
      </c>
      <c r="B39" s="19" t="s">
        <v>23</v>
      </c>
      <c r="C39" s="8" t="s">
        <v>42</v>
      </c>
      <c r="D39" s="2" t="s">
        <v>88</v>
      </c>
      <c r="E39" s="3"/>
    </row>
    <row r="40" spans="1:5">
      <c r="A40" s="8" t="s">
        <v>16</v>
      </c>
      <c r="B40" s="20" t="s">
        <v>24</v>
      </c>
      <c r="C40" s="20" t="s">
        <v>43</v>
      </c>
      <c r="D40" s="2" t="s">
        <v>88</v>
      </c>
      <c r="E40" s="3" t="s">
        <v>89</v>
      </c>
    </row>
    <row r="41" spans="1:5">
      <c r="A41" s="8" t="s">
        <v>16</v>
      </c>
      <c r="B41" s="8" t="s">
        <v>81</v>
      </c>
      <c r="C41" s="20"/>
      <c r="D41" s="2" t="s">
        <v>88</v>
      </c>
      <c r="E41" s="3"/>
    </row>
    <row r="42" spans="1:5">
      <c r="A42" s="8" t="s">
        <v>16</v>
      </c>
      <c r="B42" s="8" t="s">
        <v>82</v>
      </c>
      <c r="C42" s="20"/>
      <c r="D42" s="2" t="s">
        <v>88</v>
      </c>
      <c r="E42" s="3"/>
    </row>
    <row r="43" spans="1:5">
      <c r="A43" s="8" t="s">
        <v>16</v>
      </c>
      <c r="B43" s="8" t="s">
        <v>83</v>
      </c>
      <c r="C43" s="20"/>
      <c r="D43" s="2" t="s">
        <v>88</v>
      </c>
      <c r="E43" s="3"/>
    </row>
    <row r="44" spans="1:5">
      <c r="A44" s="9"/>
      <c r="D44" s="2"/>
      <c r="E44" s="3"/>
    </row>
    <row r="45" spans="1:5">
      <c r="A45" s="10" t="s">
        <v>17</v>
      </c>
      <c r="B45" s="10" t="s">
        <v>23</v>
      </c>
      <c r="C45" s="11" t="s">
        <v>44</v>
      </c>
      <c r="D45" s="2" t="s">
        <v>88</v>
      </c>
      <c r="E45" s="3" t="s">
        <v>90</v>
      </c>
    </row>
    <row r="46" spans="1:5">
      <c r="A46" s="11" t="s">
        <v>87</v>
      </c>
      <c r="B46" s="10" t="s">
        <v>25</v>
      </c>
      <c r="C46" s="10" t="s">
        <v>45</v>
      </c>
      <c r="D46" s="2" t="s">
        <v>88</v>
      </c>
      <c r="E46" s="3"/>
    </row>
    <row r="47" spans="1:5">
      <c r="A47" s="10" t="s">
        <v>18</v>
      </c>
      <c r="B47" s="10" t="s">
        <v>26</v>
      </c>
      <c r="C47" s="10" t="s">
        <v>46</v>
      </c>
      <c r="D47" s="2" t="s">
        <v>88</v>
      </c>
      <c r="E47" s="3" t="s">
        <v>90</v>
      </c>
    </row>
    <row r="48" spans="1:5">
      <c r="A48" s="12" t="s">
        <v>18</v>
      </c>
      <c r="B48" s="12" t="s">
        <v>26</v>
      </c>
      <c r="C48" s="12" t="s">
        <v>47</v>
      </c>
      <c r="D48" s="2" t="s">
        <v>88</v>
      </c>
      <c r="E48" s="3" t="s">
        <v>90</v>
      </c>
    </row>
    <row r="49" spans="1:5">
      <c r="A49" s="11" t="s">
        <v>19</v>
      </c>
      <c r="B49" s="12" t="s">
        <v>27</v>
      </c>
      <c r="C49" s="12" t="s">
        <v>48</v>
      </c>
      <c r="D49" s="2" t="s">
        <v>88</v>
      </c>
      <c r="E49" s="3"/>
    </row>
    <row r="50" spans="1:5">
      <c r="A50" s="11" t="s">
        <v>19</v>
      </c>
      <c r="B50" s="10" t="s">
        <v>28</v>
      </c>
      <c r="C50" s="10" t="s">
        <v>49</v>
      </c>
      <c r="D50" s="2" t="s">
        <v>88</v>
      </c>
      <c r="E50" s="3"/>
    </row>
    <row r="51" spans="1:5">
      <c r="A51" s="13" t="s">
        <v>22</v>
      </c>
      <c r="B51" s="13"/>
      <c r="C51" s="13" t="s">
        <v>50</v>
      </c>
      <c r="D51" s="2" t="s">
        <v>88</v>
      </c>
      <c r="E51" s="3" t="s">
        <v>90</v>
      </c>
    </row>
    <row r="52" spans="1:5">
      <c r="A52" s="11" t="s">
        <v>20</v>
      </c>
      <c r="B52" s="10" t="s">
        <v>29</v>
      </c>
      <c r="C52" s="11" t="s">
        <v>51</v>
      </c>
      <c r="D52" s="2" t="s">
        <v>88</v>
      </c>
      <c r="E52" s="3"/>
    </row>
  </sheetData>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20"/>
  <sheetViews>
    <sheetView showGridLines="0" topLeftCell="A82" workbookViewId="0">
      <selection activeCell="A32" sqref="A32:XFD37"/>
    </sheetView>
  </sheetViews>
  <sheetFormatPr defaultColWidth="11.453125" defaultRowHeight="14.5"/>
  <cols>
    <col min="1" max="1" width="38.26953125" bestFit="1" customWidth="1"/>
    <col min="3" max="3" width="5.1796875" customWidth="1"/>
    <col min="4" max="6" width="20" customWidth="1"/>
    <col min="7" max="7" width="20.7265625" customWidth="1"/>
    <col min="8" max="9" width="17.7265625" customWidth="1"/>
    <col min="10" max="10" width="20.1796875" customWidth="1"/>
    <col min="11" max="12" width="17.7265625" customWidth="1"/>
    <col min="13" max="13" width="20.1796875" customWidth="1"/>
    <col min="14" max="14" width="19" customWidth="1"/>
    <col min="15" max="15" width="18.26953125" customWidth="1"/>
  </cols>
  <sheetData>
    <row r="1" spans="1:14">
      <c r="A1" s="15" t="s">
        <v>114</v>
      </c>
    </row>
    <row r="2" spans="1:14" ht="30" customHeight="1">
      <c r="A2" s="5" t="s">
        <v>11</v>
      </c>
      <c r="B2" s="5" t="s">
        <v>0</v>
      </c>
      <c r="C2" s="5" t="s">
        <v>1</v>
      </c>
      <c r="D2" s="4" t="s">
        <v>3</v>
      </c>
      <c r="E2" s="4" t="s">
        <v>108</v>
      </c>
      <c r="F2" s="4" t="s">
        <v>2</v>
      </c>
      <c r="G2" s="4" t="s">
        <v>14</v>
      </c>
      <c r="H2" s="4" t="s">
        <v>108</v>
      </c>
      <c r="I2" s="4" t="s">
        <v>15</v>
      </c>
      <c r="J2" s="4" t="s">
        <v>8</v>
      </c>
      <c r="K2" s="4" t="s">
        <v>108</v>
      </c>
      <c r="L2" s="4" t="s">
        <v>9</v>
      </c>
      <c r="M2" s="4" t="s">
        <v>10</v>
      </c>
    </row>
    <row r="3" spans="1:14">
      <c r="A3" s="21" t="s">
        <v>84</v>
      </c>
      <c r="B3" s="21" t="s">
        <v>24</v>
      </c>
      <c r="C3" s="21" t="s">
        <v>52</v>
      </c>
      <c r="D3" s="26">
        <v>75.290000000000006</v>
      </c>
      <c r="E3" s="26">
        <v>53.57</v>
      </c>
      <c r="F3" s="7">
        <f>D3*E3</f>
        <v>4033.2853000000005</v>
      </c>
      <c r="G3" s="26">
        <v>570</v>
      </c>
      <c r="H3" s="26">
        <v>53.57</v>
      </c>
      <c r="I3" s="7">
        <f>G3*H3</f>
        <v>30534.9</v>
      </c>
      <c r="J3" s="26">
        <v>96.793500000000009</v>
      </c>
      <c r="K3" s="26">
        <v>57.5</v>
      </c>
      <c r="L3" s="7">
        <f>J3*K3</f>
        <v>5565.6262500000003</v>
      </c>
      <c r="M3" s="2"/>
    </row>
    <row r="4" spans="1:14">
      <c r="A4" s="21" t="s">
        <v>84</v>
      </c>
      <c r="B4" s="21" t="s">
        <v>24</v>
      </c>
      <c r="C4" s="21" t="s">
        <v>53</v>
      </c>
      <c r="D4" s="26">
        <v>288.60028860028859</v>
      </c>
      <c r="E4" s="26">
        <v>53.57</v>
      </c>
      <c r="F4" s="7">
        <f t="shared" ref="F4:F13" si="0">D4*E4</f>
        <v>15460.317460317459</v>
      </c>
      <c r="G4" s="26">
        <v>577.20057720057719</v>
      </c>
      <c r="H4" s="26">
        <v>53.57</v>
      </c>
      <c r="I4" s="7">
        <f t="shared" ref="I4:I13" si="1">G4*H4</f>
        <v>30920.634920634919</v>
      </c>
      <c r="J4" s="26">
        <v>129.87012987012989</v>
      </c>
      <c r="K4" s="26">
        <v>57.5</v>
      </c>
      <c r="L4" s="7">
        <f t="shared" ref="L4:L13" si="2">J4*K4</f>
        <v>7467.5324675324682</v>
      </c>
      <c r="M4" s="2"/>
    </row>
    <row r="5" spans="1:14">
      <c r="A5" s="21" t="s">
        <v>84</v>
      </c>
      <c r="B5" s="21" t="s">
        <v>24</v>
      </c>
      <c r="C5" s="21" t="s">
        <v>54</v>
      </c>
      <c r="D5" s="26">
        <v>29.106349206349201</v>
      </c>
      <c r="E5" s="26">
        <v>53.57</v>
      </c>
      <c r="F5" s="7">
        <f t="shared" si="0"/>
        <v>1559.2271269841267</v>
      </c>
      <c r="G5" s="26">
        <v>89.798845598845602</v>
      </c>
      <c r="H5" s="26">
        <v>53.57</v>
      </c>
      <c r="I5" s="7">
        <f t="shared" si="1"/>
        <v>4810.5241587301589</v>
      </c>
      <c r="J5" s="26">
        <v>17.835779220779223</v>
      </c>
      <c r="K5" s="26">
        <v>57.5</v>
      </c>
      <c r="L5" s="7">
        <f t="shared" si="2"/>
        <v>1025.5573051948054</v>
      </c>
      <c r="M5" s="2"/>
    </row>
    <row r="6" spans="1:14">
      <c r="A6" s="21" t="s">
        <v>84</v>
      </c>
      <c r="B6" s="22" t="s">
        <v>30</v>
      </c>
      <c r="C6" s="22" t="s">
        <v>55</v>
      </c>
      <c r="D6" s="26">
        <v>200</v>
      </c>
      <c r="E6" s="26">
        <v>53.57</v>
      </c>
      <c r="F6" s="7">
        <f>D6*E6</f>
        <v>10714</v>
      </c>
      <c r="G6" s="26">
        <v>220.00000000000003</v>
      </c>
      <c r="H6" s="26">
        <v>53.57</v>
      </c>
      <c r="I6" s="7">
        <f t="shared" si="1"/>
        <v>11785.400000000001</v>
      </c>
      <c r="J6" s="26">
        <v>63</v>
      </c>
      <c r="K6" s="26">
        <v>57.5</v>
      </c>
      <c r="L6" s="7">
        <f t="shared" si="2"/>
        <v>3622.5</v>
      </c>
      <c r="M6" s="2"/>
    </row>
    <row r="7" spans="1:14">
      <c r="A7" s="21" t="s">
        <v>84</v>
      </c>
      <c r="B7" s="22" t="s">
        <v>30</v>
      </c>
      <c r="C7" s="22" t="s">
        <v>56</v>
      </c>
      <c r="D7" s="26">
        <v>36.492063492063494</v>
      </c>
      <c r="E7" s="26">
        <v>53.57</v>
      </c>
      <c r="F7" s="7">
        <f t="shared" si="0"/>
        <v>1954.8798412698413</v>
      </c>
      <c r="G7" s="26">
        <v>72.984126984126988</v>
      </c>
      <c r="H7" s="26">
        <v>53.57</v>
      </c>
      <c r="I7" s="7">
        <f t="shared" si="1"/>
        <v>3909.7596825396827</v>
      </c>
      <c r="J7" s="26">
        <v>16.421428571428574</v>
      </c>
      <c r="K7" s="26">
        <v>57.5</v>
      </c>
      <c r="L7" s="7">
        <f t="shared" si="2"/>
        <v>944.232142857143</v>
      </c>
      <c r="M7" s="2"/>
    </row>
    <row r="8" spans="1:14">
      <c r="A8" s="21" t="s">
        <v>84</v>
      </c>
      <c r="B8" s="22" t="s">
        <v>31</v>
      </c>
      <c r="C8" s="22" t="s">
        <v>57</v>
      </c>
      <c r="D8" s="26">
        <v>20</v>
      </c>
      <c r="E8" s="26">
        <v>53.57</v>
      </c>
      <c r="F8" s="7">
        <f t="shared" si="0"/>
        <v>1071.4000000000001</v>
      </c>
      <c r="G8" s="26">
        <v>85</v>
      </c>
      <c r="H8" s="26">
        <v>53.57</v>
      </c>
      <c r="I8" s="7">
        <f t="shared" si="1"/>
        <v>4553.45</v>
      </c>
      <c r="J8" s="26">
        <v>15.75</v>
      </c>
      <c r="K8" s="26">
        <v>57.5</v>
      </c>
      <c r="L8" s="7">
        <f t="shared" si="2"/>
        <v>905.625</v>
      </c>
      <c r="M8" s="2"/>
    </row>
    <row r="9" spans="1:14">
      <c r="A9" s="21" t="s">
        <v>84</v>
      </c>
      <c r="B9" s="22" t="s">
        <v>32</v>
      </c>
      <c r="C9" s="21" t="s">
        <v>58</v>
      </c>
      <c r="D9" s="26">
        <v>103.67099567099568</v>
      </c>
      <c r="E9" s="26">
        <v>53.57</v>
      </c>
      <c r="F9" s="7">
        <f t="shared" si="0"/>
        <v>5553.6552380952389</v>
      </c>
      <c r="G9" s="26">
        <v>434.23718614718609</v>
      </c>
      <c r="H9" s="26">
        <v>53.57</v>
      </c>
      <c r="I9" s="7">
        <f t="shared" si="1"/>
        <v>23262.08606190476</v>
      </c>
      <c r="J9" s="26">
        <v>80.686227272727265</v>
      </c>
      <c r="K9" s="26">
        <v>57.5</v>
      </c>
      <c r="L9" s="7">
        <f t="shared" si="2"/>
        <v>4639.4580681818179</v>
      </c>
      <c r="M9" s="2"/>
    </row>
    <row r="10" spans="1:14">
      <c r="A10" s="21" t="s">
        <v>84</v>
      </c>
      <c r="B10" s="22" t="s">
        <v>33</v>
      </c>
      <c r="C10" s="21" t="s">
        <v>59</v>
      </c>
      <c r="D10" s="26">
        <v>0</v>
      </c>
      <c r="E10" s="26">
        <v>53.57</v>
      </c>
      <c r="F10" s="7">
        <f t="shared" si="0"/>
        <v>0</v>
      </c>
      <c r="G10" s="26">
        <v>202.40000000000003</v>
      </c>
      <c r="H10" s="26">
        <v>53.57</v>
      </c>
      <c r="I10" s="7">
        <f t="shared" si="1"/>
        <v>10842.568000000001</v>
      </c>
      <c r="J10" s="26">
        <v>30.360000000000007</v>
      </c>
      <c r="K10" s="26">
        <v>57.5</v>
      </c>
      <c r="L10" s="7">
        <f t="shared" si="2"/>
        <v>1745.7000000000003</v>
      </c>
      <c r="M10" s="2"/>
    </row>
    <row r="11" spans="1:14">
      <c r="A11" s="21" t="s">
        <v>84</v>
      </c>
      <c r="B11" s="21" t="s">
        <v>34</v>
      </c>
      <c r="C11" s="21" t="s">
        <v>60</v>
      </c>
      <c r="D11" s="26">
        <v>0</v>
      </c>
      <c r="E11" s="26">
        <v>53.57</v>
      </c>
      <c r="F11" s="7">
        <f t="shared" si="0"/>
        <v>0</v>
      </c>
      <c r="G11" s="26">
        <v>159.02999999999997</v>
      </c>
      <c r="H11" s="26">
        <v>53.57</v>
      </c>
      <c r="I11" s="7">
        <f t="shared" si="1"/>
        <v>8519.2370999999985</v>
      </c>
      <c r="J11" s="26">
        <v>23.854499999999994</v>
      </c>
      <c r="K11" s="26">
        <v>57.5</v>
      </c>
      <c r="L11" s="7">
        <f t="shared" si="2"/>
        <v>1371.6337499999997</v>
      </c>
      <c r="M11" s="2"/>
      <c r="N11" t="s">
        <v>103</v>
      </c>
    </row>
    <row r="12" spans="1:14">
      <c r="A12" s="21" t="s">
        <v>84</v>
      </c>
      <c r="B12" s="22" t="s">
        <v>32</v>
      </c>
      <c r="C12" s="21" t="s">
        <v>61</v>
      </c>
      <c r="D12" s="26">
        <v>0</v>
      </c>
      <c r="E12" s="26">
        <v>53.57</v>
      </c>
      <c r="F12" s="7">
        <f t="shared" si="0"/>
        <v>0</v>
      </c>
      <c r="G12" s="26">
        <v>0</v>
      </c>
      <c r="H12" s="26">
        <v>53.57</v>
      </c>
      <c r="I12" s="7">
        <f t="shared" si="1"/>
        <v>0</v>
      </c>
      <c r="J12" s="26">
        <v>0</v>
      </c>
      <c r="K12" s="26">
        <v>57.5</v>
      </c>
      <c r="L12" s="7">
        <f t="shared" si="2"/>
        <v>0</v>
      </c>
      <c r="M12" s="2"/>
    </row>
    <row r="13" spans="1:14">
      <c r="A13" s="21" t="s">
        <v>16</v>
      </c>
      <c r="B13" s="22" t="s">
        <v>24</v>
      </c>
      <c r="C13" s="21" t="s">
        <v>43</v>
      </c>
      <c r="D13" s="29">
        <v>288.60028860028859</v>
      </c>
      <c r="E13" s="26">
        <v>53.57</v>
      </c>
      <c r="F13" s="7">
        <f t="shared" si="0"/>
        <v>15460.317460317459</v>
      </c>
      <c r="G13" s="29">
        <v>649.35064935064941</v>
      </c>
      <c r="H13" s="26">
        <v>53.57</v>
      </c>
      <c r="I13" s="7">
        <f t="shared" si="1"/>
        <v>34785.71428571429</v>
      </c>
      <c r="J13" s="26">
        <v>140.69264069264071</v>
      </c>
      <c r="K13" s="26">
        <v>57.5</v>
      </c>
      <c r="L13" s="7">
        <f t="shared" si="2"/>
        <v>8089.826839826841</v>
      </c>
      <c r="M13" s="27">
        <v>43466</v>
      </c>
    </row>
    <row r="14" spans="1:14">
      <c r="A14" s="9"/>
      <c r="B14" s="23"/>
      <c r="C14" s="23"/>
      <c r="D14" s="38">
        <f>SUM(D3:D13)</f>
        <v>1041.7599855699857</v>
      </c>
      <c r="E14" s="39"/>
      <c r="F14" s="40">
        <f>SUM(F3:F13)</f>
        <v>55807.082426984125</v>
      </c>
      <c r="G14" s="55">
        <f>SUM(G3:G13)</f>
        <v>3060.0013852813854</v>
      </c>
      <c r="H14" s="41"/>
      <c r="I14" s="41">
        <f t="shared" ref="I14:L14" si="3">SUM(I3:I13)</f>
        <v>163924.27420952381</v>
      </c>
      <c r="J14" s="38">
        <f t="shared" si="3"/>
        <v>615.26420562770568</v>
      </c>
      <c r="K14" s="41"/>
      <c r="L14" s="41">
        <f t="shared" si="3"/>
        <v>35377.691823593079</v>
      </c>
      <c r="M14" s="7"/>
      <c r="N14" s="2"/>
    </row>
    <row r="15" spans="1:14">
      <c r="A15" s="9"/>
      <c r="B15" s="23"/>
      <c r="C15" s="23"/>
    </row>
    <row r="16" spans="1:14">
      <c r="A16" s="9" t="s">
        <v>109</v>
      </c>
      <c r="B16" s="23"/>
      <c r="C16" s="23"/>
    </row>
    <row r="17" spans="1:18" ht="30" customHeight="1">
      <c r="A17" s="5" t="s">
        <v>11</v>
      </c>
      <c r="B17" s="5" t="s">
        <v>0</v>
      </c>
      <c r="C17" s="5" t="s">
        <v>1</v>
      </c>
      <c r="D17" s="4" t="s">
        <v>3</v>
      </c>
      <c r="E17" s="4" t="s">
        <v>110</v>
      </c>
      <c r="F17" s="4" t="s">
        <v>108</v>
      </c>
      <c r="G17" s="4" t="s">
        <v>2</v>
      </c>
      <c r="H17" s="4" t="s">
        <v>14</v>
      </c>
      <c r="I17" s="4" t="s">
        <v>110</v>
      </c>
      <c r="J17" s="4" t="s">
        <v>108</v>
      </c>
      <c r="K17" s="4" t="s">
        <v>15</v>
      </c>
      <c r="L17" s="4" t="s">
        <v>8</v>
      </c>
      <c r="M17" s="4" t="s">
        <v>110</v>
      </c>
      <c r="N17" s="4" t="s">
        <v>108</v>
      </c>
      <c r="O17" s="4" t="s">
        <v>9</v>
      </c>
      <c r="P17" s="4" t="s">
        <v>10</v>
      </c>
    </row>
    <row r="18" spans="1:18">
      <c r="A18" s="21" t="s">
        <v>84</v>
      </c>
      <c r="B18" s="21" t="s">
        <v>24</v>
      </c>
      <c r="C18" s="21" t="s">
        <v>52</v>
      </c>
      <c r="D18" s="26">
        <v>75.289999999999992</v>
      </c>
      <c r="E18" s="26">
        <f>D18/365*197.5</f>
        <v>40.739109589041092</v>
      </c>
      <c r="F18" s="26">
        <v>53.57</v>
      </c>
      <c r="G18" s="7">
        <f>E18*F18</f>
        <v>2182.3941006849313</v>
      </c>
      <c r="H18" s="26">
        <v>570</v>
      </c>
      <c r="I18" s="26">
        <f>H18/365*197.5</f>
        <v>308.42465753424659</v>
      </c>
      <c r="J18" s="26">
        <v>53.57</v>
      </c>
      <c r="K18" s="7">
        <f>I18*J18</f>
        <v>16522.308904109592</v>
      </c>
      <c r="L18" s="26">
        <v>96.793500000000009</v>
      </c>
      <c r="M18" s="26">
        <f>L18/365*197.5</f>
        <v>52.374565068493155</v>
      </c>
      <c r="N18" s="26">
        <v>57.5</v>
      </c>
      <c r="O18" s="7">
        <f>M18*N18</f>
        <v>3011.5374914383565</v>
      </c>
      <c r="P18" s="2"/>
    </row>
    <row r="19" spans="1:18">
      <c r="A19" s="21" t="s">
        <v>84</v>
      </c>
      <c r="B19" s="21" t="s">
        <v>24</v>
      </c>
      <c r="C19" s="21" t="s">
        <v>53</v>
      </c>
      <c r="D19" s="26">
        <v>288.60028860028859</v>
      </c>
      <c r="E19" s="26">
        <f>D19/365*197.5</f>
        <v>156.16043013303286</v>
      </c>
      <c r="F19" s="26">
        <v>53.57</v>
      </c>
      <c r="G19" s="7">
        <f>E19*F19</f>
        <v>8365.5142422265708</v>
      </c>
      <c r="H19" s="26">
        <v>577.20057720057719</v>
      </c>
      <c r="I19" s="26">
        <f t="shared" ref="I19:I28" si="4">H19/365*197.5</f>
        <v>312.32086026606572</v>
      </c>
      <c r="J19" s="26">
        <v>53.57</v>
      </c>
      <c r="K19" s="7">
        <f t="shared" ref="K19:K28" si="5">I19*J19</f>
        <v>16731.028484453142</v>
      </c>
      <c r="L19" s="26">
        <v>129.87012987012989</v>
      </c>
      <c r="M19" s="26">
        <f t="shared" ref="M19:M28" si="6">L19/365*197.5</f>
        <v>70.272193559864803</v>
      </c>
      <c r="N19" s="26">
        <v>57.5</v>
      </c>
      <c r="O19" s="7">
        <f t="shared" ref="O19:O28" si="7">M19*N19</f>
        <v>4040.6511296922263</v>
      </c>
      <c r="P19" s="2"/>
    </row>
    <row r="20" spans="1:18">
      <c r="A20" s="21" t="s">
        <v>84</v>
      </c>
      <c r="B20" s="21" t="s">
        <v>24</v>
      </c>
      <c r="C20" s="21" t="s">
        <v>54</v>
      </c>
      <c r="D20" s="26">
        <v>29.106349206349211</v>
      </c>
      <c r="E20" s="26">
        <f>D20/365*197.5</f>
        <v>15.749325940421835</v>
      </c>
      <c r="F20" s="26">
        <v>53.57</v>
      </c>
      <c r="G20" s="7">
        <f>E20*F20</f>
        <v>843.6913906283977</v>
      </c>
      <c r="H20" s="26">
        <v>89.798845598845602</v>
      </c>
      <c r="I20" s="26">
        <f t="shared" si="4"/>
        <v>48.589786317183574</v>
      </c>
      <c r="J20" s="26">
        <v>53.57</v>
      </c>
      <c r="K20" s="7">
        <f t="shared" si="5"/>
        <v>2602.9548530115239</v>
      </c>
      <c r="L20" s="26">
        <v>17.835779220779223</v>
      </c>
      <c r="M20" s="26">
        <f t="shared" si="6"/>
        <v>9.6508668386408125</v>
      </c>
      <c r="N20" s="26">
        <v>57.5</v>
      </c>
      <c r="O20" s="7">
        <f t="shared" si="7"/>
        <v>554.92484322184669</v>
      </c>
      <c r="P20" s="2"/>
    </row>
    <row r="21" spans="1:18">
      <c r="A21" s="21" t="s">
        <v>84</v>
      </c>
      <c r="B21" s="22" t="s">
        <v>30</v>
      </c>
      <c r="C21" s="22" t="s">
        <v>55</v>
      </c>
      <c r="D21" s="26">
        <v>200</v>
      </c>
      <c r="E21" s="26">
        <f>D21/365*197.5</f>
        <v>108.21917808219177</v>
      </c>
      <c r="F21" s="26">
        <v>53.57</v>
      </c>
      <c r="G21" s="7">
        <f t="shared" ref="G21:G28" si="8">E21*F21</f>
        <v>5797.301369863013</v>
      </c>
      <c r="H21" s="26">
        <v>220.00000000000003</v>
      </c>
      <c r="I21" s="26">
        <f t="shared" si="4"/>
        <v>119.04109589041097</v>
      </c>
      <c r="J21" s="26">
        <v>53.57</v>
      </c>
      <c r="K21" s="7">
        <f t="shared" si="5"/>
        <v>6377.0315068493155</v>
      </c>
      <c r="L21" s="26">
        <v>63</v>
      </c>
      <c r="M21" s="26">
        <f t="shared" si="6"/>
        <v>34.089041095890416</v>
      </c>
      <c r="N21" s="26">
        <v>57.5</v>
      </c>
      <c r="O21" s="7">
        <f>M21*N21</f>
        <v>1960.1198630136989</v>
      </c>
      <c r="P21" s="2"/>
    </row>
    <row r="22" spans="1:18">
      <c r="A22" s="21" t="s">
        <v>84</v>
      </c>
      <c r="B22" s="22" t="s">
        <v>30</v>
      </c>
      <c r="C22" s="22" t="s">
        <v>56</v>
      </c>
      <c r="D22" s="26">
        <v>36.492063492063494</v>
      </c>
      <c r="E22" s="26">
        <f t="shared" ref="E22:E28" si="9">D22/365*197.5</f>
        <v>19.745705588171344</v>
      </c>
      <c r="F22" s="26">
        <v>53.57</v>
      </c>
      <c r="G22" s="7">
        <f t="shared" si="8"/>
        <v>1057.7774483583389</v>
      </c>
      <c r="H22" s="26">
        <v>72.984126984126988</v>
      </c>
      <c r="I22" s="26">
        <f t="shared" si="4"/>
        <v>39.491411176342687</v>
      </c>
      <c r="J22" s="26">
        <v>53.57</v>
      </c>
      <c r="K22" s="7">
        <f t="shared" si="5"/>
        <v>2115.5548967166778</v>
      </c>
      <c r="L22" s="26">
        <v>16.421428571428574</v>
      </c>
      <c r="M22" s="26">
        <f t="shared" si="6"/>
        <v>8.8855675146771045</v>
      </c>
      <c r="N22" s="26">
        <v>57.5</v>
      </c>
      <c r="O22" s="7">
        <f t="shared" si="7"/>
        <v>510.92013209393349</v>
      </c>
      <c r="P22" s="2"/>
    </row>
    <row r="23" spans="1:18">
      <c r="A23" s="21" t="s">
        <v>84</v>
      </c>
      <c r="B23" s="22" t="s">
        <v>31</v>
      </c>
      <c r="C23" s="22" t="s">
        <v>57</v>
      </c>
      <c r="D23" s="26">
        <v>20</v>
      </c>
      <c r="E23" s="26">
        <f t="shared" si="9"/>
        <v>10.821917808219178</v>
      </c>
      <c r="F23" s="26">
        <v>53.57</v>
      </c>
      <c r="G23" s="7">
        <f t="shared" si="8"/>
        <v>579.73013698630132</v>
      </c>
      <c r="H23" s="26">
        <v>85</v>
      </c>
      <c r="I23" s="26">
        <f t="shared" si="4"/>
        <v>45.993150684931507</v>
      </c>
      <c r="J23" s="26">
        <v>53.57</v>
      </c>
      <c r="K23" s="7">
        <f t="shared" si="5"/>
        <v>2463.8530821917807</v>
      </c>
      <c r="L23" s="26">
        <v>15.75</v>
      </c>
      <c r="M23" s="26">
        <f t="shared" si="6"/>
        <v>8.5222602739726039</v>
      </c>
      <c r="N23" s="26">
        <v>57.5</v>
      </c>
      <c r="O23" s="7">
        <f t="shared" si="7"/>
        <v>490.02996575342473</v>
      </c>
      <c r="P23" s="2"/>
    </row>
    <row r="24" spans="1:18">
      <c r="A24" s="21" t="s">
        <v>84</v>
      </c>
      <c r="B24" s="22" t="s">
        <v>32</v>
      </c>
      <c r="C24" s="21" t="s">
        <v>58</v>
      </c>
      <c r="D24" s="26">
        <v>103.67099567099568</v>
      </c>
      <c r="E24" s="26">
        <f t="shared" si="9"/>
        <v>56.095949712388069</v>
      </c>
      <c r="F24" s="26">
        <v>53.57</v>
      </c>
      <c r="G24" s="7">
        <f t="shared" si="8"/>
        <v>3005.060026092629</v>
      </c>
      <c r="H24" s="26">
        <v>434.23718614718609</v>
      </c>
      <c r="I24" s="26">
        <f t="shared" si="4"/>
        <v>234.96395688786097</v>
      </c>
      <c r="J24" s="26">
        <v>53.57</v>
      </c>
      <c r="K24" s="7">
        <f t="shared" si="5"/>
        <v>12587.019170482712</v>
      </c>
      <c r="L24" s="26">
        <v>80.686227272727265</v>
      </c>
      <c r="M24" s="26">
        <f t="shared" si="6"/>
        <v>43.658985990037351</v>
      </c>
      <c r="N24" s="26">
        <v>57.5</v>
      </c>
      <c r="O24" s="7">
        <f t="shared" si="7"/>
        <v>2510.3916944271477</v>
      </c>
      <c r="P24" s="2"/>
    </row>
    <row r="25" spans="1:18">
      <c r="A25" s="21" t="s">
        <v>84</v>
      </c>
      <c r="B25" s="22" t="s">
        <v>33</v>
      </c>
      <c r="C25" s="21" t="s">
        <v>59</v>
      </c>
      <c r="D25" s="26">
        <v>0</v>
      </c>
      <c r="E25" s="26">
        <f t="shared" si="9"/>
        <v>0</v>
      </c>
      <c r="F25" s="26">
        <v>53.57</v>
      </c>
      <c r="G25" s="7">
        <f t="shared" si="8"/>
        <v>0</v>
      </c>
      <c r="H25" s="26">
        <v>202.40000000000003</v>
      </c>
      <c r="I25" s="26">
        <f t="shared" si="4"/>
        <v>109.51780821917809</v>
      </c>
      <c r="J25" s="26">
        <v>53.57</v>
      </c>
      <c r="K25" s="7">
        <f t="shared" si="5"/>
        <v>5866.8689863013706</v>
      </c>
      <c r="L25" s="26">
        <v>30.360000000000007</v>
      </c>
      <c r="M25" s="26">
        <f t="shared" si="6"/>
        <v>16.427671232876715</v>
      </c>
      <c r="N25" s="26">
        <v>57.5</v>
      </c>
      <c r="O25" s="7">
        <f t="shared" si="7"/>
        <v>944.59109589041111</v>
      </c>
      <c r="P25" s="2"/>
    </row>
    <row r="26" spans="1:18">
      <c r="A26" s="21" t="s">
        <v>84</v>
      </c>
      <c r="B26" s="21" t="s">
        <v>34</v>
      </c>
      <c r="C26" s="21" t="s">
        <v>60</v>
      </c>
      <c r="D26" s="26">
        <v>0</v>
      </c>
      <c r="E26" s="26">
        <f t="shared" si="9"/>
        <v>0</v>
      </c>
      <c r="F26" s="26">
        <v>53.57</v>
      </c>
      <c r="G26" s="7">
        <f t="shared" si="8"/>
        <v>0</v>
      </c>
      <c r="H26" s="26">
        <v>159.02999999999997</v>
      </c>
      <c r="I26" s="26">
        <f t="shared" si="4"/>
        <v>86.050479452054788</v>
      </c>
      <c r="J26" s="26">
        <v>53.57</v>
      </c>
      <c r="K26" s="7">
        <f t="shared" si="5"/>
        <v>4609.7241842465746</v>
      </c>
      <c r="L26" s="26">
        <v>23.854499999999994</v>
      </c>
      <c r="M26" s="26">
        <f t="shared" si="6"/>
        <v>12.907571917808216</v>
      </c>
      <c r="N26" s="26">
        <v>57.5</v>
      </c>
      <c r="O26" s="7">
        <f t="shared" si="7"/>
        <v>742.18538527397243</v>
      </c>
      <c r="P26" s="2"/>
      <c r="Q26" t="s">
        <v>103</v>
      </c>
    </row>
    <row r="27" spans="1:18">
      <c r="A27" s="21" t="s">
        <v>84</v>
      </c>
      <c r="B27" s="22" t="s">
        <v>32</v>
      </c>
      <c r="C27" s="21" t="s">
        <v>61</v>
      </c>
      <c r="D27" s="26">
        <v>0</v>
      </c>
      <c r="E27" s="26">
        <f t="shared" si="9"/>
        <v>0</v>
      </c>
      <c r="F27" s="26">
        <v>53.57</v>
      </c>
      <c r="G27" s="7">
        <f t="shared" si="8"/>
        <v>0</v>
      </c>
      <c r="H27" s="26">
        <v>0</v>
      </c>
      <c r="I27" s="26">
        <f t="shared" si="4"/>
        <v>0</v>
      </c>
      <c r="J27" s="26">
        <v>53.57</v>
      </c>
      <c r="K27" s="7">
        <f t="shared" si="5"/>
        <v>0</v>
      </c>
      <c r="L27" s="26">
        <v>0</v>
      </c>
      <c r="M27" s="26">
        <f t="shared" si="6"/>
        <v>0</v>
      </c>
      <c r="N27" s="26">
        <v>57.5</v>
      </c>
      <c r="O27" s="7">
        <f t="shared" si="7"/>
        <v>0</v>
      </c>
      <c r="P27" s="2"/>
    </row>
    <row r="28" spans="1:18">
      <c r="A28" s="21" t="s">
        <v>16</v>
      </c>
      <c r="B28" s="22" t="s">
        <v>24</v>
      </c>
      <c r="C28" s="21" t="s">
        <v>43</v>
      </c>
      <c r="D28" s="29">
        <v>288.60028860028859</v>
      </c>
      <c r="E28" s="26">
        <f t="shared" si="9"/>
        <v>156.16043013303286</v>
      </c>
      <c r="F28" s="26">
        <v>53.57</v>
      </c>
      <c r="G28" s="7">
        <f t="shared" si="8"/>
        <v>8365.5142422265708</v>
      </c>
      <c r="H28" s="29">
        <v>649.35064935064941</v>
      </c>
      <c r="I28" s="26">
        <f t="shared" si="4"/>
        <v>351.36096779932399</v>
      </c>
      <c r="J28" s="26">
        <v>53.57</v>
      </c>
      <c r="K28" s="7">
        <f t="shared" si="5"/>
        <v>18822.407045009786</v>
      </c>
      <c r="L28" s="26">
        <v>140.69264069264071</v>
      </c>
      <c r="M28" s="26">
        <f t="shared" si="6"/>
        <v>76.128209689853534</v>
      </c>
      <c r="N28" s="26">
        <v>57.5</v>
      </c>
      <c r="O28" s="7">
        <f t="shared" si="7"/>
        <v>4377.3720571665781</v>
      </c>
      <c r="P28" s="27">
        <v>43466</v>
      </c>
    </row>
    <row r="29" spans="1:18">
      <c r="A29" s="9"/>
      <c r="B29" s="23"/>
      <c r="C29" s="23"/>
      <c r="D29" s="38"/>
      <c r="E29" s="55">
        <f>SUM(E18:E28)</f>
        <v>563.69204698649901</v>
      </c>
      <c r="F29" s="39"/>
      <c r="G29" s="40">
        <f>SUM(G18:G28)</f>
        <v>30196.98295706675</v>
      </c>
      <c r="H29" s="38"/>
      <c r="I29" s="38">
        <f>SUM(I18:I28)</f>
        <v>1655.7541742275989</v>
      </c>
      <c r="J29" s="41"/>
      <c r="K29" s="41">
        <f t="shared" ref="K29" si="10">SUM(K18:K28)</f>
        <v>88698.751113372477</v>
      </c>
      <c r="L29" s="38"/>
      <c r="M29" s="38">
        <f>SUM(M18:M28)</f>
        <v>332.91693318211469</v>
      </c>
      <c r="N29" s="41"/>
      <c r="O29" s="41">
        <f t="shared" ref="O29" si="11">SUM(O18:O28)</f>
        <v>19142.723657971597</v>
      </c>
      <c r="P29" s="7"/>
      <c r="Q29" s="2"/>
    </row>
    <row r="30" spans="1:18" ht="15.5">
      <c r="A30" s="30" t="s">
        <v>107</v>
      </c>
      <c r="B30" s="30" t="s">
        <v>105</v>
      </c>
      <c r="C30" s="31">
        <v>321139.87245000002</v>
      </c>
      <c r="D30" s="31">
        <f>+C30*3</f>
        <v>963419.61735000007</v>
      </c>
      <c r="E30" s="31"/>
      <c r="F30" s="31"/>
      <c r="G30" s="31">
        <f t="shared" ref="G30" si="12">+D30/36*M30*0.25</f>
        <v>13380.82801875</v>
      </c>
      <c r="H30" s="31">
        <v>0</v>
      </c>
      <c r="I30" s="31"/>
      <c r="J30" s="32">
        <f t="shared" ref="J30" si="13">+D30+G30+H30</f>
        <v>976800.44536875002</v>
      </c>
      <c r="K30" s="33" t="s">
        <v>106</v>
      </c>
      <c r="L30" s="33"/>
      <c r="M30" s="34">
        <v>2</v>
      </c>
      <c r="N30" s="35">
        <v>43101</v>
      </c>
      <c r="O30" s="35">
        <v>43236</v>
      </c>
      <c r="P30" s="36">
        <v>43236</v>
      </c>
      <c r="Q30" s="36">
        <v>43297</v>
      </c>
      <c r="R30" s="37"/>
    </row>
    <row r="31" spans="1:18" ht="15.5">
      <c r="A31" s="25"/>
      <c r="B31" s="25"/>
      <c r="C31" s="42"/>
      <c r="D31" s="42"/>
      <c r="E31" s="42"/>
      <c r="F31" s="42"/>
      <c r="G31" s="42"/>
      <c r="H31" s="42"/>
      <c r="I31" s="42"/>
      <c r="J31" s="43"/>
      <c r="K31" s="44"/>
      <c r="L31" s="44"/>
      <c r="M31" s="45"/>
      <c r="N31" s="46"/>
      <c r="O31" s="46"/>
      <c r="P31" s="47"/>
      <c r="Q31" s="47"/>
      <c r="R31" s="48"/>
    </row>
    <row r="32" spans="1:18" ht="15.5">
      <c r="A32" s="25"/>
      <c r="B32" s="25"/>
      <c r="C32" s="42"/>
      <c r="D32" s="42"/>
      <c r="F32" s="50" t="s">
        <v>112</v>
      </c>
      <c r="G32" s="50" t="s">
        <v>113</v>
      </c>
      <c r="I32" s="42"/>
      <c r="J32" s="43"/>
      <c r="K32" s="44"/>
      <c r="L32" s="44"/>
      <c r="M32" s="45"/>
      <c r="N32" s="46"/>
      <c r="O32" s="46"/>
      <c r="P32" s="47"/>
      <c r="Q32" s="47"/>
      <c r="R32" s="48"/>
    </row>
    <row r="33" spans="1:18" ht="15.5">
      <c r="A33" s="25"/>
      <c r="B33" s="25"/>
      <c r="C33" s="42"/>
      <c r="D33" s="42"/>
      <c r="E33" s="51">
        <v>2018</v>
      </c>
      <c r="F33" s="52">
        <f>G29+K29+O29</f>
        <v>138038.45772841084</v>
      </c>
      <c r="G33" s="52">
        <f>G30</f>
        <v>13380.82801875</v>
      </c>
      <c r="I33" s="42"/>
      <c r="J33" s="43"/>
      <c r="K33" s="44"/>
      <c r="L33" s="44"/>
      <c r="M33" s="45"/>
      <c r="N33" s="46"/>
      <c r="O33" s="46"/>
      <c r="P33" s="47"/>
      <c r="Q33" s="47"/>
      <c r="R33" s="48"/>
    </row>
    <row r="34" spans="1:18" ht="15.5">
      <c r="A34" s="25"/>
      <c r="B34" s="25"/>
      <c r="C34" s="42"/>
      <c r="D34" s="42"/>
      <c r="E34" s="51">
        <v>2019</v>
      </c>
      <c r="F34" s="52">
        <f>F14+I14+L14</f>
        <v>255109.04846010101</v>
      </c>
      <c r="I34" s="42"/>
      <c r="J34" s="43"/>
      <c r="K34" s="44"/>
      <c r="L34" s="44"/>
      <c r="M34" s="45"/>
      <c r="N34" s="46"/>
      <c r="O34" s="46"/>
      <c r="P34" s="47"/>
      <c r="Q34" s="47"/>
      <c r="R34" s="48"/>
    </row>
    <row r="35" spans="1:18" ht="15.5">
      <c r="A35" s="25"/>
      <c r="B35" s="25"/>
      <c r="C35" s="42"/>
      <c r="D35" s="42"/>
      <c r="E35" s="51">
        <v>2020</v>
      </c>
      <c r="F35" s="52">
        <f>F14+I14+L14</f>
        <v>255109.04846010101</v>
      </c>
      <c r="I35" s="42"/>
      <c r="J35" s="43"/>
      <c r="K35" s="44"/>
      <c r="L35" s="44"/>
      <c r="M35" s="45"/>
      <c r="N35" s="46"/>
      <c r="O35" s="46"/>
      <c r="P35" s="47"/>
      <c r="Q35" s="47"/>
      <c r="R35" s="48"/>
    </row>
    <row r="36" spans="1:18" ht="15.5">
      <c r="A36" s="25"/>
      <c r="B36" s="25"/>
      <c r="C36" s="42"/>
      <c r="D36" s="42"/>
      <c r="E36" s="51">
        <v>2021</v>
      </c>
      <c r="F36" s="52">
        <f>F14+I14+L14</f>
        <v>255109.04846010101</v>
      </c>
      <c r="I36" s="42"/>
      <c r="J36" s="43"/>
      <c r="K36" s="44"/>
      <c r="L36" s="44"/>
      <c r="M36" s="45"/>
      <c r="N36" s="46"/>
      <c r="O36" s="46"/>
      <c r="P36" s="47"/>
      <c r="Q36" s="47"/>
      <c r="R36" s="48"/>
    </row>
    <row r="37" spans="1:18" ht="15.5">
      <c r="A37" s="25"/>
      <c r="B37" s="25"/>
      <c r="C37" s="42"/>
      <c r="D37" s="42"/>
      <c r="F37" s="53">
        <f>SUM(F33:F36)</f>
        <v>903365.60310871387</v>
      </c>
      <c r="G37" s="53">
        <f>SUM(G33:G36)</f>
        <v>13380.82801875</v>
      </c>
      <c r="H37" s="54">
        <f>F37+G37</f>
        <v>916746.43112746382</v>
      </c>
      <c r="I37" s="42"/>
      <c r="J37" s="43"/>
      <c r="K37" s="44"/>
      <c r="L37" s="44"/>
      <c r="M37" s="45"/>
      <c r="N37" s="46"/>
      <c r="O37" s="46"/>
      <c r="P37" s="47"/>
      <c r="Q37" s="47"/>
      <c r="R37" s="48"/>
    </row>
    <row r="38" spans="1:18" ht="15.5">
      <c r="A38" s="25"/>
      <c r="B38" s="25"/>
      <c r="C38" s="42"/>
      <c r="D38" s="42"/>
      <c r="E38" s="42"/>
      <c r="F38" s="42"/>
      <c r="G38" s="42"/>
      <c r="H38" s="42"/>
      <c r="I38" s="42"/>
      <c r="J38" s="43"/>
      <c r="K38" s="44"/>
      <c r="L38" s="44"/>
      <c r="M38" s="45"/>
      <c r="N38" s="46"/>
      <c r="O38" s="46"/>
      <c r="P38" s="47"/>
      <c r="Q38" s="47"/>
      <c r="R38" s="48"/>
    </row>
    <row r="39" spans="1:18" ht="15.5">
      <c r="A39" s="15" t="s">
        <v>111</v>
      </c>
      <c r="B39" s="25"/>
      <c r="C39" s="42"/>
      <c r="D39" s="42"/>
      <c r="E39" s="42"/>
      <c r="F39" s="42"/>
      <c r="G39" s="42"/>
      <c r="H39" s="42"/>
      <c r="I39" s="42"/>
      <c r="J39" s="43"/>
      <c r="K39" s="44"/>
      <c r="L39" s="44"/>
      <c r="M39" s="45"/>
      <c r="N39" s="46"/>
      <c r="O39" s="46"/>
      <c r="P39" s="47"/>
      <c r="Q39" s="47"/>
      <c r="R39" s="48"/>
    </row>
    <row r="40" spans="1:18" ht="30" customHeight="1">
      <c r="A40" s="5" t="s">
        <v>11</v>
      </c>
      <c r="B40" s="5" t="s">
        <v>0</v>
      </c>
      <c r="C40" s="5" t="s">
        <v>1</v>
      </c>
      <c r="D40" s="4" t="s">
        <v>3</v>
      </c>
      <c r="E40" s="4" t="s">
        <v>108</v>
      </c>
      <c r="F40" s="4" t="s">
        <v>2</v>
      </c>
      <c r="G40" s="4" t="s">
        <v>14</v>
      </c>
      <c r="H40" s="4" t="s">
        <v>108</v>
      </c>
      <c r="I40" s="4" t="s">
        <v>15</v>
      </c>
      <c r="J40" s="4" t="s">
        <v>8</v>
      </c>
      <c r="K40" s="4" t="s">
        <v>108</v>
      </c>
      <c r="L40" s="4" t="s">
        <v>9</v>
      </c>
      <c r="M40" s="4" t="s">
        <v>10</v>
      </c>
    </row>
    <row r="41" spans="1:18">
      <c r="A41" s="14" t="s">
        <v>84</v>
      </c>
      <c r="B41" s="24" t="s">
        <v>29</v>
      </c>
      <c r="C41" s="14" t="s">
        <v>62</v>
      </c>
      <c r="D41" s="26">
        <v>209.254921505108</v>
      </c>
      <c r="E41" s="26">
        <v>46.59</v>
      </c>
      <c r="F41" s="7">
        <f>D41*E41</f>
        <v>9749.1867929229829</v>
      </c>
      <c r="G41" s="26">
        <v>982.79691004236224</v>
      </c>
      <c r="H41" s="26">
        <v>49.95</v>
      </c>
      <c r="I41" s="7">
        <f>G41*H41</f>
        <v>49090.705656615995</v>
      </c>
      <c r="J41" s="26">
        <v>178.80777473212058</v>
      </c>
      <c r="K41" s="26">
        <v>57.5</v>
      </c>
      <c r="L41" s="7">
        <f>J41*K41</f>
        <v>10281.447047096934</v>
      </c>
      <c r="M41" s="2"/>
    </row>
    <row r="42" spans="1:18">
      <c r="A42" s="14" t="s">
        <v>84</v>
      </c>
      <c r="B42" s="24" t="s">
        <v>29</v>
      </c>
      <c r="C42" s="14" t="s">
        <v>63</v>
      </c>
      <c r="D42" s="26">
        <v>72.916666666666657</v>
      </c>
      <c r="E42" s="26">
        <v>46.59</v>
      </c>
      <c r="F42" s="7">
        <f t="shared" ref="F42:F63" si="14">D42*E42</f>
        <v>3397.1875</v>
      </c>
      <c r="G42" s="26">
        <v>853.57416666666654</v>
      </c>
      <c r="H42" s="26">
        <v>49.95</v>
      </c>
      <c r="I42" s="7">
        <f t="shared" ref="I42:I63" si="15">G42*H42</f>
        <v>42636.029624999996</v>
      </c>
      <c r="J42" s="26">
        <v>138.973625</v>
      </c>
      <c r="K42" s="26">
        <v>57.5</v>
      </c>
      <c r="L42" s="7">
        <f t="shared" ref="L42:L63" si="16">J42*K42</f>
        <v>7990.9834375</v>
      </c>
      <c r="M42" s="2"/>
    </row>
    <row r="43" spans="1:18">
      <c r="A43" s="14" t="s">
        <v>84</v>
      </c>
      <c r="B43" s="24" t="s">
        <v>29</v>
      </c>
      <c r="C43" s="14" t="s">
        <v>64</v>
      </c>
      <c r="D43" s="26">
        <v>161.31323199601295</v>
      </c>
      <c r="E43" s="26">
        <v>46.59</v>
      </c>
      <c r="F43" s="7">
        <f t="shared" si="14"/>
        <v>7515.5834786942432</v>
      </c>
      <c r="G43" s="26">
        <v>739.83204585098429</v>
      </c>
      <c r="H43" s="26">
        <v>49.95</v>
      </c>
      <c r="I43" s="7">
        <f t="shared" si="15"/>
        <v>36954.610690256668</v>
      </c>
      <c r="J43" s="26">
        <v>135.17179167704955</v>
      </c>
      <c r="K43" s="26">
        <v>57.5</v>
      </c>
      <c r="L43" s="7">
        <f t="shared" si="16"/>
        <v>7772.3780214303497</v>
      </c>
      <c r="M43" s="2"/>
    </row>
    <row r="44" spans="1:18">
      <c r="A44" s="14" t="s">
        <v>84</v>
      </c>
      <c r="B44" s="24" t="s">
        <v>35</v>
      </c>
      <c r="C44" s="24" t="s">
        <v>65</v>
      </c>
      <c r="D44" s="26">
        <v>43.75</v>
      </c>
      <c r="E44" s="26">
        <v>46.59</v>
      </c>
      <c r="F44" s="7">
        <f t="shared" si="14"/>
        <v>2038.3125000000002</v>
      </c>
      <c r="G44" s="26">
        <v>688.42666666666662</v>
      </c>
      <c r="H44" s="26">
        <v>49.95</v>
      </c>
      <c r="I44" s="7">
        <f t="shared" si="15"/>
        <v>34386.911999999997</v>
      </c>
      <c r="J44" s="26">
        <v>109.8265</v>
      </c>
      <c r="K44" s="26">
        <v>57.5</v>
      </c>
      <c r="L44" s="7">
        <f t="shared" si="16"/>
        <v>6315.0237499999994</v>
      </c>
      <c r="M44" s="2"/>
    </row>
    <row r="45" spans="1:18">
      <c r="A45" s="14" t="s">
        <v>85</v>
      </c>
      <c r="B45" s="24" t="s">
        <v>29</v>
      </c>
      <c r="C45" s="14" t="s">
        <v>67</v>
      </c>
      <c r="D45" s="26">
        <v>63.135559431846495</v>
      </c>
      <c r="E45" s="26">
        <v>46.59</v>
      </c>
      <c r="F45" s="7">
        <f t="shared" si="14"/>
        <v>2941.4857139297283</v>
      </c>
      <c r="G45" s="26">
        <v>174.43309244953898</v>
      </c>
      <c r="H45" s="26">
        <v>49.95</v>
      </c>
      <c r="I45" s="7">
        <f t="shared" si="15"/>
        <v>8712.9329678544727</v>
      </c>
      <c r="J45" s="26">
        <v>35.635297782207829</v>
      </c>
      <c r="K45" s="26">
        <v>57.5</v>
      </c>
      <c r="L45" s="7">
        <f t="shared" si="16"/>
        <v>2049.02962247695</v>
      </c>
      <c r="M45" s="2"/>
    </row>
    <row r="46" spans="1:18">
      <c r="A46" s="14" t="s">
        <v>85</v>
      </c>
      <c r="B46" s="24" t="s">
        <v>29</v>
      </c>
      <c r="C46" s="14" t="s">
        <v>68</v>
      </c>
      <c r="D46" s="26">
        <v>63.135559431846495</v>
      </c>
      <c r="E46" s="26">
        <v>46.59</v>
      </c>
      <c r="F46" s="7">
        <f t="shared" si="14"/>
        <v>2941.4857139297283</v>
      </c>
      <c r="G46" s="26">
        <v>174.43309244953898</v>
      </c>
      <c r="H46" s="26">
        <v>49.95</v>
      </c>
      <c r="I46" s="7">
        <f t="shared" si="15"/>
        <v>8712.9329678544727</v>
      </c>
      <c r="J46" s="26">
        <v>35.635297782207829</v>
      </c>
      <c r="K46" s="26">
        <v>57.5</v>
      </c>
      <c r="L46" s="7">
        <f t="shared" si="16"/>
        <v>2049.02962247695</v>
      </c>
      <c r="M46" s="2"/>
    </row>
    <row r="47" spans="1:18">
      <c r="A47" s="14" t="s">
        <v>86</v>
      </c>
      <c r="B47" s="24" t="s">
        <v>29</v>
      </c>
      <c r="C47" s="14" t="s">
        <v>69</v>
      </c>
      <c r="D47" s="26">
        <v>201.75654124096684</v>
      </c>
      <c r="E47" s="26">
        <v>46.59</v>
      </c>
      <c r="F47" s="7">
        <f t="shared" si="14"/>
        <v>9399.8372564166457</v>
      </c>
      <c r="G47" s="26">
        <v>498.38026414153995</v>
      </c>
      <c r="H47" s="26">
        <v>49.95</v>
      </c>
      <c r="I47" s="7">
        <f t="shared" si="15"/>
        <v>24894.094193869922</v>
      </c>
      <c r="J47" s="26">
        <v>105.020520807376</v>
      </c>
      <c r="K47" s="26">
        <v>57.5</v>
      </c>
      <c r="L47" s="7">
        <f t="shared" si="16"/>
        <v>6038.6799464241203</v>
      </c>
      <c r="M47" s="2"/>
    </row>
    <row r="48" spans="1:18">
      <c r="A48" s="14" t="s">
        <v>96</v>
      </c>
      <c r="B48" s="24" t="s">
        <v>29</v>
      </c>
      <c r="C48" s="14" t="s">
        <v>95</v>
      </c>
      <c r="D48" s="26">
        <v>199.35210565661598</v>
      </c>
      <c r="E48" s="26">
        <v>46.59</v>
      </c>
      <c r="F48" s="7">
        <f t="shared" si="14"/>
        <v>9287.8146025417391</v>
      </c>
      <c r="G48" s="26">
        <v>375.47096934961371</v>
      </c>
      <c r="H48" s="26">
        <v>49.95</v>
      </c>
      <c r="I48" s="7">
        <f t="shared" si="15"/>
        <v>18754.774919013205</v>
      </c>
      <c r="J48" s="26">
        <v>86.223461250934463</v>
      </c>
      <c r="K48" s="26">
        <v>57.5</v>
      </c>
      <c r="L48" s="7">
        <f t="shared" si="16"/>
        <v>4957.8490219287314</v>
      </c>
      <c r="M48" s="27"/>
    </row>
    <row r="49" spans="1:13">
      <c r="A49" s="14" t="s">
        <v>97</v>
      </c>
      <c r="B49" s="24" t="s">
        <v>38</v>
      </c>
      <c r="C49" s="14" t="s">
        <v>94</v>
      </c>
      <c r="D49" s="26">
        <v>996.76052828307991</v>
      </c>
      <c r="E49" s="26">
        <v>46.59</v>
      </c>
      <c r="F49" s="7">
        <f t="shared" si="14"/>
        <v>46439.073012708694</v>
      </c>
      <c r="G49" s="26">
        <v>1993.5210565661598</v>
      </c>
      <c r="H49" s="26">
        <v>49.95</v>
      </c>
      <c r="I49" s="7">
        <f t="shared" si="15"/>
        <v>99576.376775479686</v>
      </c>
      <c r="J49" s="26">
        <v>448.54223772738595</v>
      </c>
      <c r="K49" s="26">
        <v>57.5</v>
      </c>
      <c r="L49" s="7">
        <f t="shared" si="16"/>
        <v>25791.178669324694</v>
      </c>
      <c r="M49" s="27">
        <v>43405</v>
      </c>
    </row>
    <row r="50" spans="1:13">
      <c r="A50" s="14" t="s">
        <v>98</v>
      </c>
      <c r="B50" s="24"/>
      <c r="C50" s="14" t="s">
        <v>99</v>
      </c>
      <c r="D50" s="26">
        <v>249.19013207076998</v>
      </c>
      <c r="E50" s="26">
        <v>46.59</v>
      </c>
      <c r="F50" s="7">
        <f t="shared" si="14"/>
        <v>11609.768253177173</v>
      </c>
      <c r="G50" s="26">
        <v>747.5703962123099</v>
      </c>
      <c r="H50" s="26">
        <v>49.95</v>
      </c>
      <c r="I50" s="7">
        <f t="shared" si="15"/>
        <v>37341.141290804881</v>
      </c>
      <c r="J50" s="26">
        <v>149.514079242462</v>
      </c>
      <c r="K50" s="26">
        <v>57.5</v>
      </c>
      <c r="L50" s="7">
        <f t="shared" si="16"/>
        <v>8597.0595564415653</v>
      </c>
      <c r="M50" s="27">
        <v>43252</v>
      </c>
    </row>
    <row r="51" spans="1:13">
      <c r="A51" s="14" t="s">
        <v>98</v>
      </c>
      <c r="B51" s="24"/>
      <c r="C51" s="14" t="s">
        <v>100</v>
      </c>
      <c r="D51" s="26">
        <v>124.59506603538499</v>
      </c>
      <c r="E51" s="26">
        <v>46.59</v>
      </c>
      <c r="F51" s="7">
        <f t="shared" si="14"/>
        <v>5804.8841265885867</v>
      </c>
      <c r="G51" s="26">
        <v>498.38026414153995</v>
      </c>
      <c r="H51" s="26">
        <v>49.95</v>
      </c>
      <c r="I51" s="7">
        <f t="shared" si="15"/>
        <v>24894.094193869922</v>
      </c>
      <c r="J51" s="26">
        <v>93.446299526538738</v>
      </c>
      <c r="K51" s="26">
        <v>57.5</v>
      </c>
      <c r="L51" s="7">
        <f t="shared" si="16"/>
        <v>5373.1622227759772</v>
      </c>
      <c r="M51" s="27">
        <v>43252</v>
      </c>
    </row>
    <row r="52" spans="1:13">
      <c r="A52" s="14" t="s">
        <v>98</v>
      </c>
      <c r="B52" s="24"/>
      <c r="C52" s="14" t="s">
        <v>101</v>
      </c>
      <c r="D52" s="26">
        <v>124.59506603538499</v>
      </c>
      <c r="E52" s="26">
        <v>46.59</v>
      </c>
      <c r="F52" s="7">
        <f t="shared" si="14"/>
        <v>5804.8841265885867</v>
      </c>
      <c r="G52" s="26">
        <v>498.38026414153995</v>
      </c>
      <c r="H52" s="26">
        <v>49.95</v>
      </c>
      <c r="I52" s="7">
        <f t="shared" si="15"/>
        <v>24894.094193869922</v>
      </c>
      <c r="J52" s="26">
        <v>93.446299526538738</v>
      </c>
      <c r="K52" s="26">
        <v>57.5</v>
      </c>
      <c r="L52" s="7">
        <f t="shared" si="16"/>
        <v>5373.1622227759772</v>
      </c>
      <c r="M52" s="27">
        <v>43252</v>
      </c>
    </row>
    <row r="53" spans="1:13">
      <c r="B53" s="25"/>
      <c r="C53" s="9"/>
      <c r="D53" s="26"/>
      <c r="E53" s="26"/>
      <c r="F53" s="7"/>
      <c r="G53" s="26"/>
      <c r="H53" s="26"/>
      <c r="I53" s="7"/>
      <c r="J53" s="26"/>
      <c r="K53" s="26"/>
      <c r="L53" s="7"/>
      <c r="M53" s="2"/>
    </row>
    <row r="54" spans="1:13">
      <c r="A54" s="15" t="s">
        <v>85</v>
      </c>
      <c r="B54" s="18" t="s">
        <v>29</v>
      </c>
      <c r="C54" s="15" t="s">
        <v>66</v>
      </c>
      <c r="D54" s="26">
        <v>10.601544978818838</v>
      </c>
      <c r="E54" s="26">
        <v>46.59</v>
      </c>
      <c r="F54" s="7">
        <f t="shared" si="14"/>
        <v>493.92598056316967</v>
      </c>
      <c r="G54" s="26">
        <v>0</v>
      </c>
      <c r="H54" s="26">
        <v>49.95</v>
      </c>
      <c r="I54" s="7">
        <f t="shared" si="15"/>
        <v>0</v>
      </c>
      <c r="J54" s="26">
        <v>1.5902317468228255</v>
      </c>
      <c r="K54" s="26">
        <v>57.5</v>
      </c>
      <c r="L54" s="7">
        <f t="shared" si="16"/>
        <v>91.438325442312461</v>
      </c>
      <c r="M54" s="2"/>
    </row>
    <row r="55" spans="1:13">
      <c r="A55" s="15" t="s">
        <v>85</v>
      </c>
      <c r="B55" s="18" t="s">
        <v>36</v>
      </c>
      <c r="C55" s="16" t="s">
        <v>70</v>
      </c>
      <c r="D55" s="26">
        <v>85.016197358584591</v>
      </c>
      <c r="E55" s="26">
        <v>46.59</v>
      </c>
      <c r="F55" s="7">
        <f t="shared" si="14"/>
        <v>3960.9046349364562</v>
      </c>
      <c r="G55" s="26">
        <v>0</v>
      </c>
      <c r="H55" s="26">
        <v>49.95</v>
      </c>
      <c r="I55" s="7">
        <f t="shared" si="15"/>
        <v>0</v>
      </c>
      <c r="J55" s="26">
        <v>12.752429603787688</v>
      </c>
      <c r="K55" s="26">
        <v>57.5</v>
      </c>
      <c r="L55" s="7">
        <f t="shared" si="16"/>
        <v>733.26470221779209</v>
      </c>
      <c r="M55" s="2"/>
    </row>
    <row r="56" spans="1:13">
      <c r="A56" s="16" t="s">
        <v>21</v>
      </c>
      <c r="B56" s="18" t="s">
        <v>36</v>
      </c>
      <c r="C56" s="16" t="s">
        <v>71</v>
      </c>
      <c r="D56" s="26">
        <v>28.842262646399202</v>
      </c>
      <c r="E56" s="26">
        <v>46.59</v>
      </c>
      <c r="F56" s="7">
        <f t="shared" si="14"/>
        <v>1343.761016695739</v>
      </c>
      <c r="G56" s="26">
        <v>0</v>
      </c>
      <c r="H56" s="26">
        <v>49.95</v>
      </c>
      <c r="I56" s="7">
        <f t="shared" si="15"/>
        <v>0</v>
      </c>
      <c r="J56" s="26">
        <v>4.3263393969598809</v>
      </c>
      <c r="K56" s="26">
        <v>57.5</v>
      </c>
      <c r="L56" s="7">
        <f t="shared" si="16"/>
        <v>248.76451532519314</v>
      </c>
      <c r="M56" s="2"/>
    </row>
    <row r="57" spans="1:13">
      <c r="A57" s="15" t="s">
        <v>85</v>
      </c>
      <c r="B57" s="17" t="s">
        <v>26</v>
      </c>
      <c r="C57" s="17" t="s">
        <v>72</v>
      </c>
      <c r="D57" s="26">
        <v>0</v>
      </c>
      <c r="E57" s="26">
        <v>46.59</v>
      </c>
      <c r="F57" s="7">
        <f t="shared" si="14"/>
        <v>0</v>
      </c>
      <c r="G57" s="26">
        <v>0</v>
      </c>
      <c r="H57" s="26">
        <v>49.95</v>
      </c>
      <c r="I57" s="7">
        <f t="shared" si="15"/>
        <v>0</v>
      </c>
      <c r="J57" s="26">
        <v>0</v>
      </c>
      <c r="K57" s="26">
        <v>57.5</v>
      </c>
      <c r="L57" s="7">
        <f t="shared" si="16"/>
        <v>0</v>
      </c>
      <c r="M57" s="2"/>
    </row>
    <row r="58" spans="1:13">
      <c r="A58" s="15" t="s">
        <v>85</v>
      </c>
      <c r="B58" s="18" t="s">
        <v>37</v>
      </c>
      <c r="C58" s="18" t="s">
        <v>73</v>
      </c>
      <c r="D58" s="26">
        <v>0</v>
      </c>
      <c r="E58" s="26">
        <v>46.59</v>
      </c>
      <c r="F58" s="7">
        <f t="shared" si="14"/>
        <v>0</v>
      </c>
      <c r="G58" s="26">
        <v>121.44256167455768</v>
      </c>
      <c r="H58" s="26">
        <v>49.95</v>
      </c>
      <c r="I58" s="7">
        <f t="shared" si="15"/>
        <v>6066.0559556441567</v>
      </c>
      <c r="J58" s="26">
        <v>18.216384251183648</v>
      </c>
      <c r="K58" s="26">
        <v>57.5</v>
      </c>
      <c r="L58" s="7">
        <f t="shared" si="16"/>
        <v>1047.4420944430597</v>
      </c>
      <c r="M58" s="2"/>
    </row>
    <row r="59" spans="1:13">
      <c r="A59" s="15" t="s">
        <v>85</v>
      </c>
      <c r="B59" s="18" t="s">
        <v>37</v>
      </c>
      <c r="C59" s="18" t="s">
        <v>74</v>
      </c>
      <c r="D59" s="26">
        <v>0</v>
      </c>
      <c r="E59" s="26">
        <v>46.59</v>
      </c>
      <c r="F59" s="7">
        <f t="shared" si="14"/>
        <v>0</v>
      </c>
      <c r="G59" s="26">
        <v>0</v>
      </c>
      <c r="H59" s="26">
        <v>49.95</v>
      </c>
      <c r="I59" s="7">
        <f t="shared" si="15"/>
        <v>0</v>
      </c>
      <c r="J59" s="26">
        <v>0</v>
      </c>
      <c r="K59" s="26">
        <v>57.5</v>
      </c>
      <c r="L59" s="7">
        <f t="shared" si="16"/>
        <v>0</v>
      </c>
      <c r="M59" s="2"/>
    </row>
    <row r="60" spans="1:13">
      <c r="A60" s="15" t="s">
        <v>85</v>
      </c>
      <c r="B60" s="18" t="s">
        <v>37</v>
      </c>
      <c r="C60" s="18" t="s">
        <v>75</v>
      </c>
      <c r="D60" s="26">
        <v>0</v>
      </c>
      <c r="E60" s="26">
        <v>46.59</v>
      </c>
      <c r="F60" s="7">
        <f t="shared" si="14"/>
        <v>0</v>
      </c>
      <c r="G60" s="26">
        <v>0</v>
      </c>
      <c r="H60" s="26">
        <v>49.95</v>
      </c>
      <c r="I60" s="7">
        <f t="shared" si="15"/>
        <v>0</v>
      </c>
      <c r="J60" s="26">
        <v>0</v>
      </c>
      <c r="K60" s="26">
        <v>57.5</v>
      </c>
      <c r="L60" s="7">
        <f t="shared" si="16"/>
        <v>0</v>
      </c>
      <c r="M60" s="2"/>
    </row>
    <row r="61" spans="1:13">
      <c r="A61" s="15" t="s">
        <v>85</v>
      </c>
      <c r="B61" s="18" t="s">
        <v>37</v>
      </c>
      <c r="C61" s="18" t="s">
        <v>76</v>
      </c>
      <c r="D61" s="26">
        <v>0</v>
      </c>
      <c r="E61" s="26">
        <v>46.59</v>
      </c>
      <c r="F61" s="7">
        <f t="shared" si="14"/>
        <v>0</v>
      </c>
      <c r="G61" s="26">
        <v>0</v>
      </c>
      <c r="H61" s="26">
        <v>49.95</v>
      </c>
      <c r="I61" s="7">
        <f t="shared" si="15"/>
        <v>0</v>
      </c>
      <c r="J61" s="26">
        <v>0</v>
      </c>
      <c r="K61" s="26">
        <v>57.5</v>
      </c>
      <c r="L61" s="7">
        <f t="shared" si="16"/>
        <v>0</v>
      </c>
      <c r="M61" s="2"/>
    </row>
    <row r="62" spans="1:13">
      <c r="A62" s="15" t="s">
        <v>85</v>
      </c>
      <c r="B62" s="18" t="s">
        <v>38</v>
      </c>
      <c r="C62" s="18" t="s">
        <v>78</v>
      </c>
      <c r="D62" s="26">
        <v>654.49264889110384</v>
      </c>
      <c r="E62" s="26">
        <v>46.59</v>
      </c>
      <c r="F62" s="7">
        <f t="shared" si="14"/>
        <v>30492.812511836531</v>
      </c>
      <c r="G62" s="26">
        <v>747.5703962123099</v>
      </c>
      <c r="H62" s="26">
        <v>49.95</v>
      </c>
      <c r="I62" s="7">
        <f t="shared" si="15"/>
        <v>37341.141290804881</v>
      </c>
      <c r="J62" s="26">
        <v>210.30945676551204</v>
      </c>
      <c r="K62" s="26">
        <v>57.5</v>
      </c>
      <c r="L62" s="7">
        <f t="shared" si="16"/>
        <v>12092.793764016942</v>
      </c>
      <c r="M62" s="2"/>
    </row>
    <row r="63" spans="1:13">
      <c r="A63" s="18" t="s">
        <v>21</v>
      </c>
      <c r="B63" s="18" t="s">
        <v>38</v>
      </c>
      <c r="C63" s="18" t="s">
        <v>77</v>
      </c>
      <c r="D63" s="26">
        <v>25.732369798155993</v>
      </c>
      <c r="E63" s="26">
        <v>46.59</v>
      </c>
      <c r="F63" s="7">
        <f t="shared" si="14"/>
        <v>1198.8711088960879</v>
      </c>
      <c r="G63" s="26">
        <v>0</v>
      </c>
      <c r="H63" s="26">
        <v>49.95</v>
      </c>
      <c r="I63" s="7">
        <f t="shared" si="15"/>
        <v>0</v>
      </c>
      <c r="J63" s="26">
        <v>3.8598554697233989</v>
      </c>
      <c r="K63" s="26">
        <v>57.5</v>
      </c>
      <c r="L63" s="7">
        <f t="shared" si="16"/>
        <v>221.94168950909543</v>
      </c>
      <c r="M63" s="2"/>
    </row>
    <row r="64" spans="1:13">
      <c r="D64" s="38">
        <f>SUM(D41:D63)</f>
        <v>3314.4404020267457</v>
      </c>
      <c r="E64" s="38"/>
      <c r="F64" s="49">
        <f t="shared" ref="F64:L64" si="17">SUM(F41:F63)</f>
        <v>154419.77833042611</v>
      </c>
      <c r="G64" s="38">
        <f t="shared" si="17"/>
        <v>9094.2121465653272</v>
      </c>
      <c r="H64" s="38"/>
      <c r="I64" s="49">
        <f t="shared" si="17"/>
        <v>454255.89672093815</v>
      </c>
      <c r="J64" s="38">
        <f t="shared" si="17"/>
        <v>1861.2978822888113</v>
      </c>
      <c r="K64" s="38"/>
      <c r="L64" s="49">
        <f t="shared" si="17"/>
        <v>107024.62823160666</v>
      </c>
      <c r="M64" s="28"/>
    </row>
    <row r="66" spans="1:16">
      <c r="A66" s="9" t="s">
        <v>109</v>
      </c>
      <c r="B66" s="23"/>
      <c r="C66" s="23"/>
    </row>
    <row r="67" spans="1:16" ht="30" customHeight="1">
      <c r="A67" s="5" t="s">
        <v>11</v>
      </c>
      <c r="B67" s="5" t="s">
        <v>0</v>
      </c>
      <c r="C67" s="5" t="s">
        <v>1</v>
      </c>
      <c r="D67" s="4" t="s">
        <v>3</v>
      </c>
      <c r="E67" s="4" t="s">
        <v>110</v>
      </c>
      <c r="F67" s="4" t="s">
        <v>108</v>
      </c>
      <c r="G67" s="4" t="s">
        <v>2</v>
      </c>
      <c r="H67" s="4" t="s">
        <v>14</v>
      </c>
      <c r="I67" s="4" t="s">
        <v>110</v>
      </c>
      <c r="J67" s="4" t="s">
        <v>108</v>
      </c>
      <c r="K67" s="4" t="s">
        <v>15</v>
      </c>
      <c r="L67" s="4" t="s">
        <v>8</v>
      </c>
      <c r="M67" s="4" t="s">
        <v>110</v>
      </c>
      <c r="N67" s="4" t="s">
        <v>108</v>
      </c>
      <c r="O67" s="4" t="s">
        <v>9</v>
      </c>
      <c r="P67" s="4" t="s">
        <v>10</v>
      </c>
    </row>
    <row r="68" spans="1:16">
      <c r="A68" s="14" t="s">
        <v>84</v>
      </c>
      <c r="B68" s="24" t="s">
        <v>29</v>
      </c>
      <c r="C68" s="14" t="s">
        <v>62</v>
      </c>
      <c r="D68" s="26">
        <v>209.25492150510837</v>
      </c>
      <c r="E68" s="26">
        <f>D68/365*197.5</f>
        <v>113.22697807468192</v>
      </c>
      <c r="F68" s="26">
        <v>46.59</v>
      </c>
      <c r="G68" s="7">
        <f>E68*F68</f>
        <v>5275.2449084994314</v>
      </c>
      <c r="H68" s="26">
        <v>982.79691004236224</v>
      </c>
      <c r="I68" s="26">
        <f>H68/365*197.5</f>
        <v>531.787369132511</v>
      </c>
      <c r="J68" s="26">
        <v>49.95</v>
      </c>
      <c r="K68" s="7">
        <f>I68*J68</f>
        <v>26562.779088168925</v>
      </c>
      <c r="L68" s="26">
        <v>178.80777473212058</v>
      </c>
      <c r="M68" s="26">
        <f>L68/365*197.5</f>
        <v>96.752152081078933</v>
      </c>
      <c r="N68" s="26">
        <v>57.5</v>
      </c>
      <c r="O68" s="7">
        <f>M68*N68</f>
        <v>5563.2487446620389</v>
      </c>
      <c r="P68" s="2"/>
    </row>
    <row r="69" spans="1:16">
      <c r="A69" s="14" t="s">
        <v>84</v>
      </c>
      <c r="B69" s="24" t="s">
        <v>29</v>
      </c>
      <c r="C69" s="14" t="s">
        <v>63</v>
      </c>
      <c r="D69" s="26">
        <v>72.916666666666657</v>
      </c>
      <c r="E69" s="26">
        <f t="shared" ref="E69:E90" si="18">D69/365*197.5</f>
        <v>39.454908675799082</v>
      </c>
      <c r="F69" s="26">
        <v>46.59</v>
      </c>
      <c r="G69" s="7">
        <f t="shared" ref="G69:G90" si="19">E69*F69</f>
        <v>1838.2041952054794</v>
      </c>
      <c r="H69" s="26">
        <v>853.57416666666654</v>
      </c>
      <c r="I69" s="26">
        <f t="shared" ref="I69:I90" si="20">H69/365*197.5</f>
        <v>461.86547374429222</v>
      </c>
      <c r="J69" s="26">
        <v>49.95</v>
      </c>
      <c r="K69" s="7">
        <f>I69*J69</f>
        <v>23070.180413527396</v>
      </c>
      <c r="L69" s="26">
        <v>138.973625</v>
      </c>
      <c r="M69" s="26">
        <f t="shared" ref="M69:M90" si="21">L69/365*197.5</f>
        <v>75.198057363013689</v>
      </c>
      <c r="N69" s="26">
        <v>57.5</v>
      </c>
      <c r="O69" s="7">
        <f t="shared" ref="O69:O90" si="22">M69*N69</f>
        <v>4323.8882983732874</v>
      </c>
      <c r="P69" s="2"/>
    </row>
    <row r="70" spans="1:16">
      <c r="A70" s="14" t="s">
        <v>84</v>
      </c>
      <c r="B70" s="24" t="s">
        <v>29</v>
      </c>
      <c r="C70" s="14" t="s">
        <v>64</v>
      </c>
      <c r="D70" s="26">
        <v>161.31323199601295</v>
      </c>
      <c r="E70" s="26">
        <f t="shared" si="18"/>
        <v>87.285926901952209</v>
      </c>
      <c r="F70" s="26">
        <v>46.59</v>
      </c>
      <c r="G70" s="7">
        <f t="shared" si="19"/>
        <v>4066.6513343619536</v>
      </c>
      <c r="H70" s="26">
        <v>739.83204585098429</v>
      </c>
      <c r="I70" s="26">
        <f t="shared" si="20"/>
        <v>400.32007960429974</v>
      </c>
      <c r="J70" s="26">
        <v>49.95</v>
      </c>
      <c r="K70" s="7">
        <f>I70*J70</f>
        <v>19995.987976234774</v>
      </c>
      <c r="L70" s="26">
        <v>135.17179167704955</v>
      </c>
      <c r="M70" s="26">
        <f t="shared" si="21"/>
        <v>73.140900975937768</v>
      </c>
      <c r="N70" s="26">
        <v>57.5</v>
      </c>
      <c r="O70" s="7">
        <f t="shared" si="22"/>
        <v>4205.6018061164214</v>
      </c>
      <c r="P70" s="2"/>
    </row>
    <row r="71" spans="1:16">
      <c r="A71" s="14" t="s">
        <v>84</v>
      </c>
      <c r="B71" s="24" t="s">
        <v>35</v>
      </c>
      <c r="C71" s="24" t="s">
        <v>65</v>
      </c>
      <c r="D71" s="26">
        <v>43.75</v>
      </c>
      <c r="E71" s="26">
        <f t="shared" si="18"/>
        <v>23.672945205479451</v>
      </c>
      <c r="F71" s="26">
        <v>46.59</v>
      </c>
      <c r="G71" s="7">
        <f t="shared" si="19"/>
        <v>1102.9225171232877</v>
      </c>
      <c r="H71" s="26">
        <v>688.42666666666662</v>
      </c>
      <c r="I71" s="26">
        <f t="shared" si="20"/>
        <v>372.50484018264837</v>
      </c>
      <c r="J71" s="26">
        <v>49.95</v>
      </c>
      <c r="K71" s="7">
        <f t="shared" ref="K71:K90" si="23">I71*J71</f>
        <v>18606.616767123287</v>
      </c>
      <c r="L71" s="26">
        <v>109.8265</v>
      </c>
      <c r="M71" s="26">
        <f t="shared" si="21"/>
        <v>59.426667808219172</v>
      </c>
      <c r="N71" s="26">
        <v>57.5</v>
      </c>
      <c r="O71" s="7">
        <f t="shared" si="22"/>
        <v>3417.0333989726023</v>
      </c>
      <c r="P71" s="2"/>
    </row>
    <row r="72" spans="1:16">
      <c r="A72" s="14" t="s">
        <v>85</v>
      </c>
      <c r="B72" s="24" t="s">
        <v>29</v>
      </c>
      <c r="C72" s="14" t="s">
        <v>67</v>
      </c>
      <c r="D72" s="26">
        <v>63.135559431846495</v>
      </c>
      <c r="E72" s="26">
        <f t="shared" si="18"/>
        <v>34.162391747368993</v>
      </c>
      <c r="F72" s="26">
        <v>46.59</v>
      </c>
      <c r="G72" s="7">
        <f t="shared" si="19"/>
        <v>1591.6258315099215</v>
      </c>
      <c r="H72" s="26">
        <v>174.43309244953898</v>
      </c>
      <c r="I72" s="26">
        <f t="shared" si="20"/>
        <v>94.385029476120394</v>
      </c>
      <c r="J72" s="26">
        <v>49.95</v>
      </c>
      <c r="K72" s="7">
        <f t="shared" si="23"/>
        <v>4714.5322223322137</v>
      </c>
      <c r="L72" s="26">
        <v>35.635297782207829</v>
      </c>
      <c r="M72" s="26">
        <f t="shared" si="21"/>
        <v>19.282113183523414</v>
      </c>
      <c r="N72" s="26">
        <v>57.5</v>
      </c>
      <c r="O72" s="7">
        <f t="shared" si="22"/>
        <v>1108.7215080525964</v>
      </c>
      <c r="P72" s="2"/>
    </row>
    <row r="73" spans="1:16">
      <c r="A73" s="14" t="s">
        <v>85</v>
      </c>
      <c r="B73" s="24" t="s">
        <v>29</v>
      </c>
      <c r="C73" s="14" t="s">
        <v>68</v>
      </c>
      <c r="D73" s="26">
        <v>63.135559431846495</v>
      </c>
      <c r="E73" s="26">
        <f t="shared" si="18"/>
        <v>34.162391747368993</v>
      </c>
      <c r="F73" s="26">
        <v>46.59</v>
      </c>
      <c r="G73" s="7">
        <f t="shared" si="19"/>
        <v>1591.6258315099215</v>
      </c>
      <c r="H73" s="26">
        <v>174.43309244953898</v>
      </c>
      <c r="I73" s="26">
        <f t="shared" si="20"/>
        <v>94.385029476120394</v>
      </c>
      <c r="J73" s="26">
        <v>49.95</v>
      </c>
      <c r="K73" s="7">
        <f t="shared" si="23"/>
        <v>4714.5322223322137</v>
      </c>
      <c r="L73" s="26">
        <v>35.635297782207829</v>
      </c>
      <c r="M73" s="26">
        <f t="shared" si="21"/>
        <v>19.282113183523414</v>
      </c>
      <c r="N73" s="26">
        <v>57.5</v>
      </c>
      <c r="O73" s="7">
        <f t="shared" si="22"/>
        <v>1108.7215080525964</v>
      </c>
      <c r="P73" s="2"/>
    </row>
    <row r="74" spans="1:16">
      <c r="A74" s="14" t="s">
        <v>86</v>
      </c>
      <c r="B74" s="24" t="s">
        <v>29</v>
      </c>
      <c r="C74" s="14" t="s">
        <v>69</v>
      </c>
      <c r="D74" s="26">
        <v>201.75654124096684</v>
      </c>
      <c r="E74" s="26">
        <f t="shared" si="18"/>
        <v>109.1696353290163</v>
      </c>
      <c r="F74" s="26">
        <v>46.59</v>
      </c>
      <c r="G74" s="7">
        <f t="shared" si="19"/>
        <v>5086.2133099788698</v>
      </c>
      <c r="H74" s="26">
        <v>498.38026414153995</v>
      </c>
      <c r="I74" s="26">
        <f t="shared" si="20"/>
        <v>269.67151278891549</v>
      </c>
      <c r="J74" s="26">
        <v>49.95</v>
      </c>
      <c r="K74" s="7">
        <f t="shared" si="23"/>
        <v>13470.092063806329</v>
      </c>
      <c r="L74" s="26">
        <v>105.020520807376</v>
      </c>
      <c r="M74" s="26">
        <f t="shared" si="21"/>
        <v>56.826172217689759</v>
      </c>
      <c r="N74" s="26">
        <v>57.5</v>
      </c>
      <c r="O74" s="7">
        <f t="shared" si="22"/>
        <v>3267.5049025171611</v>
      </c>
      <c r="P74" s="2"/>
    </row>
    <row r="75" spans="1:16">
      <c r="A75" s="14" t="s">
        <v>96</v>
      </c>
      <c r="B75" s="24" t="s">
        <v>29</v>
      </c>
      <c r="C75" s="14" t="s">
        <v>95</v>
      </c>
      <c r="D75" s="26">
        <v>199.35210565661598</v>
      </c>
      <c r="E75" s="26">
        <f t="shared" si="18"/>
        <v>107.86860511556617</v>
      </c>
      <c r="F75" s="26">
        <v>46.59</v>
      </c>
      <c r="G75" s="7">
        <f t="shared" si="19"/>
        <v>5025.5983123342285</v>
      </c>
      <c r="H75" s="26">
        <v>375.47096934961371</v>
      </c>
      <c r="I75" s="26">
        <f t="shared" si="20"/>
        <v>203.16579848369508</v>
      </c>
      <c r="J75" s="26">
        <v>49.95</v>
      </c>
      <c r="K75" s="7">
        <f t="shared" si="23"/>
        <v>10148.13163426057</v>
      </c>
      <c r="L75" s="26">
        <v>86.223461250934463</v>
      </c>
      <c r="M75" s="26">
        <f t="shared" si="21"/>
        <v>46.655160539889195</v>
      </c>
      <c r="N75" s="26">
        <v>57.5</v>
      </c>
      <c r="O75" s="7">
        <f t="shared" si="22"/>
        <v>2682.6717310436288</v>
      </c>
      <c r="P75" s="27"/>
    </row>
    <row r="76" spans="1:16">
      <c r="A76" s="14" t="s">
        <v>97</v>
      </c>
      <c r="B76" s="24" t="s">
        <v>38</v>
      </c>
      <c r="C76" s="14" t="s">
        <v>94</v>
      </c>
      <c r="D76" s="26">
        <v>996.76052828307991</v>
      </c>
      <c r="E76" s="26">
        <f t="shared" si="18"/>
        <v>539.34302557783099</v>
      </c>
      <c r="F76" s="26">
        <v>46.59</v>
      </c>
      <c r="G76" s="7">
        <f t="shared" si="19"/>
        <v>25127.991561671148</v>
      </c>
      <c r="H76" s="26">
        <v>1993.5210565661598</v>
      </c>
      <c r="I76" s="26">
        <f t="shared" si="20"/>
        <v>1078.686051155662</v>
      </c>
      <c r="J76" s="26">
        <v>49.95</v>
      </c>
      <c r="K76" s="7">
        <f t="shared" si="23"/>
        <v>53880.368255225316</v>
      </c>
      <c r="L76" s="26">
        <v>448.54223772738595</v>
      </c>
      <c r="M76" s="26">
        <f t="shared" si="21"/>
        <v>242.70436151002392</v>
      </c>
      <c r="N76" s="26">
        <v>57.5</v>
      </c>
      <c r="O76" s="7">
        <f t="shared" si="22"/>
        <v>13955.500786826375</v>
      </c>
      <c r="P76" s="27">
        <v>43405</v>
      </c>
    </row>
    <row r="77" spans="1:16">
      <c r="A77" s="14" t="s">
        <v>98</v>
      </c>
      <c r="B77" s="24"/>
      <c r="C77" s="14" t="s">
        <v>99</v>
      </c>
      <c r="D77" s="26">
        <v>249.19013207076998</v>
      </c>
      <c r="E77" s="26">
        <f t="shared" si="18"/>
        <v>134.83575639445775</v>
      </c>
      <c r="F77" s="26">
        <v>46.59</v>
      </c>
      <c r="G77" s="7">
        <f t="shared" si="19"/>
        <v>6281.9978904177869</v>
      </c>
      <c r="H77" s="26">
        <v>747.5703962123099</v>
      </c>
      <c r="I77" s="26">
        <f t="shared" si="20"/>
        <v>404.50726918337318</v>
      </c>
      <c r="J77" s="26">
        <v>49.95</v>
      </c>
      <c r="K77" s="7">
        <f t="shared" si="23"/>
        <v>20205.138095709492</v>
      </c>
      <c r="L77" s="26">
        <v>149.514079242462</v>
      </c>
      <c r="M77" s="26">
        <f t="shared" si="21"/>
        <v>80.901453836674648</v>
      </c>
      <c r="N77" s="26">
        <v>57.5</v>
      </c>
      <c r="O77" s="7">
        <f t="shared" si="22"/>
        <v>4651.8335956087922</v>
      </c>
      <c r="P77" s="27">
        <v>43252</v>
      </c>
    </row>
    <row r="78" spans="1:16">
      <c r="A78" s="14" t="s">
        <v>98</v>
      </c>
      <c r="B78" s="24"/>
      <c r="C78" s="14" t="s">
        <v>100</v>
      </c>
      <c r="D78" s="26">
        <v>124.59506603538499</v>
      </c>
      <c r="E78" s="26">
        <f t="shared" si="18"/>
        <v>67.417878197228873</v>
      </c>
      <c r="F78" s="26">
        <v>46.59</v>
      </c>
      <c r="G78" s="7">
        <f t="shared" si="19"/>
        <v>3140.9989452088935</v>
      </c>
      <c r="H78" s="26">
        <v>498.38026414153995</v>
      </c>
      <c r="I78" s="26">
        <f t="shared" si="20"/>
        <v>269.67151278891549</v>
      </c>
      <c r="J78" s="26">
        <v>49.95</v>
      </c>
      <c r="K78" s="7">
        <f t="shared" si="23"/>
        <v>13470.092063806329</v>
      </c>
      <c r="L78" s="26">
        <v>93.446299526538738</v>
      </c>
      <c r="M78" s="26">
        <f t="shared" si="21"/>
        <v>50.563408647921648</v>
      </c>
      <c r="N78" s="26">
        <v>57.5</v>
      </c>
      <c r="O78" s="7">
        <f t="shared" si="22"/>
        <v>2907.3959972554949</v>
      </c>
      <c r="P78" s="27">
        <v>43252</v>
      </c>
    </row>
    <row r="79" spans="1:16">
      <c r="A79" s="14" t="s">
        <v>98</v>
      </c>
      <c r="B79" s="24"/>
      <c r="C79" s="14" t="s">
        <v>101</v>
      </c>
      <c r="D79" s="26">
        <v>124.59506603538499</v>
      </c>
      <c r="E79" s="26">
        <f t="shared" si="18"/>
        <v>67.417878197228873</v>
      </c>
      <c r="F79" s="26">
        <v>46.59</v>
      </c>
      <c r="G79" s="7">
        <f t="shared" si="19"/>
        <v>3140.9989452088935</v>
      </c>
      <c r="H79" s="26">
        <v>498.38026414153995</v>
      </c>
      <c r="I79" s="26">
        <f t="shared" si="20"/>
        <v>269.67151278891549</v>
      </c>
      <c r="J79" s="26">
        <v>49.95</v>
      </c>
      <c r="K79" s="7">
        <f t="shared" si="23"/>
        <v>13470.092063806329</v>
      </c>
      <c r="L79" s="26">
        <v>93.446299526538738</v>
      </c>
      <c r="M79" s="26">
        <f t="shared" si="21"/>
        <v>50.563408647921648</v>
      </c>
      <c r="N79" s="26">
        <v>57.5</v>
      </c>
      <c r="O79" s="7">
        <f t="shared" si="22"/>
        <v>2907.3959972554949</v>
      </c>
      <c r="P79" s="27">
        <v>43252</v>
      </c>
    </row>
    <row r="80" spans="1:16">
      <c r="B80" s="25"/>
      <c r="C80" s="9"/>
      <c r="D80" s="26"/>
      <c r="E80" s="26"/>
      <c r="F80" s="26"/>
      <c r="G80" s="7"/>
      <c r="H80" s="26"/>
      <c r="I80" s="26"/>
      <c r="K80" s="7"/>
      <c r="L80" s="26"/>
      <c r="M80" s="26"/>
      <c r="N80" s="26"/>
      <c r="O80" s="7"/>
      <c r="P80" s="2"/>
    </row>
    <row r="81" spans="1:18">
      <c r="A81" s="15" t="s">
        <v>85</v>
      </c>
      <c r="B81" s="18" t="s">
        <v>29</v>
      </c>
      <c r="C81" s="15" t="s">
        <v>66</v>
      </c>
      <c r="D81" s="26">
        <v>10.601544978818838</v>
      </c>
      <c r="E81" s="26">
        <f t="shared" si="18"/>
        <v>5.7364524200458096</v>
      </c>
      <c r="F81" s="26">
        <v>46.59</v>
      </c>
      <c r="G81" s="7">
        <f t="shared" si="19"/>
        <v>267.26131824993428</v>
      </c>
      <c r="H81" s="26">
        <v>0</v>
      </c>
      <c r="I81" s="26">
        <f t="shared" si="20"/>
        <v>0</v>
      </c>
      <c r="J81" s="26">
        <v>49.95</v>
      </c>
      <c r="K81" s="7">
        <f t="shared" si="23"/>
        <v>0</v>
      </c>
      <c r="L81" s="26">
        <v>1.5902317468228255</v>
      </c>
      <c r="M81" s="26">
        <f t="shared" si="21"/>
        <v>0.86046786300687128</v>
      </c>
      <c r="N81" s="26">
        <v>57.5</v>
      </c>
      <c r="O81" s="7">
        <f t="shared" si="22"/>
        <v>49.476902122895098</v>
      </c>
      <c r="P81" s="2"/>
    </row>
    <row r="82" spans="1:18">
      <c r="A82" s="15" t="s">
        <v>85</v>
      </c>
      <c r="B82" s="18" t="s">
        <v>36</v>
      </c>
      <c r="C82" s="16" t="s">
        <v>70</v>
      </c>
      <c r="D82" s="26">
        <v>85.016197358584591</v>
      </c>
      <c r="E82" s="26">
        <f t="shared" si="18"/>
        <v>46.001915009097139</v>
      </c>
      <c r="F82" s="26">
        <v>46.59</v>
      </c>
      <c r="G82" s="7">
        <f t="shared" si="19"/>
        <v>2143.2292202738358</v>
      </c>
      <c r="H82" s="26">
        <v>0</v>
      </c>
      <c r="I82" s="26">
        <f t="shared" si="20"/>
        <v>0</v>
      </c>
      <c r="J82" s="26">
        <v>49.95</v>
      </c>
      <c r="K82" s="7">
        <f t="shared" si="23"/>
        <v>0</v>
      </c>
      <c r="L82" s="26">
        <v>12.752429603787688</v>
      </c>
      <c r="M82" s="26">
        <f t="shared" si="21"/>
        <v>6.9002872513645714</v>
      </c>
      <c r="N82" s="26">
        <v>57.5</v>
      </c>
      <c r="O82" s="7">
        <f t="shared" si="22"/>
        <v>396.76651695346288</v>
      </c>
      <c r="P82" s="2"/>
    </row>
    <row r="83" spans="1:18">
      <c r="A83" s="16" t="s">
        <v>21</v>
      </c>
      <c r="B83" s="18" t="s">
        <v>36</v>
      </c>
      <c r="C83" s="16" t="s">
        <v>71</v>
      </c>
      <c r="D83" s="26">
        <v>28.842262646399202</v>
      </c>
      <c r="E83" s="26">
        <f t="shared" si="18"/>
        <v>15.606429788120115</v>
      </c>
      <c r="F83" s="26">
        <v>46.59</v>
      </c>
      <c r="G83" s="7">
        <f t="shared" si="19"/>
        <v>727.10356382851626</v>
      </c>
      <c r="H83" s="26">
        <v>0</v>
      </c>
      <c r="I83" s="26">
        <f t="shared" si="20"/>
        <v>0</v>
      </c>
      <c r="J83" s="26">
        <v>49.95</v>
      </c>
      <c r="K83" s="7">
        <f t="shared" si="23"/>
        <v>0</v>
      </c>
      <c r="L83" s="26">
        <v>4.3263393969598809</v>
      </c>
      <c r="M83" s="26">
        <f t="shared" si="21"/>
        <v>2.3409644682180177</v>
      </c>
      <c r="N83" s="26">
        <v>57.5</v>
      </c>
      <c r="O83" s="7">
        <f t="shared" si="22"/>
        <v>134.60545692253601</v>
      </c>
      <c r="P83" s="2"/>
    </row>
    <row r="84" spans="1:18">
      <c r="A84" s="15" t="s">
        <v>85</v>
      </c>
      <c r="B84" s="17" t="s">
        <v>26</v>
      </c>
      <c r="C84" s="17" t="s">
        <v>72</v>
      </c>
      <c r="D84" s="26">
        <v>0</v>
      </c>
      <c r="E84" s="26">
        <f t="shared" si="18"/>
        <v>0</v>
      </c>
      <c r="F84" s="26">
        <v>46.59</v>
      </c>
      <c r="G84" s="7">
        <f t="shared" si="19"/>
        <v>0</v>
      </c>
      <c r="H84" s="26">
        <v>0</v>
      </c>
      <c r="I84" s="26">
        <f t="shared" si="20"/>
        <v>0</v>
      </c>
      <c r="J84" s="26">
        <v>49.95</v>
      </c>
      <c r="K84" s="7">
        <f t="shared" si="23"/>
        <v>0</v>
      </c>
      <c r="L84" s="26">
        <v>0</v>
      </c>
      <c r="M84" s="26">
        <f t="shared" si="21"/>
        <v>0</v>
      </c>
      <c r="N84" s="26">
        <v>57.5</v>
      </c>
      <c r="O84" s="7">
        <f t="shared" si="22"/>
        <v>0</v>
      </c>
      <c r="P84" s="2"/>
    </row>
    <row r="85" spans="1:18">
      <c r="A85" s="15" t="s">
        <v>85</v>
      </c>
      <c r="B85" s="18" t="s">
        <v>37</v>
      </c>
      <c r="C85" s="18" t="s">
        <v>73</v>
      </c>
      <c r="D85" s="26">
        <v>0</v>
      </c>
      <c r="E85" s="26">
        <f t="shared" si="18"/>
        <v>0</v>
      </c>
      <c r="F85" s="26">
        <v>46.59</v>
      </c>
      <c r="G85" s="7">
        <f t="shared" si="19"/>
        <v>0</v>
      </c>
      <c r="H85" s="26">
        <v>121.44256167455768</v>
      </c>
      <c r="I85" s="26">
        <f t="shared" si="20"/>
        <v>65.712071043082588</v>
      </c>
      <c r="J85" s="26">
        <v>49.95</v>
      </c>
      <c r="K85" s="7">
        <f t="shared" si="23"/>
        <v>3282.3179486019753</v>
      </c>
      <c r="L85" s="26">
        <v>18.216384251183648</v>
      </c>
      <c r="M85" s="26">
        <f t="shared" si="21"/>
        <v>9.8568106564623843</v>
      </c>
      <c r="N85" s="26">
        <v>57.5</v>
      </c>
      <c r="O85" s="7">
        <f t="shared" si="22"/>
        <v>566.76661274658704</v>
      </c>
      <c r="P85" s="2"/>
    </row>
    <row r="86" spans="1:18">
      <c r="A86" s="15" t="s">
        <v>85</v>
      </c>
      <c r="B86" s="18" t="s">
        <v>37</v>
      </c>
      <c r="C86" s="18" t="s">
        <v>74</v>
      </c>
      <c r="D86" s="26">
        <v>0</v>
      </c>
      <c r="E86" s="26">
        <f t="shared" si="18"/>
        <v>0</v>
      </c>
      <c r="F86" s="26">
        <v>46.59</v>
      </c>
      <c r="G86" s="7">
        <f t="shared" si="19"/>
        <v>0</v>
      </c>
      <c r="H86" s="26">
        <v>0</v>
      </c>
      <c r="I86" s="26">
        <f t="shared" si="20"/>
        <v>0</v>
      </c>
      <c r="J86" s="26">
        <v>49.95</v>
      </c>
      <c r="K86" s="7">
        <f t="shared" si="23"/>
        <v>0</v>
      </c>
      <c r="L86" s="26">
        <v>0</v>
      </c>
      <c r="M86" s="26">
        <f t="shared" si="21"/>
        <v>0</v>
      </c>
      <c r="N86" s="26">
        <v>57.5</v>
      </c>
      <c r="O86" s="7">
        <f t="shared" si="22"/>
        <v>0</v>
      </c>
      <c r="P86" s="2"/>
    </row>
    <row r="87" spans="1:18">
      <c r="A87" s="15" t="s">
        <v>85</v>
      </c>
      <c r="B87" s="18" t="s">
        <v>37</v>
      </c>
      <c r="C87" s="18" t="s">
        <v>75</v>
      </c>
      <c r="D87" s="26">
        <v>0</v>
      </c>
      <c r="E87" s="26">
        <f t="shared" si="18"/>
        <v>0</v>
      </c>
      <c r="F87" s="26">
        <v>46.59</v>
      </c>
      <c r="G87" s="7">
        <f t="shared" si="19"/>
        <v>0</v>
      </c>
      <c r="H87" s="26">
        <v>0</v>
      </c>
      <c r="I87" s="26">
        <f t="shared" si="20"/>
        <v>0</v>
      </c>
      <c r="J87" s="26">
        <v>49.95</v>
      </c>
      <c r="K87" s="7">
        <f t="shared" si="23"/>
        <v>0</v>
      </c>
      <c r="L87" s="26">
        <v>0</v>
      </c>
      <c r="M87" s="26">
        <f t="shared" si="21"/>
        <v>0</v>
      </c>
      <c r="N87" s="26">
        <v>57.5</v>
      </c>
      <c r="O87" s="7">
        <f t="shared" si="22"/>
        <v>0</v>
      </c>
      <c r="P87" s="2"/>
    </row>
    <row r="88" spans="1:18">
      <c r="A88" s="15" t="s">
        <v>85</v>
      </c>
      <c r="B88" s="18" t="s">
        <v>37</v>
      </c>
      <c r="C88" s="18" t="s">
        <v>76</v>
      </c>
      <c r="D88" s="26">
        <v>0</v>
      </c>
      <c r="E88" s="26">
        <f t="shared" si="18"/>
        <v>0</v>
      </c>
      <c r="F88" s="26">
        <v>46.59</v>
      </c>
      <c r="G88" s="7">
        <f t="shared" si="19"/>
        <v>0</v>
      </c>
      <c r="H88" s="26">
        <v>0</v>
      </c>
      <c r="I88" s="26">
        <f t="shared" si="20"/>
        <v>0</v>
      </c>
      <c r="J88" s="26">
        <v>49.95</v>
      </c>
      <c r="K88" s="7">
        <f t="shared" si="23"/>
        <v>0</v>
      </c>
      <c r="L88" s="26">
        <v>0</v>
      </c>
      <c r="M88" s="26">
        <f t="shared" si="21"/>
        <v>0</v>
      </c>
      <c r="N88" s="26">
        <v>57.5</v>
      </c>
      <c r="O88" s="7">
        <f t="shared" si="22"/>
        <v>0</v>
      </c>
      <c r="P88" s="2"/>
    </row>
    <row r="89" spans="1:18">
      <c r="A89" s="15" t="s">
        <v>85</v>
      </c>
      <c r="B89" s="18" t="s">
        <v>38</v>
      </c>
      <c r="C89" s="18" t="s">
        <v>78</v>
      </c>
      <c r="D89" s="26">
        <v>654.49264889110384</v>
      </c>
      <c r="E89" s="26">
        <f t="shared" si="18"/>
        <v>354.14328261915892</v>
      </c>
      <c r="F89" s="26">
        <v>46.59</v>
      </c>
      <c r="G89" s="7">
        <f t="shared" si="19"/>
        <v>16499.535537226617</v>
      </c>
      <c r="H89" s="26">
        <v>747.5703962123099</v>
      </c>
      <c r="I89" s="26">
        <f t="shared" si="20"/>
        <v>404.50726918337318</v>
      </c>
      <c r="J89" s="26">
        <v>49.95</v>
      </c>
      <c r="K89" s="7">
        <f t="shared" si="23"/>
        <v>20205.138095709492</v>
      </c>
      <c r="L89" s="26">
        <v>210.30945676551204</v>
      </c>
      <c r="M89" s="26">
        <f t="shared" si="21"/>
        <v>113.7975827703798</v>
      </c>
      <c r="N89" s="26">
        <v>57.5</v>
      </c>
      <c r="O89" s="7">
        <f t="shared" si="22"/>
        <v>6543.3610092968383</v>
      </c>
      <c r="P89" s="2"/>
    </row>
    <row r="90" spans="1:18">
      <c r="A90" s="18" t="s">
        <v>21</v>
      </c>
      <c r="B90" s="18" t="s">
        <v>38</v>
      </c>
      <c r="C90" s="18" t="s">
        <v>77</v>
      </c>
      <c r="D90" s="26">
        <v>25.732369798155993</v>
      </c>
      <c r="E90" s="26">
        <f t="shared" si="18"/>
        <v>13.923679548317285</v>
      </c>
      <c r="F90" s="26">
        <v>46.59</v>
      </c>
      <c r="G90" s="7">
        <f t="shared" si="19"/>
        <v>648.70423015610231</v>
      </c>
      <c r="H90" s="26">
        <v>0</v>
      </c>
      <c r="I90" s="26">
        <f t="shared" si="20"/>
        <v>0</v>
      </c>
      <c r="J90" s="26">
        <v>49.95</v>
      </c>
      <c r="K90" s="7">
        <f t="shared" si="23"/>
        <v>0</v>
      </c>
      <c r="L90" s="26">
        <v>3.8598554697233989</v>
      </c>
      <c r="M90" s="26">
        <f t="shared" si="21"/>
        <v>2.0885519322475923</v>
      </c>
      <c r="N90" s="26">
        <v>57.5</v>
      </c>
      <c r="O90" s="7">
        <f t="shared" si="22"/>
        <v>120.09173610423656</v>
      </c>
      <c r="P90" s="2"/>
    </row>
    <row r="91" spans="1:18">
      <c r="D91" s="38"/>
      <c r="E91" s="38">
        <f t="shared" ref="E91:O91" si="24">SUM(E68:E90)</f>
        <v>1793.4300805487189</v>
      </c>
      <c r="F91" s="38"/>
      <c r="G91" s="49">
        <f t="shared" si="24"/>
        <v>83555.907452764804</v>
      </c>
      <c r="H91" s="38"/>
      <c r="I91" s="38">
        <f t="shared" si="24"/>
        <v>4920.8408190319251</v>
      </c>
      <c r="J91" s="38"/>
      <c r="K91" s="49">
        <f t="shared" si="24"/>
        <v>245795.99891064467</v>
      </c>
      <c r="L91" s="38"/>
      <c r="M91" s="38">
        <f t="shared" si="24"/>
        <v>1007.1406349370964</v>
      </c>
      <c r="N91" s="38"/>
      <c r="O91" s="49">
        <f t="shared" si="24"/>
        <v>57910.58650888304</v>
      </c>
    </row>
    <row r="92" spans="1:18" ht="15.5">
      <c r="A92" s="30" t="s">
        <v>104</v>
      </c>
      <c r="B92" s="30" t="s">
        <v>105</v>
      </c>
      <c r="C92" s="31">
        <v>582484.78279125004</v>
      </c>
      <c r="D92" s="31">
        <f>+C92*3</f>
        <v>1747454.3483737502</v>
      </c>
      <c r="E92" s="31"/>
      <c r="F92" s="31"/>
      <c r="G92" s="31">
        <f t="shared" ref="G92" si="25">+D92/36*M92*0.25</f>
        <v>24270.199282968752</v>
      </c>
      <c r="H92" s="31">
        <v>0</v>
      </c>
      <c r="I92" s="31"/>
      <c r="J92" s="32">
        <f t="shared" ref="J92" si="26">+D92+G92+H92</f>
        <v>1771724.5476567189</v>
      </c>
      <c r="K92" s="33" t="s">
        <v>106</v>
      </c>
      <c r="L92" s="33"/>
      <c r="M92" s="34">
        <v>2</v>
      </c>
      <c r="N92" s="35">
        <v>43101</v>
      </c>
      <c r="O92" s="35">
        <v>43236</v>
      </c>
      <c r="P92" s="36">
        <v>43236</v>
      </c>
      <c r="Q92" s="36">
        <v>43297</v>
      </c>
      <c r="R92" s="37"/>
    </row>
    <row r="93" spans="1:18" ht="15.5">
      <c r="A93" s="25"/>
      <c r="B93" s="25"/>
      <c r="C93" s="42"/>
      <c r="D93" s="42"/>
      <c r="E93" s="42"/>
      <c r="F93" s="42"/>
      <c r="G93" s="42"/>
      <c r="H93" s="42"/>
      <c r="I93" s="42"/>
      <c r="J93" s="43"/>
      <c r="K93" s="44"/>
      <c r="L93" s="44"/>
      <c r="M93" s="45"/>
      <c r="N93" s="46"/>
      <c r="O93" s="46"/>
      <c r="P93" s="47"/>
      <c r="Q93" s="47"/>
      <c r="R93" s="48"/>
    </row>
    <row r="94" spans="1:18" ht="15.5">
      <c r="A94" s="25"/>
      <c r="B94" s="25"/>
      <c r="C94" s="42"/>
      <c r="D94" s="42"/>
      <c r="F94" s="50" t="s">
        <v>112</v>
      </c>
      <c r="G94" s="50" t="s">
        <v>113</v>
      </c>
      <c r="I94" s="42"/>
      <c r="J94" s="43"/>
      <c r="K94" s="44"/>
      <c r="L94" s="44"/>
      <c r="M94" s="45"/>
      <c r="N94" s="46"/>
      <c r="O94" s="46"/>
      <c r="P94" s="47"/>
      <c r="Q94" s="47"/>
      <c r="R94" s="48"/>
    </row>
    <row r="95" spans="1:18" ht="15.5">
      <c r="A95" s="25"/>
      <c r="B95" s="25"/>
      <c r="C95" s="42"/>
      <c r="D95" s="42"/>
      <c r="E95" s="51">
        <v>2018</v>
      </c>
      <c r="F95" s="52">
        <f>G91+K91+O91</f>
        <v>387262.49287229253</v>
      </c>
      <c r="G95" s="52">
        <f>G92</f>
        <v>24270.199282968752</v>
      </c>
      <c r="I95" s="42"/>
      <c r="J95" s="43"/>
      <c r="K95" s="44"/>
      <c r="L95" s="44"/>
      <c r="M95" s="45"/>
      <c r="N95" s="46"/>
      <c r="O95" s="46"/>
      <c r="P95" s="47"/>
      <c r="Q95" s="47"/>
      <c r="R95" s="48"/>
    </row>
    <row r="96" spans="1:18" ht="15.5">
      <c r="A96" s="25"/>
      <c r="B96" s="25"/>
      <c r="C96" s="42"/>
      <c r="D96" s="42"/>
      <c r="E96" s="51">
        <v>2019</v>
      </c>
      <c r="F96" s="52">
        <f>F64+I64+L64</f>
        <v>715700.30328297091</v>
      </c>
      <c r="I96" s="42"/>
      <c r="J96" s="43"/>
      <c r="K96" s="44"/>
      <c r="L96" s="44"/>
      <c r="M96" s="45"/>
      <c r="N96" s="46"/>
      <c r="O96" s="46"/>
      <c r="P96" s="47"/>
      <c r="Q96" s="47"/>
      <c r="R96" s="48"/>
    </row>
    <row r="97" spans="1:18" ht="15.5">
      <c r="A97" s="25"/>
      <c r="B97" s="25"/>
      <c r="C97" s="42"/>
      <c r="D97" s="42"/>
      <c r="E97" s="51">
        <v>2020</v>
      </c>
      <c r="F97" s="52">
        <f>F64+I64+L64</f>
        <v>715700.30328297091</v>
      </c>
      <c r="I97" s="42"/>
      <c r="J97" s="43"/>
      <c r="K97" s="44"/>
      <c r="L97" s="44"/>
      <c r="M97" s="45"/>
      <c r="N97" s="46"/>
      <c r="O97" s="46"/>
      <c r="P97" s="47"/>
      <c r="Q97" s="47"/>
      <c r="R97" s="48"/>
    </row>
    <row r="98" spans="1:18" ht="15.5">
      <c r="A98" s="25"/>
      <c r="B98" s="25"/>
      <c r="C98" s="42"/>
      <c r="D98" s="42"/>
      <c r="E98" s="51">
        <v>2021</v>
      </c>
      <c r="F98" s="52">
        <f>F64+I64+L64</f>
        <v>715700.30328297091</v>
      </c>
      <c r="I98" s="42"/>
      <c r="J98" s="43"/>
      <c r="K98" s="44"/>
      <c r="L98" s="44"/>
      <c r="M98" s="45"/>
      <c r="N98" s="46"/>
      <c r="O98" s="46"/>
      <c r="P98" s="47"/>
      <c r="Q98" s="47"/>
      <c r="R98" s="48"/>
    </row>
    <row r="99" spans="1:18" ht="15.5">
      <c r="A99" s="25"/>
      <c r="B99" s="25"/>
      <c r="C99" s="42"/>
      <c r="D99" s="42"/>
      <c r="F99" s="53">
        <f>SUM(F95:F98)</f>
        <v>2534363.4027212053</v>
      </c>
      <c r="G99" s="53">
        <f>SUM(G95:G98)</f>
        <v>24270.199282968752</v>
      </c>
      <c r="H99" s="54">
        <f>F99+G99</f>
        <v>2558633.6020041741</v>
      </c>
      <c r="I99" s="42"/>
      <c r="J99" s="43"/>
      <c r="K99" s="44"/>
      <c r="L99" s="44"/>
      <c r="M99" s="45"/>
      <c r="N99" s="46"/>
      <c r="O99" s="46"/>
      <c r="P99" s="47"/>
      <c r="Q99" s="47"/>
      <c r="R99" s="48"/>
    </row>
    <row r="100" spans="1:18" ht="15.5">
      <c r="A100" s="25"/>
      <c r="B100" s="25"/>
      <c r="C100" s="42"/>
      <c r="D100" s="42"/>
      <c r="E100" s="42"/>
      <c r="F100" s="42"/>
      <c r="G100" s="42"/>
      <c r="H100" s="42"/>
      <c r="I100" s="42"/>
      <c r="J100" s="43"/>
      <c r="K100" s="44"/>
      <c r="L100" s="44"/>
      <c r="M100" s="45"/>
      <c r="N100" s="46"/>
      <c r="O100" s="46"/>
      <c r="P100" s="47"/>
      <c r="Q100" s="47"/>
      <c r="R100" s="48"/>
    </row>
    <row r="101" spans="1:18" ht="15.5">
      <c r="A101" s="25"/>
      <c r="B101" s="25"/>
      <c r="C101" s="42"/>
      <c r="D101" s="42"/>
      <c r="E101" s="42"/>
      <c r="F101" s="42"/>
      <c r="G101" s="42"/>
      <c r="H101" s="42"/>
      <c r="I101" s="42"/>
      <c r="J101" s="43"/>
      <c r="K101" s="44"/>
      <c r="L101" s="44"/>
      <c r="M101" s="45"/>
      <c r="N101" s="46"/>
      <c r="O101" s="46"/>
      <c r="P101" s="47"/>
      <c r="Q101" s="47"/>
      <c r="R101" s="48"/>
    </row>
    <row r="102" spans="1:18" ht="15.5">
      <c r="A102" s="25"/>
      <c r="B102" s="25"/>
      <c r="C102" s="42"/>
      <c r="D102" s="42"/>
      <c r="E102" s="42"/>
      <c r="F102" s="42"/>
      <c r="G102" s="42"/>
      <c r="H102" s="42"/>
      <c r="I102" s="42"/>
      <c r="J102" s="43"/>
      <c r="K102" s="44"/>
      <c r="L102" s="44"/>
      <c r="M102" s="45"/>
      <c r="N102" s="46"/>
      <c r="O102" s="46"/>
      <c r="P102" s="47"/>
      <c r="Q102" s="47"/>
      <c r="R102" s="48"/>
    </row>
    <row r="103" spans="1:18" ht="15.5">
      <c r="A103" s="25"/>
      <c r="B103" s="25"/>
      <c r="C103" s="42"/>
      <c r="D103" s="42"/>
      <c r="E103" s="42"/>
      <c r="F103" s="42"/>
      <c r="G103" s="42"/>
      <c r="H103" s="42"/>
      <c r="I103" s="42"/>
      <c r="J103" s="43"/>
      <c r="K103" s="44"/>
      <c r="L103" s="44"/>
      <c r="M103" s="45"/>
      <c r="N103" s="46"/>
      <c r="O103" s="46"/>
      <c r="P103" s="47"/>
      <c r="Q103" s="47"/>
      <c r="R103" s="48"/>
    </row>
    <row r="104" spans="1:18">
      <c r="A104" t="s">
        <v>92</v>
      </c>
    </row>
    <row r="105" spans="1:18">
      <c r="A105" s="8" t="s">
        <v>16</v>
      </c>
      <c r="B105" s="19" t="s">
        <v>23</v>
      </c>
      <c r="C105" s="8" t="s">
        <v>40</v>
      </c>
      <c r="D105" s="2"/>
      <c r="E105" s="2"/>
      <c r="F105" s="2"/>
      <c r="G105" s="7">
        <v>6000</v>
      </c>
      <c r="H105" s="2"/>
      <c r="I105" s="2"/>
      <c r="J105" s="7"/>
      <c r="K105" s="2"/>
      <c r="L105" s="2"/>
      <c r="M105" s="7"/>
      <c r="N105" s="2"/>
    </row>
    <row r="106" spans="1:18">
      <c r="A106" s="8" t="s">
        <v>16</v>
      </c>
      <c r="B106" s="19" t="s">
        <v>23</v>
      </c>
      <c r="C106" s="8" t="s">
        <v>41</v>
      </c>
      <c r="D106" s="2"/>
      <c r="E106" s="2"/>
      <c r="F106" s="2"/>
      <c r="G106" s="7">
        <v>11459.83</v>
      </c>
      <c r="H106" s="2"/>
      <c r="I106" s="2"/>
      <c r="J106" s="7"/>
      <c r="K106" s="2"/>
      <c r="L106" s="2"/>
      <c r="M106" s="7"/>
      <c r="N106" s="2"/>
    </row>
    <row r="107" spans="1:18">
      <c r="A107" s="8" t="s">
        <v>16</v>
      </c>
      <c r="B107" s="19" t="s">
        <v>23</v>
      </c>
      <c r="C107" s="8" t="s">
        <v>42</v>
      </c>
      <c r="D107" s="2"/>
      <c r="E107" s="2"/>
      <c r="F107" s="2"/>
      <c r="G107" s="7">
        <v>21244.99</v>
      </c>
      <c r="H107" s="2"/>
      <c r="I107" s="2"/>
      <c r="J107" s="7"/>
      <c r="K107" s="2"/>
      <c r="L107" s="2"/>
      <c r="M107" s="7"/>
      <c r="N107" s="2"/>
    </row>
    <row r="108" spans="1:18">
      <c r="A108" s="8" t="s">
        <v>16</v>
      </c>
      <c r="B108" s="20" t="s">
        <v>24</v>
      </c>
      <c r="C108" s="20" t="s">
        <v>43</v>
      </c>
      <c r="D108" s="2"/>
      <c r="E108" s="2"/>
      <c r="F108" s="2"/>
      <c r="G108" s="7">
        <v>60000</v>
      </c>
      <c r="H108" s="2"/>
      <c r="I108" s="2"/>
      <c r="J108" s="7"/>
      <c r="K108" s="2"/>
      <c r="L108" s="2"/>
      <c r="M108" s="7"/>
      <c r="N108" s="2"/>
    </row>
    <row r="109" spans="1:18">
      <c r="A109" s="8" t="s">
        <v>16</v>
      </c>
      <c r="B109" s="8" t="s">
        <v>81</v>
      </c>
      <c r="C109" s="20"/>
      <c r="D109" s="2"/>
      <c r="E109" s="2"/>
      <c r="F109" s="2"/>
      <c r="G109" s="7">
        <v>170000</v>
      </c>
      <c r="H109" s="2"/>
      <c r="I109" s="2"/>
      <c r="J109" s="7"/>
      <c r="K109" s="2"/>
      <c r="L109" s="2"/>
      <c r="M109" s="7"/>
      <c r="N109" s="2"/>
    </row>
    <row r="110" spans="1:18">
      <c r="A110" s="8" t="s">
        <v>16</v>
      </c>
      <c r="B110" s="8" t="s">
        <v>82</v>
      </c>
      <c r="C110" s="20"/>
      <c r="D110" s="2"/>
      <c r="E110" s="2"/>
      <c r="F110" s="2"/>
      <c r="G110" s="7">
        <v>44000</v>
      </c>
      <c r="H110" s="2"/>
      <c r="I110" s="2"/>
      <c r="J110" s="7"/>
      <c r="K110" s="2"/>
      <c r="L110" s="2"/>
      <c r="M110" s="7"/>
      <c r="N110" s="2"/>
    </row>
    <row r="111" spans="1:18">
      <c r="A111" s="8" t="s">
        <v>16</v>
      </c>
      <c r="B111" s="8" t="s">
        <v>83</v>
      </c>
      <c r="C111" s="20"/>
      <c r="D111" s="2"/>
      <c r="E111" s="2"/>
      <c r="F111" s="2"/>
      <c r="G111" s="7">
        <v>6000</v>
      </c>
      <c r="H111" s="2"/>
      <c r="I111" s="2"/>
      <c r="J111" s="7"/>
      <c r="K111" s="2"/>
      <c r="L111" s="2"/>
      <c r="M111" s="7"/>
      <c r="N111" s="2"/>
    </row>
    <row r="113" spans="1:15">
      <c r="A113" s="10" t="s">
        <v>17</v>
      </c>
      <c r="B113" s="10" t="s">
        <v>23</v>
      </c>
      <c r="C113" s="11" t="s">
        <v>44</v>
      </c>
      <c r="D113" s="2"/>
      <c r="E113" s="2"/>
      <c r="F113" s="2"/>
      <c r="G113" s="7">
        <v>20000</v>
      </c>
      <c r="H113" s="2"/>
      <c r="I113" s="2"/>
      <c r="J113" s="7"/>
      <c r="K113" s="2"/>
      <c r="L113" s="2"/>
      <c r="M113" s="7"/>
      <c r="N113" s="2"/>
    </row>
    <row r="114" spans="1:15">
      <c r="A114" s="11" t="s">
        <v>87</v>
      </c>
      <c r="B114" s="10" t="s">
        <v>25</v>
      </c>
      <c r="C114" s="10" t="s">
        <v>45</v>
      </c>
      <c r="D114" s="2"/>
      <c r="E114" s="2"/>
      <c r="F114" s="2"/>
      <c r="G114" s="7">
        <v>122345.23</v>
      </c>
      <c r="H114" s="2"/>
      <c r="I114" s="2"/>
      <c r="J114" s="7"/>
      <c r="K114" s="2"/>
      <c r="L114" s="2"/>
      <c r="M114" s="7"/>
      <c r="N114" s="2"/>
    </row>
    <row r="115" spans="1:15">
      <c r="A115" s="10" t="s">
        <v>18</v>
      </c>
      <c r="B115" s="10" t="s">
        <v>26</v>
      </c>
      <c r="C115" s="10" t="s">
        <v>46</v>
      </c>
      <c r="D115" s="2"/>
      <c r="E115" s="2"/>
      <c r="F115" s="2"/>
      <c r="G115" s="7">
        <f>28261.97/2</f>
        <v>14130.985000000001</v>
      </c>
      <c r="H115" s="2"/>
      <c r="I115" s="2"/>
      <c r="J115" s="7"/>
      <c r="K115" s="2"/>
      <c r="L115" s="2"/>
      <c r="M115" s="7"/>
      <c r="N115" s="2"/>
      <c r="O115" t="s">
        <v>91</v>
      </c>
    </row>
    <row r="116" spans="1:15">
      <c r="A116" s="12" t="s">
        <v>18</v>
      </c>
      <c r="B116" s="12" t="s">
        <v>26</v>
      </c>
      <c r="C116" s="12" t="s">
        <v>47</v>
      </c>
      <c r="D116" s="2"/>
      <c r="E116" s="2"/>
      <c r="F116" s="2"/>
      <c r="G116" s="7">
        <f>28261.97/2</f>
        <v>14130.985000000001</v>
      </c>
      <c r="H116" s="2"/>
      <c r="I116" s="2"/>
      <c r="J116" s="7"/>
      <c r="K116" s="2"/>
      <c r="L116" s="2"/>
      <c r="M116" s="7"/>
      <c r="N116" s="2"/>
    </row>
    <row r="117" spans="1:15">
      <c r="A117" s="11" t="s">
        <v>19</v>
      </c>
      <c r="B117" s="12" t="s">
        <v>27</v>
      </c>
      <c r="C117" s="12" t="s">
        <v>48</v>
      </c>
      <c r="D117" s="2"/>
      <c r="E117" s="2"/>
      <c r="F117" s="2"/>
      <c r="G117" s="7">
        <v>10841.6</v>
      </c>
      <c r="H117" s="2"/>
      <c r="I117" s="2"/>
      <c r="J117" s="7"/>
      <c r="K117" s="2"/>
      <c r="L117" s="2"/>
      <c r="M117" s="7"/>
      <c r="N117" s="2"/>
    </row>
    <row r="118" spans="1:15">
      <c r="A118" s="11" t="s">
        <v>19</v>
      </c>
      <c r="B118" s="10" t="s">
        <v>28</v>
      </c>
      <c r="C118" s="10" t="s">
        <v>49</v>
      </c>
      <c r="D118" s="2"/>
      <c r="E118" s="2"/>
      <c r="F118" s="2"/>
      <c r="G118" s="7">
        <v>10841.6</v>
      </c>
      <c r="H118" s="2"/>
      <c r="I118" s="2"/>
      <c r="J118" s="7"/>
      <c r="K118" s="2"/>
      <c r="L118" s="2"/>
      <c r="M118" s="7"/>
      <c r="N118" s="2"/>
    </row>
    <row r="119" spans="1:15">
      <c r="A119" s="13" t="s">
        <v>22</v>
      </c>
      <c r="B119" s="13"/>
      <c r="C119" s="13" t="s">
        <v>50</v>
      </c>
      <c r="D119" s="2"/>
      <c r="E119" s="2"/>
      <c r="F119" s="2"/>
      <c r="G119" s="7" t="s">
        <v>22</v>
      </c>
      <c r="H119" s="2"/>
      <c r="I119" s="2"/>
      <c r="J119" s="7"/>
      <c r="K119" s="2"/>
      <c r="L119" s="2"/>
      <c r="M119" s="7"/>
      <c r="N119" s="2"/>
    </row>
    <row r="120" spans="1:15">
      <c r="A120" s="11" t="s">
        <v>20</v>
      </c>
      <c r="B120" s="10" t="s">
        <v>29</v>
      </c>
      <c r="C120" s="11" t="s">
        <v>51</v>
      </c>
      <c r="D120" s="2"/>
      <c r="E120" s="2"/>
      <c r="F120" s="2"/>
      <c r="G120" s="7" t="s">
        <v>22</v>
      </c>
      <c r="H120" s="2"/>
      <c r="I120" s="2"/>
      <c r="J120" s="7"/>
      <c r="K120" s="2"/>
      <c r="L120" s="2"/>
      <c r="M120" s="7"/>
      <c r="N120" s="2"/>
    </row>
  </sheetData>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0"/>
  <sheetViews>
    <sheetView workbookViewId="0">
      <selection sqref="A1:XFD1048576"/>
    </sheetView>
  </sheetViews>
  <sheetFormatPr defaultColWidth="11.453125" defaultRowHeight="14.5"/>
  <sheetData>
    <row r="1" spans="1:6" ht="15" thickBot="1">
      <c r="A1" s="90"/>
      <c r="B1" s="91"/>
      <c r="C1" s="92"/>
      <c r="D1" s="93"/>
      <c r="E1" s="94"/>
      <c r="F1" s="94"/>
    </row>
    <row r="2" spans="1:6" ht="15" thickBot="1">
      <c r="A2" s="95"/>
      <c r="B2" s="96"/>
      <c r="C2" s="97"/>
      <c r="D2" s="97"/>
      <c r="E2" s="96"/>
      <c r="F2" s="96"/>
    </row>
    <row r="3" spans="1:6" ht="15" thickBot="1">
      <c r="A3" s="98"/>
      <c r="B3" s="99"/>
      <c r="C3" s="99"/>
      <c r="D3" s="101"/>
      <c r="E3" s="101"/>
      <c r="F3" s="101"/>
    </row>
    <row r="4" spans="1:6" ht="15" thickBot="1">
      <c r="A4" s="98"/>
      <c r="B4" s="99"/>
      <c r="C4" s="99"/>
      <c r="D4" s="101"/>
      <c r="E4" s="101"/>
      <c r="F4" s="101"/>
    </row>
    <row r="5" spans="1:6" ht="15" thickBot="1">
      <c r="A5" s="98"/>
      <c r="B5" s="99"/>
      <c r="C5" s="99"/>
      <c r="D5" s="101"/>
      <c r="E5" s="101"/>
      <c r="F5" s="101"/>
    </row>
    <row r="6" spans="1:6" ht="15" thickBot="1">
      <c r="A6" s="98"/>
      <c r="B6" s="99"/>
      <c r="C6" s="99"/>
      <c r="D6" s="101"/>
      <c r="E6" s="101"/>
      <c r="F6" s="101"/>
    </row>
    <row r="7" spans="1:6" ht="15" thickBot="1">
      <c r="A7" s="98"/>
      <c r="B7" s="99"/>
      <c r="C7" s="99"/>
      <c r="D7" s="101"/>
      <c r="E7" s="101"/>
      <c r="F7" s="101"/>
    </row>
    <row r="8" spans="1:6" ht="15" thickBot="1">
      <c r="A8" s="98"/>
      <c r="B8" s="102"/>
      <c r="C8" s="102"/>
      <c r="D8" s="103"/>
      <c r="E8" s="104"/>
      <c r="F8" s="105"/>
    </row>
    <row r="9" spans="1:6">
      <c r="A9" s="106"/>
    </row>
    <row r="10" spans="1:6">
      <c r="D10" s="100"/>
      <c r="E10" s="100"/>
      <c r="F10" s="100"/>
    </row>
  </sheetData>
  <pageMargins left="0.7" right="0.7" top="0.75" bottom="0.75" header="0.3" footer="0.3"/>
  <pageSetup paperSize="9" orientation="portrait"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34637414-62AD-4AF9-BC13-C26022AEB901}">
  <ds:schemaRefs>
    <ds:schemaRef ds:uri="http://schemas.microsoft.com/PowerBIAdd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Fulls de càlcul</vt:lpstr>
      </vt:variant>
      <vt:variant>
        <vt:i4>9</vt:i4>
      </vt:variant>
    </vt:vector>
  </HeadingPairs>
  <TitlesOfParts>
    <vt:vector size="9" baseType="lpstr">
      <vt:lpstr>Càlcul pressupost </vt:lpstr>
      <vt:lpstr>Perfils</vt:lpstr>
      <vt:lpstr>Taules IJ</vt:lpstr>
      <vt:lpstr>Quadre desglossament</vt:lpstr>
      <vt:lpstr>Relació de Tractaments</vt:lpstr>
      <vt:lpstr>Transició</vt:lpstr>
      <vt:lpstr>Taula LOT-SERV-APP</vt:lpstr>
      <vt:lpstr>Taula Estimació de dades</vt:lpstr>
      <vt:lpstr>Hoja2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Clara Ripoll Sánchez</dc:creator>
  <cp:lastModifiedBy>Ajuntament de Barcelona</cp:lastModifiedBy>
  <dcterms:created xsi:type="dcterms:W3CDTF">2017-03-09T17:46:58Z</dcterms:created>
  <dcterms:modified xsi:type="dcterms:W3CDTF">2024-09-05T06:22:01Z</dcterms:modified>
</cp:coreProperties>
</file>