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7865" windowHeight="10905" tabRatio="693" activeTab="2"/>
  </bookViews>
  <sheets>
    <sheet name="Càlcul pressupost " sheetId="6" r:id="rId1"/>
    <sheet name="Infraestr2" sheetId="12" r:id="rId2"/>
    <sheet name="Taules IJ" sheetId="7" r:id="rId3"/>
  </sheets>
  <externalReferences>
    <externalReference r:id="rId4"/>
    <externalReference r:id="rId5"/>
  </externalReferences>
  <definedNames>
    <definedName name="_xlnm._FilterDatabase" localSheetId="0" hidden="1">'Càlcul pressupost '!$11:$16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2" l="1"/>
  <c r="G5" i="12"/>
  <c r="D50" i="12" l="1"/>
  <c r="D51" i="12" s="1"/>
  <c r="L20" i="6" l="1"/>
  <c r="F4" i="12" l="1"/>
  <c r="G4" i="12" s="1"/>
  <c r="E22" i="7" l="1"/>
  <c r="C22" i="7"/>
  <c r="Q40" i="12" l="1"/>
  <c r="P40" i="12"/>
  <c r="O40" i="12"/>
  <c r="M32" i="12"/>
  <c r="L32" i="12"/>
  <c r="K32" i="12"/>
  <c r="F24" i="12"/>
  <c r="G24" i="12" s="1"/>
  <c r="H24" i="12" s="1"/>
  <c r="F23" i="12"/>
  <c r="G23" i="12" s="1"/>
  <c r="H23" i="12" s="1"/>
  <c r="F22" i="12"/>
  <c r="G22" i="12" s="1"/>
  <c r="H22" i="12" s="1"/>
  <c r="F21" i="12"/>
  <c r="G21" i="12" s="1"/>
  <c r="H21" i="12" s="1"/>
  <c r="F20" i="12"/>
  <c r="G20" i="12" s="1"/>
  <c r="H20" i="12" s="1"/>
  <c r="G19" i="12"/>
  <c r="H19" i="12" s="1"/>
  <c r="F18" i="12"/>
  <c r="G18" i="12" s="1"/>
  <c r="H18" i="12" s="1"/>
  <c r="F17" i="12"/>
  <c r="G17" i="12" s="1"/>
  <c r="H17" i="12" s="1"/>
  <c r="C9" i="12" l="1"/>
  <c r="D9" i="12"/>
  <c r="E9" i="12"/>
  <c r="E16" i="12"/>
  <c r="F16" i="12" s="1"/>
  <c r="G16" i="12" s="1"/>
  <c r="H16" i="12" s="1"/>
  <c r="E14" i="12"/>
  <c r="E15" i="12"/>
  <c r="F15" i="12" s="1"/>
  <c r="G15" i="12" s="1"/>
  <c r="H15" i="12" s="1"/>
  <c r="F14" i="12" l="1"/>
  <c r="G14" i="12" s="1"/>
  <c r="F25" i="12"/>
  <c r="H14" i="12" l="1"/>
  <c r="H25" i="12" s="1"/>
  <c r="G25" i="12"/>
  <c r="G3" i="12"/>
  <c r="G2" i="6"/>
  <c r="F3" i="12" l="1"/>
  <c r="F6" i="12" s="1"/>
  <c r="G6" i="12"/>
  <c r="F12" i="6" s="1"/>
  <c r="G3" i="6"/>
  <c r="G4" i="6" s="1"/>
  <c r="G12" i="6"/>
  <c r="F14" i="6" l="1"/>
  <c r="F6" i="6" s="1"/>
  <c r="D6" i="7" l="1"/>
  <c r="H6" i="6"/>
  <c r="I6" i="6" s="1"/>
  <c r="B6" i="7" l="1"/>
  <c r="B34" i="7" s="1"/>
  <c r="F8" i="6"/>
  <c r="K19" i="6" s="1"/>
  <c r="C6" i="7" l="1"/>
  <c r="C16" i="7" l="1"/>
  <c r="H8" i="6"/>
  <c r="D16" i="7" l="1"/>
  <c r="E16" i="7" s="1"/>
  <c r="B21" i="7" s="1"/>
  <c r="I8" i="6"/>
  <c r="K18" i="6" l="1"/>
  <c r="B22" i="7"/>
  <c r="F21" i="7"/>
  <c r="F22" i="7" s="1"/>
  <c r="F23" i="7" s="1"/>
  <c r="E34" i="7" s="1"/>
  <c r="D21" i="7"/>
  <c r="D22" i="7" s="1"/>
  <c r="D23" i="7" s="1"/>
  <c r="D34" i="7" s="1"/>
  <c r="H9" i="6"/>
  <c r="F34" i="7" l="1"/>
  <c r="H35" i="7" s="1"/>
  <c r="H36" i="7" l="1"/>
  <c r="H37" i="7" s="1"/>
  <c r="I36" i="7"/>
  <c r="I37" i="7" s="1"/>
</calcChain>
</file>

<file path=xl/comments1.xml><?xml version="1.0" encoding="utf-8"?>
<comments xmlns="http://schemas.openxmlformats.org/spreadsheetml/2006/main">
  <authors>
    <author>Ajuntament de Barcelona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Revisar previsions</t>
        </r>
      </text>
    </comment>
  </commentList>
</comments>
</file>

<file path=xl/sharedStrings.xml><?xml version="1.0" encoding="utf-8"?>
<sst xmlns="http://schemas.openxmlformats.org/spreadsheetml/2006/main" count="121" uniqueCount="95">
  <si>
    <t>Infraestructura Cloud</t>
  </si>
  <si>
    <t>Total</t>
  </si>
  <si>
    <t>Data inici servei</t>
  </si>
  <si>
    <t>Criticitat</t>
  </si>
  <si>
    <t>Nom Aplicació</t>
  </si>
  <si>
    <t>Codi Aplicació</t>
  </si>
  <si>
    <t>Nom Servei</t>
  </si>
  <si>
    <t>Servei</t>
  </si>
  <si>
    <t>Import total licitació</t>
  </si>
  <si>
    <t>Import Total IVA exclòs</t>
  </si>
  <si>
    <t>Import Total IVA inclòs</t>
  </si>
  <si>
    <t>Data fi del contracte</t>
  </si>
  <si>
    <t>Data inici contracte</t>
  </si>
  <si>
    <t>VEC</t>
  </si>
  <si>
    <t>VE modificacions contracte amb disminució de cost previstes</t>
  </si>
  <si>
    <t>VE modificacions contracte amb increment de cost previstes</t>
  </si>
  <si>
    <t>VE eventuals pròrrogues</t>
  </si>
  <si>
    <t>VE prestació</t>
  </si>
  <si>
    <t>Import total</t>
  </si>
  <si>
    <t>IVA</t>
  </si>
  <si>
    <t>Pressupost net</t>
  </si>
  <si>
    <t>Any</t>
  </si>
  <si>
    <t>Distribució de pressupost per any</t>
  </si>
  <si>
    <t>IVA 21%</t>
  </si>
  <si>
    <t>Import net</t>
  </si>
  <si>
    <t>Serveis</t>
  </si>
  <si>
    <t>Distribució de pressupost per any i per servei</t>
  </si>
  <si>
    <t>CITY OS Servei Regular</t>
  </si>
  <si>
    <t>Infraestructura
IVA INCLÒS</t>
  </si>
  <si>
    <t>CPU</t>
  </si>
  <si>
    <t>RAM (GB)</t>
  </si>
  <si>
    <t>HDD (GB)</t>
  </si>
  <si>
    <t>RAM</t>
  </si>
  <si>
    <t>HDD</t>
  </si>
  <si>
    <t>SER0490</t>
  </si>
  <si>
    <t>APP0974</t>
  </si>
  <si>
    <t>x hora</t>
  </si>
  <si>
    <t>vCPU On Demand XL (3.0 Ghz)</t>
  </si>
  <si>
    <t>GB RAM On Demand</t>
  </si>
  <si>
    <t>GB Storage Local OnDemand SSD</t>
  </si>
  <si>
    <t>Recurs Cloud</t>
  </si>
  <si>
    <t>Número de unitats</t>
  </si>
  <si>
    <t>Cost mensual</t>
  </si>
  <si>
    <t>Backups</t>
  </si>
  <si>
    <t>Backup VM (VM protegida)</t>
  </si>
  <si>
    <t>x mes</t>
  </si>
  <si>
    <t>U's de Espacio en NexicaData</t>
  </si>
  <si>
    <t>Service Manager</t>
  </si>
  <si>
    <t>COSTOS PRESENTAT PER NEXICA</t>
  </si>
  <si>
    <t>GB Backup VM (R. Mensual)</t>
  </si>
  <si>
    <t>Capítol</t>
  </si>
  <si>
    <t>II</t>
  </si>
  <si>
    <t>Detall del Recurs 2025</t>
  </si>
  <si>
    <t>Periodicitat</t>
  </si>
  <si>
    <t xml:space="preserve">Cost unitari </t>
  </si>
  <si>
    <t>cost</t>
  </si>
  <si>
    <t xml:space="preserve">Infraestructura CLOUD </t>
  </si>
  <si>
    <t xml:space="preserve">Modalitats </t>
  </si>
  <si>
    <t>GB Backup VM (R. Setmanal)</t>
  </si>
  <si>
    <t>GB Backup VM (R. Trimestral)</t>
  </si>
  <si>
    <t>Interconexió MMR</t>
  </si>
  <si>
    <t>Interconexión Fibra SingleMode BCN MRR</t>
  </si>
  <si>
    <t>Linia Comunicacions</t>
  </si>
  <si>
    <t>Infraestructura i línies de comunicacions</t>
  </si>
  <si>
    <t>Desenvolupaments</t>
  </si>
  <si>
    <t>GB Backup VM (R. Anual)Personalitzada</t>
  </si>
  <si>
    <t>cap</t>
  </si>
  <si>
    <t>Import 2025 IVA inclòs</t>
  </si>
  <si>
    <t>mesos</t>
  </si>
  <si>
    <t>cost contracte</t>
  </si>
  <si>
    <t>Capacitat actual</t>
  </si>
  <si>
    <t xml:space="preserve">PRE  S.O. </t>
  </si>
  <si>
    <t xml:space="preserve">PRO  S.O. </t>
  </si>
  <si>
    <r>
      <t xml:space="preserve">Cost 
 </t>
    </r>
    <r>
      <rPr>
        <b/>
        <sz val="8"/>
        <color theme="0"/>
        <rFont val="Calibri"/>
        <family val="2"/>
        <scheme val="minor"/>
      </rPr>
      <t>(IVA EXCLÒS)</t>
    </r>
  </si>
  <si>
    <r>
      <t xml:space="preserve">Cost 
 </t>
    </r>
    <r>
      <rPr>
        <b/>
        <sz val="8"/>
        <color theme="0"/>
        <rFont val="Calibri"/>
        <family val="2"/>
        <scheme val="minor"/>
      </rPr>
      <t>(IVA INCLÒS)</t>
    </r>
  </si>
  <si>
    <t>INFRAESTRUCTURA 3 Mesos CITYOS 2025</t>
  </si>
  <si>
    <t>Causes previstes de modificació</t>
  </si>
  <si>
    <t>Import contracte (IVA inclòs)</t>
  </si>
  <si>
    <t>% Ampliació sobre import del contracte</t>
  </si>
  <si>
    <t>Import màxim ampliació (amb IVA)</t>
  </si>
  <si>
    <t>% Disminució sobre import del contracte</t>
  </si>
  <si>
    <t>Import màxim disminució (amb IVA)</t>
  </si>
  <si>
    <t>Modificacions en les volumetries</t>
  </si>
  <si>
    <t> TOTAL</t>
  </si>
  <si>
    <t>IVA EXCLÒS</t>
  </si>
  <si>
    <t>Concepte</t>
  </si>
  <si>
    <t>2025(3m)</t>
  </si>
  <si>
    <t>Preu instalació (entre el CPD Nexica i els 2 CPD ajuntament)</t>
  </si>
  <si>
    <t>unitari instal·lació</t>
  </si>
  <si>
    <t>Quota mensual</t>
  </si>
  <si>
    <t>preu</t>
  </si>
  <si>
    <r>
      <t xml:space="preserve">Servidors </t>
    </r>
    <r>
      <rPr>
        <sz val="11"/>
        <rFont val="Calibri"/>
        <family val="2"/>
        <scheme val="minor"/>
      </rPr>
      <t>(</t>
    </r>
    <r>
      <rPr>
        <b/>
        <sz val="11"/>
        <rFont val="Calibri"/>
        <family val="2"/>
        <scheme val="minor"/>
      </rPr>
      <t>2 entorns PRE i PRO</t>
    </r>
    <r>
      <rPr>
        <sz val="11"/>
        <color rgb="FF000000"/>
        <rFont val="Calibri"/>
        <family val="2"/>
        <scheme val="minor"/>
      </rPr>
      <t xml:space="preserve">) </t>
    </r>
  </si>
  <si>
    <t>(imports sense IVA)</t>
  </si>
  <si>
    <t>cost contracte (IVA Inc)</t>
  </si>
  <si>
    <t>Servei de connectivitat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</si>
</sst>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&quot; €&quot;_-;\-* #,##0.00&quot; €&quot;_-;_-* \-??&quot; €&quot;_-;_-@_-"/>
    <numFmt numFmtId="165" formatCode="#,##0.00\ &quot;€&quot;"/>
    <numFmt numFmtId="166" formatCode="0.0000%"/>
    <numFmt numFmtId="167" formatCode="###0.0_);[Red]\(###0.0\)"/>
    <numFmt numFmtId="168" formatCode="#,##0.00\ _€"/>
    <numFmt numFmtId="169" formatCode="#,##0.000000\ &quot;€&quot;;[Red]\-#,##0.000000\ &quot;€&quot;"/>
    <numFmt numFmtId="170" formatCode="_-* #,##0\ [$€-C0A]_-;\-* #,##0\ [$€-C0A]_-;_-* &quot;-&quot;\ [$€-C0A]_-;_-@_-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9"/>
      <color indexed="12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8"/>
      <name val="Verdana"/>
      <family val="2"/>
    </font>
    <font>
      <sz val="9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Times New Roman"/>
      <family val="1"/>
    </font>
    <font>
      <b/>
      <sz val="8"/>
      <color rgb="FF000000"/>
      <name val="Verdana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rgb="FF8B894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4DFE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/>
      </left>
      <right/>
      <top style="thin">
        <color theme="2"/>
      </top>
      <bottom style="medium">
        <color indexed="64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 style="thin">
        <color theme="2"/>
      </right>
      <top style="thin">
        <color theme="2"/>
      </top>
      <bottom style="medium">
        <color indexed="64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8" fillId="0" borderId="0" applyBorder="0" applyProtection="0"/>
    <xf numFmtId="0" fontId="8" fillId="0" borderId="0"/>
    <xf numFmtId="0" fontId="9" fillId="0" borderId="0"/>
    <xf numFmtId="0" fontId="1" fillId="0" borderId="0"/>
    <xf numFmtId="0" fontId="1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4" fillId="8" borderId="0" applyNumberFormat="0">
      <alignment horizontal="right" vertical="top" wrapText="1"/>
    </xf>
    <xf numFmtId="0" fontId="24" fillId="9" borderId="0" applyNumberFormat="0">
      <alignment horizontal="right" vertical="top" wrapText="1"/>
    </xf>
    <xf numFmtId="0" fontId="22" fillId="0" borderId="0"/>
    <xf numFmtId="44" fontId="22" fillId="0" borderId="0" applyFont="0" applyFill="0" applyBorder="0" applyAlignment="0" applyProtection="0"/>
    <xf numFmtId="38" fontId="25" fillId="10" borderId="0" applyNumberFormat="0" applyBorder="0" applyAlignment="0" applyProtection="0"/>
    <xf numFmtId="0" fontId="26" fillId="0" borderId="15" applyNumberFormat="0" applyAlignment="0" applyProtection="0">
      <alignment horizontal="left" vertical="center"/>
    </xf>
    <xf numFmtId="0" fontId="26" fillId="0" borderId="9">
      <alignment horizontal="left"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10" fontId="25" fillId="11" borderId="1" applyNumberFormat="0" applyBorder="0" applyAlignment="0" applyProtection="0"/>
    <xf numFmtId="3" fontId="29" fillId="10" borderId="0">
      <alignment horizontal="right"/>
      <protection locked="0"/>
    </xf>
    <xf numFmtId="0" fontId="30" fillId="0" borderId="0"/>
    <xf numFmtId="167" fontId="22" fillId="0" borderId="0"/>
    <xf numFmtId="0" fontId="22" fillId="0" borderId="0"/>
    <xf numFmtId="3" fontId="24" fillId="0" borderId="0"/>
    <xf numFmtId="10" fontId="22" fillId="0" borderId="0" applyFont="0" applyFill="0" applyBorder="0" applyAlignment="0" applyProtection="0"/>
    <xf numFmtId="0" fontId="31" fillId="0" borderId="0" applyNumberFormat="0" applyFont="0" applyFill="0" applyBorder="0" applyAlignment="0" applyProtection="0">
      <alignment horizontal="left"/>
    </xf>
    <xf numFmtId="15" fontId="31" fillId="0" borderId="0" applyFont="0" applyFill="0" applyBorder="0" applyAlignment="0" applyProtection="0"/>
    <xf numFmtId="4" fontId="31" fillId="0" borderId="0" applyFont="0" applyFill="0" applyBorder="0" applyAlignment="0" applyProtection="0"/>
    <xf numFmtId="0" fontId="32" fillId="0" borderId="12">
      <alignment horizontal="center"/>
    </xf>
    <xf numFmtId="3" fontId="31" fillId="0" borderId="0" applyFont="0" applyFill="0" applyBorder="0" applyAlignment="0" applyProtection="0"/>
    <xf numFmtId="0" fontId="31" fillId="12" borderId="0" applyNumberFormat="0" applyFont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</cellStyleXfs>
  <cellXfs count="245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1" xfId="0" applyBorder="1"/>
    <xf numFmtId="0" fontId="1" fillId="0" borderId="0" xfId="0" applyFont="1"/>
    <xf numFmtId="0" fontId="1" fillId="0" borderId="0" xfId="0" applyFont="1" applyFill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14" fontId="4" fillId="0" borderId="5" xfId="0" applyNumberFormat="1" applyFont="1" applyFill="1" applyBorder="1" applyAlignment="1">
      <alignment horizontal="center"/>
    </xf>
    <xf numFmtId="165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Fill="1" applyBorder="1" applyAlignment="1">
      <alignment horizontal="left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 vertical="center"/>
    </xf>
    <xf numFmtId="165" fontId="5" fillId="4" borderId="0" xfId="0" applyNumberFormat="1" applyFont="1" applyFill="1" applyAlignment="1"/>
    <xf numFmtId="4" fontId="5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4" borderId="7" xfId="0" applyFill="1" applyBorder="1" applyAlignment="1">
      <alignment horizontal="left"/>
    </xf>
    <xf numFmtId="0" fontId="0" fillId="4" borderId="7" xfId="0" applyFill="1" applyBorder="1" applyAlignment="1">
      <alignment wrapText="1"/>
    </xf>
    <xf numFmtId="0" fontId="10" fillId="5" borderId="0" xfId="0" applyFont="1" applyFill="1" applyAlignment="1">
      <alignment horizontal="center" vertical="center" wrapText="1"/>
    </xf>
    <xf numFmtId="14" fontId="2" fillId="0" borderId="0" xfId="0" applyNumberFormat="1" applyFont="1"/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Fill="1"/>
    <xf numFmtId="166" fontId="1" fillId="0" borderId="0" xfId="2" applyNumberFormat="1" applyFont="1"/>
    <xf numFmtId="165" fontId="1" fillId="0" borderId="0" xfId="0" applyNumberFormat="1" applyFont="1"/>
    <xf numFmtId="165" fontId="4" fillId="4" borderId="0" xfId="0" applyNumberFormat="1" applyFont="1" applyFill="1" applyAlignment="1"/>
    <xf numFmtId="4" fontId="2" fillId="4" borderId="0" xfId="0" applyNumberFormat="1" applyFont="1" applyFill="1" applyAlignment="1">
      <alignment horizontal="left" wrapText="1"/>
    </xf>
    <xf numFmtId="165" fontId="1" fillId="0" borderId="0" xfId="0" applyNumberFormat="1" applyFont="1" applyFill="1" applyAlignment="1">
      <alignment vertical="center"/>
    </xf>
    <xf numFmtId="14" fontId="0" fillId="0" borderId="0" xfId="0" applyNumberFormat="1" applyFont="1"/>
    <xf numFmtId="8" fontId="1" fillId="0" borderId="0" xfId="0" applyNumberFormat="1" applyFont="1" applyFill="1" applyAlignment="1">
      <alignment horizontal="right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wrapText="1"/>
    </xf>
    <xf numFmtId="0" fontId="5" fillId="0" borderId="0" xfId="0" applyNumberFormat="1" applyFont="1" applyFill="1" applyBorder="1" applyProtection="1">
      <protection hidden="1"/>
    </xf>
    <xf numFmtId="14" fontId="1" fillId="0" borderId="0" xfId="0" applyNumberFormat="1" applyFont="1" applyFill="1"/>
    <xf numFmtId="14" fontId="0" fillId="0" borderId="0" xfId="0" applyNumberFormat="1" applyFill="1" applyAlignment="1">
      <alignment wrapText="1"/>
    </xf>
    <xf numFmtId="0" fontId="1" fillId="0" borderId="0" xfId="0" applyFont="1" applyFill="1" applyAlignment="1">
      <alignment wrapText="1"/>
    </xf>
    <xf numFmtId="0" fontId="7" fillId="6" borderId="0" xfId="0" applyFont="1" applyFill="1" applyAlignment="1">
      <alignment wrapText="1"/>
    </xf>
    <xf numFmtId="0" fontId="11" fillId="6" borderId="0" xfId="0" applyNumberFormat="1" applyFont="1" applyFill="1" applyBorder="1" applyAlignment="1" applyProtection="1">
      <alignment horizontal="left" vertical="center"/>
      <protection hidden="1"/>
    </xf>
    <xf numFmtId="0" fontId="6" fillId="6" borderId="0" xfId="0" applyFont="1" applyFill="1"/>
    <xf numFmtId="0" fontId="1" fillId="6" borderId="0" xfId="0" applyFont="1" applyFill="1" applyAlignment="1">
      <alignment wrapText="1"/>
    </xf>
    <xf numFmtId="0" fontId="12" fillId="0" borderId="0" xfId="0" applyFont="1"/>
    <xf numFmtId="44" fontId="12" fillId="0" borderId="0" xfId="0" applyNumberFormat="1" applyFont="1"/>
    <xf numFmtId="8" fontId="13" fillId="0" borderId="1" xfId="0" applyNumberFormat="1" applyFont="1" applyBorder="1" applyAlignment="1">
      <alignment horizontal="right" vertical="center"/>
    </xf>
    <xf numFmtId="44" fontId="13" fillId="0" borderId="1" xfId="0" applyNumberFormat="1" applyFont="1" applyBorder="1" applyAlignment="1">
      <alignment horizontal="right" vertical="center"/>
    </xf>
    <xf numFmtId="0" fontId="16" fillId="3" borderId="8" xfId="0" applyFont="1" applyFill="1" applyBorder="1" applyAlignment="1">
      <alignment horizontal="center" vertical="center" wrapText="1"/>
    </xf>
    <xf numFmtId="0" fontId="17" fillId="0" borderId="0" xfId="0" applyFont="1"/>
    <xf numFmtId="44" fontId="12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vertical="center" wrapText="1"/>
    </xf>
    <xf numFmtId="0" fontId="12" fillId="0" borderId="0" xfId="0" applyFont="1" applyBorder="1"/>
    <xf numFmtId="0" fontId="17" fillId="0" borderId="0" xfId="0" applyFont="1" applyFill="1" applyAlignment="1">
      <alignment horizontal="left"/>
    </xf>
    <xf numFmtId="14" fontId="0" fillId="2" borderId="0" xfId="0" applyNumberFormat="1" applyFill="1" applyAlignment="1">
      <alignment wrapText="1"/>
    </xf>
    <xf numFmtId="0" fontId="1" fillId="2" borderId="0" xfId="0" applyFont="1" applyFill="1" applyProtection="1">
      <protection locked="0"/>
    </xf>
    <xf numFmtId="14" fontId="1" fillId="2" borderId="0" xfId="0" applyNumberFormat="1" applyFont="1" applyFill="1"/>
    <xf numFmtId="0" fontId="1" fillId="2" borderId="0" xfId="0" applyFont="1" applyFill="1"/>
    <xf numFmtId="0" fontId="0" fillId="0" borderId="0" xfId="0" applyFont="1" applyAlignment="1">
      <alignment horizontal="center"/>
    </xf>
    <xf numFmtId="3" fontId="0" fillId="0" borderId="14" xfId="0" applyNumberFormat="1" applyFont="1" applyBorder="1" applyAlignment="1">
      <alignment horizontal="right"/>
    </xf>
    <xf numFmtId="3" fontId="0" fillId="0" borderId="13" xfId="0" applyNumberFormat="1" applyFont="1" applyBorder="1" applyAlignment="1">
      <alignment horizontal="right"/>
    </xf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6" fillId="3" borderId="17" xfId="0" applyFont="1" applyFill="1" applyBorder="1" applyAlignment="1">
      <alignment horizontal="left" vertical="center" wrapText="1"/>
    </xf>
    <xf numFmtId="165" fontId="2" fillId="4" borderId="18" xfId="0" applyNumberFormat="1" applyFont="1" applyFill="1" applyBorder="1" applyAlignment="1">
      <alignment wrapText="1"/>
    </xf>
    <xf numFmtId="0" fontId="0" fillId="0" borderId="0" xfId="0" applyFont="1" applyBorder="1"/>
    <xf numFmtId="0" fontId="0" fillId="4" borderId="18" xfId="0" applyFill="1" applyBorder="1" applyAlignment="1">
      <alignment wrapText="1"/>
    </xf>
    <xf numFmtId="3" fontId="0" fillId="0" borderId="0" xfId="0" applyNumberFormat="1" applyFont="1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Font="1" applyFill="1" applyBorder="1"/>
    <xf numFmtId="0" fontId="0" fillId="0" borderId="1" xfId="0" applyFont="1" applyBorder="1"/>
    <xf numFmtId="0" fontId="12" fillId="0" borderId="0" xfId="0" applyFont="1" applyAlignment="1">
      <alignment vertical="center" wrapText="1"/>
    </xf>
    <xf numFmtId="165" fontId="0" fillId="0" borderId="0" xfId="0" applyNumberFormat="1" applyFont="1"/>
    <xf numFmtId="165" fontId="3" fillId="0" borderId="0" xfId="0" applyNumberFormat="1" applyFont="1" applyFill="1" applyBorder="1" applyAlignment="1">
      <alignment horizontal="right" vertical="center" readingOrder="1"/>
    </xf>
    <xf numFmtId="0" fontId="0" fillId="0" borderId="0" xfId="0" applyFont="1" applyFill="1" applyBorder="1" applyAlignment="1">
      <alignment horizontal="left" vertical="center" wrapText="1"/>
    </xf>
    <xf numFmtId="0" fontId="38" fillId="0" borderId="0" xfId="0" applyFont="1" applyAlignment="1">
      <alignment vertical="top"/>
    </xf>
    <xf numFmtId="0" fontId="12" fillId="0" borderId="0" xfId="0" applyFont="1" applyBorder="1" applyAlignment="1">
      <alignment vertical="center" wrapText="1"/>
    </xf>
    <xf numFmtId="0" fontId="39" fillId="15" borderId="1" xfId="0" applyFont="1" applyFill="1" applyBorder="1" applyAlignment="1">
      <alignment horizontal="center" vertical="center" wrapText="1"/>
    </xf>
    <xf numFmtId="0" fontId="2" fillId="13" borderId="0" xfId="1" applyNumberFormat="1" applyFont="1" applyFill="1" applyBorder="1" applyAlignment="1">
      <alignment horizontal="center"/>
    </xf>
    <xf numFmtId="0" fontId="40" fillId="0" borderId="1" xfId="0" applyFont="1" applyBorder="1" applyAlignment="1">
      <alignment vertical="center"/>
    </xf>
    <xf numFmtId="0" fontId="40" fillId="0" borderId="1" xfId="0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34" fillId="0" borderId="1" xfId="1" applyFont="1" applyFill="1" applyBorder="1" applyAlignment="1">
      <alignment horizontal="right" vertical="center" shrinkToFit="1"/>
    </xf>
    <xf numFmtId="44" fontId="0" fillId="0" borderId="1" xfId="1" applyFont="1" applyBorder="1"/>
    <xf numFmtId="0" fontId="0" fillId="15" borderId="0" xfId="0" applyFill="1"/>
    <xf numFmtId="0" fontId="0" fillId="13" borderId="0" xfId="0" applyFont="1" applyFill="1" applyBorder="1"/>
    <xf numFmtId="0" fontId="39" fillId="16" borderId="1" xfId="0" applyFont="1" applyFill="1" applyBorder="1" applyAlignment="1">
      <alignment horizontal="center" vertical="center" wrapText="1"/>
    </xf>
    <xf numFmtId="44" fontId="0" fillId="13" borderId="1" xfId="1" applyFont="1" applyFill="1" applyBorder="1"/>
    <xf numFmtId="165" fontId="34" fillId="13" borderId="0" xfId="37" applyNumberFormat="1" applyFont="1" applyFill="1" applyBorder="1" applyAlignment="1">
      <alignment horizontal="right" vertical="center" shrinkToFit="1"/>
    </xf>
    <xf numFmtId="0" fontId="0" fillId="16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70" fontId="2" fillId="0" borderId="1" xfId="0" applyNumberFormat="1" applyFont="1" applyBorder="1" applyAlignment="1">
      <alignment horizontal="right"/>
    </xf>
    <xf numFmtId="44" fontId="0" fillId="15" borderId="1" xfId="1" applyFont="1" applyFill="1" applyBorder="1"/>
    <xf numFmtId="0" fontId="2" fillId="0" borderId="0" xfId="0" applyFont="1" applyBorder="1" applyAlignment="1">
      <alignment horizontal="left"/>
    </xf>
    <xf numFmtId="0" fontId="34" fillId="0" borderId="0" xfId="48" applyFont="1" applyFill="1" applyBorder="1" applyAlignment="1">
      <alignment horizontal="left" vertical="center" shrinkToFit="1"/>
    </xf>
    <xf numFmtId="0" fontId="34" fillId="0" borderId="0" xfId="50" applyFont="1" applyFill="1" applyBorder="1" applyAlignment="1">
      <alignment horizontal="center" vertical="center" shrinkToFit="1"/>
    </xf>
    <xf numFmtId="1" fontId="34" fillId="0" borderId="0" xfId="50" applyNumberFormat="1" applyFont="1" applyFill="1" applyBorder="1" applyAlignment="1">
      <alignment horizontal="center" vertical="center" shrinkToFit="1"/>
    </xf>
    <xf numFmtId="44" fontId="34" fillId="0" borderId="0" xfId="37" applyFont="1" applyFill="1" applyBorder="1" applyAlignment="1">
      <alignment horizontal="center" vertical="center" shrinkToFit="1"/>
    </xf>
    <xf numFmtId="168" fontId="34" fillId="0" borderId="0" xfId="37" applyNumberFormat="1" applyFont="1" applyFill="1" applyBorder="1" applyAlignment="1">
      <alignment horizontal="right" vertical="center" shrinkToFit="1"/>
    </xf>
    <xf numFmtId="165" fontId="34" fillId="0" borderId="0" xfId="37" applyNumberFormat="1" applyFont="1" applyFill="1" applyBorder="1" applyAlignment="1">
      <alignment horizontal="right" vertical="center" shrinkToFit="1"/>
    </xf>
    <xf numFmtId="0" fontId="34" fillId="0" borderId="0" xfId="49" applyFont="1" applyFill="1" applyBorder="1" applyAlignment="1">
      <alignment horizontal="left" vertical="center" shrinkToFit="1"/>
    </xf>
    <xf numFmtId="0" fontId="34" fillId="0" borderId="0" xfId="49" applyFont="1" applyFill="1" applyBorder="1" applyAlignment="1">
      <alignment horizontal="center" vertical="center" shrinkToFit="1"/>
    </xf>
    <xf numFmtId="1" fontId="34" fillId="0" borderId="0" xfId="49" applyNumberFormat="1" applyFont="1" applyFill="1" applyBorder="1" applyAlignment="1">
      <alignment horizontal="center" vertical="center" shrinkToFit="1"/>
    </xf>
    <xf numFmtId="168" fontId="34" fillId="0" borderId="0" xfId="37" quotePrefix="1" applyNumberFormat="1" applyFont="1" applyFill="1" applyBorder="1" applyAlignment="1">
      <alignment horizontal="right" vertical="center" shrinkToFit="1"/>
    </xf>
    <xf numFmtId="165" fontId="34" fillId="13" borderId="0" xfId="37" quotePrefix="1" applyNumberFormat="1" applyFont="1" applyFill="1" applyBorder="1" applyAlignment="1">
      <alignment horizontal="right" vertical="center" shrinkToFit="1"/>
    </xf>
    <xf numFmtId="0" fontId="34" fillId="0" borderId="0" xfId="51" applyFont="1" applyFill="1" applyBorder="1" applyAlignment="1">
      <alignment horizontal="left" vertical="center" shrinkToFit="1"/>
    </xf>
    <xf numFmtId="0" fontId="34" fillId="0" borderId="0" xfId="51" applyFont="1" applyFill="1" applyBorder="1" applyAlignment="1">
      <alignment horizontal="center" vertical="center" shrinkToFit="1"/>
    </xf>
    <xf numFmtId="1" fontId="34" fillId="0" borderId="0" xfId="51" applyNumberFormat="1" applyFont="1" applyFill="1" applyBorder="1" applyAlignment="1">
      <alignment horizontal="center" vertical="center" shrinkToFit="1"/>
    </xf>
    <xf numFmtId="168" fontId="0" fillId="0" borderId="0" xfId="1" applyNumberFormat="1" applyFont="1" applyBorder="1" applyAlignment="1">
      <alignment horizontal="right"/>
    </xf>
    <xf numFmtId="165" fontId="0" fillId="0" borderId="0" xfId="0" applyNumberFormat="1" applyFont="1" applyBorder="1" applyAlignment="1">
      <alignment horizontal="right"/>
    </xf>
    <xf numFmtId="165" fontId="0" fillId="13" borderId="0" xfId="0" applyNumberFormat="1" applyFont="1" applyFill="1" applyBorder="1" applyAlignment="1">
      <alignment horizontal="right"/>
    </xf>
    <xf numFmtId="0" fontId="0" fillId="0" borderId="0" xfId="0" applyAlignment="1">
      <alignment vertical="center"/>
    </xf>
    <xf numFmtId="170" fontId="2" fillId="0" borderId="0" xfId="0" applyNumberFormat="1" applyFont="1"/>
    <xf numFmtId="0" fontId="0" fillId="13" borderId="0" xfId="0" applyFill="1"/>
    <xf numFmtId="0" fontId="12" fillId="0" borderId="0" xfId="0" applyFont="1" applyAlignment="1">
      <alignment vertical="center"/>
    </xf>
    <xf numFmtId="8" fontId="12" fillId="0" borderId="0" xfId="0" applyNumberFormat="1" applyFont="1" applyAlignment="1">
      <alignment vertical="center"/>
    </xf>
    <xf numFmtId="0" fontId="12" fillId="13" borderId="0" xfId="0" applyFont="1" applyFill="1" applyBorder="1" applyAlignment="1">
      <alignment horizontal="right"/>
    </xf>
    <xf numFmtId="0" fontId="12" fillId="13" borderId="0" xfId="0" applyFont="1" applyFill="1" applyBorder="1"/>
    <xf numFmtId="0" fontId="6" fillId="3" borderId="0" xfId="0" applyFont="1" applyFill="1" applyAlignment="1">
      <alignment horizontal="center" vertical="center" wrapText="1"/>
    </xf>
    <xf numFmtId="4" fontId="2" fillId="0" borderId="0" xfId="0" applyNumberFormat="1" applyFont="1" applyAlignment="1">
      <alignment horizontal="center" wrapText="1"/>
    </xf>
    <xf numFmtId="8" fontId="1" fillId="0" borderId="0" xfId="0" applyNumberFormat="1" applyFont="1" applyAlignment="1" applyProtection="1">
      <alignment wrapText="1"/>
      <protection locked="0"/>
    </xf>
    <xf numFmtId="0" fontId="20" fillId="3" borderId="8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 readingOrder="1"/>
    </xf>
    <xf numFmtId="0" fontId="6" fillId="3" borderId="1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44" fontId="0" fillId="13" borderId="0" xfId="0" applyNumberFormat="1" applyFont="1" applyFill="1" applyBorder="1"/>
    <xf numFmtId="44" fontId="1" fillId="13" borderId="0" xfId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left" vertical="center" wrapText="1"/>
    </xf>
    <xf numFmtId="0" fontId="6" fillId="13" borderId="0" xfId="0" applyFont="1" applyFill="1" applyBorder="1" applyAlignment="1">
      <alignment horizontal="left" vertical="center" wrapText="1"/>
    </xf>
    <xf numFmtId="165" fontId="2" fillId="13" borderId="0" xfId="0" applyNumberFormat="1" applyFont="1" applyFill="1" applyBorder="1" applyAlignment="1">
      <alignment wrapText="1"/>
    </xf>
    <xf numFmtId="0" fontId="0" fillId="13" borderId="0" xfId="0" applyFont="1" applyFill="1"/>
    <xf numFmtId="0" fontId="40" fillId="13" borderId="0" xfId="0" applyFont="1" applyFill="1" applyBorder="1" applyAlignment="1">
      <alignment vertical="center"/>
    </xf>
    <xf numFmtId="0" fontId="40" fillId="13" borderId="0" xfId="0" applyFont="1" applyFill="1" applyBorder="1" applyAlignment="1">
      <alignment horizontal="center" vertical="center"/>
    </xf>
    <xf numFmtId="169" fontId="0" fillId="13" borderId="0" xfId="0" applyNumberFormat="1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44" fontId="34" fillId="13" borderId="0" xfId="1" applyFont="1" applyFill="1" applyBorder="1" applyAlignment="1">
      <alignment horizontal="right" vertical="center" shrinkToFit="1"/>
    </xf>
    <xf numFmtId="44" fontId="0" fillId="13" borderId="0" xfId="1" applyFont="1" applyFill="1" applyBorder="1"/>
    <xf numFmtId="0" fontId="0" fillId="13" borderId="0" xfId="0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0" fillId="13" borderId="0" xfId="0" applyFill="1" applyBorder="1"/>
    <xf numFmtId="168" fontId="0" fillId="13" borderId="0" xfId="0" applyNumberFormat="1" applyFill="1" applyBorder="1"/>
    <xf numFmtId="0" fontId="12" fillId="13" borderId="0" xfId="0" applyFont="1" applyFill="1"/>
    <xf numFmtId="0" fontId="20" fillId="13" borderId="0" xfId="0" applyFont="1" applyFill="1" applyBorder="1" applyAlignment="1">
      <alignment horizontal="center" vertical="center"/>
    </xf>
    <xf numFmtId="44" fontId="12" fillId="13" borderId="0" xfId="0" applyNumberFormat="1" applyFont="1" applyFill="1" applyBorder="1" applyAlignment="1">
      <alignment horizontal="center" vertical="center"/>
    </xf>
    <xf numFmtId="8" fontId="12" fillId="13" borderId="0" xfId="0" applyNumberFormat="1" applyFont="1" applyFill="1" applyAlignment="1">
      <alignment vertical="center"/>
    </xf>
    <xf numFmtId="0" fontId="12" fillId="13" borderId="0" xfId="0" applyFont="1" applyFill="1" applyAlignment="1">
      <alignment vertical="center" wrapText="1"/>
    </xf>
    <xf numFmtId="0" fontId="19" fillId="13" borderId="0" xfId="0" applyFont="1" applyFill="1" applyBorder="1" applyAlignment="1">
      <alignment horizontal="center" vertical="center" wrapText="1"/>
    </xf>
    <xf numFmtId="0" fontId="18" fillId="13" borderId="0" xfId="0" applyFont="1" applyFill="1" applyBorder="1" applyAlignment="1">
      <alignment horizontal="left" vertical="center" wrapText="1"/>
    </xf>
    <xf numFmtId="165" fontId="13" fillId="13" borderId="0" xfId="0" applyNumberFormat="1" applyFont="1" applyFill="1" applyBorder="1" applyAlignment="1">
      <alignment horizontal="right" vertical="center" wrapText="1"/>
    </xf>
    <xf numFmtId="10" fontId="13" fillId="13" borderId="0" xfId="0" applyNumberFormat="1" applyFont="1" applyFill="1" applyBorder="1" applyAlignment="1">
      <alignment horizontal="center" vertical="center" wrapText="1"/>
    </xf>
    <xf numFmtId="8" fontId="13" fillId="13" borderId="0" xfId="0" applyNumberFormat="1" applyFont="1" applyFill="1" applyBorder="1" applyAlignment="1">
      <alignment horizontal="right" vertical="center"/>
    </xf>
    <xf numFmtId="0" fontId="18" fillId="13" borderId="0" xfId="0" applyFont="1" applyFill="1" applyBorder="1" applyAlignment="1">
      <alignment horizontal="left" vertical="center"/>
    </xf>
    <xf numFmtId="165" fontId="14" fillId="13" borderId="0" xfId="0" applyNumberFormat="1" applyFont="1" applyFill="1" applyBorder="1" applyAlignment="1">
      <alignment horizontal="right" vertical="center" wrapText="1"/>
    </xf>
    <xf numFmtId="10" fontId="14" fillId="13" borderId="0" xfId="0" applyNumberFormat="1" applyFont="1" applyFill="1" applyBorder="1" applyAlignment="1">
      <alignment horizontal="center" vertical="center" wrapText="1"/>
    </xf>
    <xf numFmtId="8" fontId="14" fillId="13" borderId="0" xfId="0" applyNumberFormat="1" applyFont="1" applyFill="1" applyBorder="1" applyAlignment="1">
      <alignment horizontal="right" vertical="center"/>
    </xf>
    <xf numFmtId="0" fontId="12" fillId="13" borderId="0" xfId="0" applyFont="1" applyFill="1" applyBorder="1" applyAlignment="1">
      <alignment horizontal="right" vertical="center"/>
    </xf>
    <xf numFmtId="0" fontId="16" fillId="13" borderId="0" xfId="0" applyFont="1" applyFill="1" applyBorder="1" applyAlignment="1">
      <alignment horizontal="center" vertical="center"/>
    </xf>
    <xf numFmtId="44" fontId="13" fillId="13" borderId="0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5" fillId="13" borderId="0" xfId="0" applyFont="1" applyFill="1" applyBorder="1" applyAlignment="1">
      <alignment horizontal="center" vertical="center"/>
    </xf>
    <xf numFmtId="44" fontId="14" fillId="13" borderId="0" xfId="0" applyNumberFormat="1" applyFont="1" applyFill="1" applyBorder="1" applyAlignment="1">
      <alignment horizontal="right" vertical="center"/>
    </xf>
    <xf numFmtId="0" fontId="41" fillId="13" borderId="0" xfId="0" applyFont="1" applyFill="1" applyBorder="1" applyAlignment="1">
      <alignment horizontal="center" vertical="center" wrapText="1"/>
    </xf>
    <xf numFmtId="44" fontId="18" fillId="13" borderId="0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center" wrapText="1"/>
    </xf>
    <xf numFmtId="44" fontId="18" fillId="0" borderId="1" xfId="0" applyNumberFormat="1" applyFont="1" applyBorder="1" applyAlignment="1">
      <alignment horizontal="center" vertical="center" wrapText="1"/>
    </xf>
    <xf numFmtId="0" fontId="17" fillId="13" borderId="0" xfId="0" applyFont="1" applyFill="1" applyBorder="1" applyAlignment="1">
      <alignment vertical="center"/>
    </xf>
    <xf numFmtId="0" fontId="17" fillId="13" borderId="0" xfId="0" applyFont="1" applyFill="1" applyBorder="1" applyAlignment="1">
      <alignment horizontal="left" vertical="center"/>
    </xf>
    <xf numFmtId="0" fontId="6" fillId="13" borderId="0" xfId="0" applyFont="1" applyFill="1" applyAlignment="1">
      <alignment horizontal="center" vertical="center" wrapText="1"/>
    </xf>
    <xf numFmtId="165" fontId="1" fillId="13" borderId="0" xfId="0" applyNumberFormat="1" applyFont="1" applyFill="1" applyAlignment="1">
      <alignment vertical="center"/>
    </xf>
    <xf numFmtId="165" fontId="5" fillId="13" borderId="0" xfId="0" applyNumberFormat="1" applyFont="1" applyFill="1" applyAlignment="1"/>
    <xf numFmtId="44" fontId="0" fillId="13" borderId="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top" readingOrder="1"/>
    </xf>
    <xf numFmtId="0" fontId="0" fillId="0" borderId="3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33" fillId="13" borderId="0" xfId="1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9" fillId="13" borderId="0" xfId="0" applyFont="1" applyFill="1" applyBorder="1" applyAlignment="1">
      <alignment horizontal="center" vertical="center" wrapText="1"/>
    </xf>
    <xf numFmtId="44" fontId="0" fillId="0" borderId="3" xfId="0" applyNumberFormat="1" applyFont="1" applyFill="1" applyBorder="1" applyAlignment="1">
      <alignment horizontal="center" vertical="center"/>
    </xf>
    <xf numFmtId="165" fontId="3" fillId="13" borderId="0" xfId="0" applyNumberFormat="1" applyFont="1" applyFill="1" applyBorder="1" applyAlignment="1">
      <alignment horizontal="right" vertical="center" readingOrder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3" fillId="0" borderId="3" xfId="0" applyNumberFormat="1" applyFont="1" applyFill="1" applyBorder="1" applyAlignment="1">
      <alignment horizontal="right" vertical="center" readingOrder="1"/>
    </xf>
    <xf numFmtId="0" fontId="3" fillId="0" borderId="0" xfId="0" applyFont="1" applyFill="1" applyBorder="1" applyAlignment="1">
      <alignment horizontal="center" vertical="top" readingOrder="1"/>
    </xf>
    <xf numFmtId="0" fontId="0" fillId="4" borderId="18" xfId="0" applyFill="1" applyBorder="1" applyAlignment="1">
      <alignment horizontal="center" wrapText="1"/>
    </xf>
    <xf numFmtId="0" fontId="0" fillId="4" borderId="22" xfId="0" applyFill="1" applyBorder="1" applyAlignment="1">
      <alignment horizontal="center" wrapText="1"/>
    </xf>
    <xf numFmtId="0" fontId="19" fillId="3" borderId="23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10" fontId="18" fillId="0" borderId="13" xfId="0" applyNumberFormat="1" applyFont="1" applyBorder="1" applyAlignment="1">
      <alignment horizontal="center" vertical="center" wrapText="1"/>
    </xf>
    <xf numFmtId="8" fontId="18" fillId="0" borderId="13" xfId="0" applyNumberFormat="1" applyFont="1" applyBorder="1" applyAlignment="1">
      <alignment horizontal="right" vertical="center"/>
    </xf>
    <xf numFmtId="0" fontId="18" fillId="17" borderId="11" xfId="0" applyFont="1" applyFill="1" applyBorder="1" applyAlignment="1">
      <alignment horizontal="left" vertical="center"/>
    </xf>
    <xf numFmtId="10" fontId="41" fillId="17" borderId="13" xfId="0" applyNumberFormat="1" applyFont="1" applyFill="1" applyBorder="1" applyAlignment="1">
      <alignment horizontal="center" vertical="center" wrapText="1"/>
    </xf>
    <xf numFmtId="8" fontId="41" fillId="17" borderId="13" xfId="0" applyNumberFormat="1" applyFont="1" applyFill="1" applyBorder="1" applyAlignment="1">
      <alignment horizontal="right" vertical="center"/>
    </xf>
    <xf numFmtId="0" fontId="38" fillId="0" borderId="0" xfId="0" applyFont="1"/>
    <xf numFmtId="0" fontId="18" fillId="18" borderId="11" xfId="0" applyFont="1" applyFill="1" applyBorder="1" applyAlignment="1">
      <alignment horizontal="right" vertical="center"/>
    </xf>
    <xf numFmtId="8" fontId="18" fillId="18" borderId="13" xfId="0" applyNumberFormat="1" applyFont="1" applyFill="1" applyBorder="1" applyAlignment="1">
      <alignment horizontal="right" vertical="center"/>
    </xf>
    <xf numFmtId="0" fontId="18" fillId="18" borderId="13" xfId="0" applyFont="1" applyFill="1" applyBorder="1" applyAlignment="1">
      <alignment horizontal="right" vertical="center"/>
    </xf>
    <xf numFmtId="44" fontId="18" fillId="0" borderId="13" xfId="0" applyNumberFormat="1" applyFont="1" applyBorder="1" applyAlignment="1">
      <alignment horizontal="right" vertical="center" wrapText="1"/>
    </xf>
    <xf numFmtId="44" fontId="41" fillId="17" borderId="13" xfId="0" applyNumberFormat="1" applyFont="1" applyFill="1" applyBorder="1" applyAlignment="1">
      <alignment horizontal="right" vertical="center" wrapText="1"/>
    </xf>
    <xf numFmtId="8" fontId="42" fillId="0" borderId="1" xfId="0" applyNumberFormat="1" applyFont="1" applyBorder="1" applyAlignment="1">
      <alignment horizontal="right" vertical="center"/>
    </xf>
    <xf numFmtId="44" fontId="3" fillId="0" borderId="0" xfId="1" applyFont="1" applyFill="1" applyBorder="1" applyAlignment="1">
      <alignment vertical="top" readingOrder="1"/>
    </xf>
    <xf numFmtId="0" fontId="39" fillId="13" borderId="1" xfId="0" applyFont="1" applyFill="1" applyBorder="1" applyAlignment="1">
      <alignment horizontal="center" vertical="center" wrapText="1"/>
    </xf>
    <xf numFmtId="8" fontId="39" fillId="13" borderId="1" xfId="0" applyNumberFormat="1" applyFont="1" applyFill="1" applyBorder="1" applyAlignment="1">
      <alignment horizontal="center" vertical="center" wrapText="1"/>
    </xf>
    <xf numFmtId="0" fontId="40" fillId="13" borderId="1" xfId="0" applyFont="1" applyFill="1" applyBorder="1" applyAlignment="1">
      <alignment vertical="center"/>
    </xf>
    <xf numFmtId="0" fontId="40" fillId="13" borderId="1" xfId="0" applyFont="1" applyFill="1" applyBorder="1" applyAlignment="1">
      <alignment horizontal="center" vertical="center"/>
    </xf>
    <xf numFmtId="169" fontId="0" fillId="13" borderId="1" xfId="0" applyNumberForma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170" fontId="2" fillId="15" borderId="1" xfId="0" applyNumberFormat="1" applyFont="1" applyFill="1" applyBorder="1"/>
    <xf numFmtId="0" fontId="0" fillId="15" borderId="1" xfId="0" applyFill="1" applyBorder="1"/>
    <xf numFmtId="169" fontId="0" fillId="15" borderId="1" xfId="0" applyNumberFormat="1" applyFill="1" applyBorder="1" applyAlignment="1">
      <alignment horizontal="center"/>
    </xf>
    <xf numFmtId="8" fontId="0" fillId="15" borderId="1" xfId="0" applyNumberFormat="1" applyFill="1" applyBorder="1" applyAlignment="1">
      <alignment horizontal="center"/>
    </xf>
    <xf numFmtId="44" fontId="33" fillId="13" borderId="1" xfId="1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/>
    </xf>
    <xf numFmtId="4" fontId="5" fillId="13" borderId="0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Alignment="1" applyProtection="1">
      <alignment horizontal="center"/>
      <protection locked="0"/>
    </xf>
    <xf numFmtId="0" fontId="2" fillId="14" borderId="0" xfId="1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3" fillId="13" borderId="0" xfId="10" applyFont="1" applyFill="1" applyBorder="1" applyAlignment="1">
      <alignment horizontal="center" vertical="center" wrapText="1"/>
    </xf>
    <xf numFmtId="0" fontId="39" fillId="16" borderId="1" xfId="0" applyFont="1" applyFill="1" applyBorder="1" applyAlignment="1">
      <alignment horizontal="center" vertical="center" wrapText="1"/>
    </xf>
    <xf numFmtId="0" fontId="39" fillId="13" borderId="0" xfId="0" applyFont="1" applyFill="1" applyBorder="1" applyAlignment="1">
      <alignment horizontal="center" vertical="center" wrapText="1"/>
    </xf>
    <xf numFmtId="0" fontId="33" fillId="15" borderId="1" xfId="10" applyFont="1" applyFill="1" applyBorder="1" applyAlignment="1">
      <alignment horizontal="center" vertical="center" wrapText="1"/>
    </xf>
    <xf numFmtId="0" fontId="39" fillId="15" borderId="1" xfId="0" applyFont="1" applyFill="1" applyBorder="1" applyAlignment="1">
      <alignment horizontal="center" vertical="center" wrapText="1"/>
    </xf>
    <xf numFmtId="1" fontId="33" fillId="15" borderId="1" xfId="10" applyNumberFormat="1" applyFont="1" applyFill="1" applyBorder="1" applyAlignment="1">
      <alignment horizontal="center" vertical="center" wrapText="1"/>
    </xf>
    <xf numFmtId="0" fontId="20" fillId="13" borderId="0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8" fontId="12" fillId="0" borderId="0" xfId="0" applyNumberFormat="1" applyFont="1" applyAlignment="1">
      <alignment vertical="center" wrapText="1"/>
    </xf>
    <xf numFmtId="8" fontId="12" fillId="0" borderId="0" xfId="0" applyNumberFormat="1" applyFont="1"/>
    <xf numFmtId="165" fontId="0" fillId="13" borderId="0" xfId="0" applyNumberFormat="1" applyFill="1"/>
    <xf numFmtId="44" fontId="0" fillId="0" borderId="0" xfId="0" applyNumberFormat="1"/>
    <xf numFmtId="9" fontId="0" fillId="0" borderId="0" xfId="0" applyNumberFormat="1"/>
    <xf numFmtId="44" fontId="33" fillId="13" borderId="0" xfId="10" applyNumberFormat="1" applyFont="1" applyFill="1" applyBorder="1" applyAlignment="1">
      <alignment horizontal="center" vertical="center" wrapText="1"/>
    </xf>
  </cellXfs>
  <cellStyles count="52">
    <cellStyle name="0,0_x000a__x000a_NA_x000a__x000a_" xfId="12"/>
    <cellStyle name="0,0_x000d__x000a_NA_x000d__x000a_" xfId="13"/>
    <cellStyle name="1R" xfId="14"/>
    <cellStyle name="2R" xfId="15"/>
    <cellStyle name="Coma 2" xfId="3"/>
    <cellStyle name="Diseño" xfId="16"/>
    <cellStyle name="Estilo 1" xfId="11"/>
    <cellStyle name="Euro" xfId="17"/>
    <cellStyle name="Grey" xfId="18"/>
    <cellStyle name="Header1" xfId="19"/>
    <cellStyle name="Header2" xfId="20"/>
    <cellStyle name="Hyperlink" xfId="21"/>
    <cellStyle name="Hyperlink seguido" xfId="22"/>
    <cellStyle name="Input [yellow]" xfId="23"/>
    <cellStyle name="Input 0" xfId="24"/>
    <cellStyle name="Jun" xfId="25"/>
    <cellStyle name="Millares 2" xfId="4"/>
    <cellStyle name="Moneda" xfId="1" builtinId="4"/>
    <cellStyle name="Moneda 2" xfId="5"/>
    <cellStyle name="Moneda 3" xfId="37"/>
    <cellStyle name="Normal" xfId="0" builtinId="0"/>
    <cellStyle name="Normal - Style1" xfId="26"/>
    <cellStyle name="Normal 10" xfId="46"/>
    <cellStyle name="Normal 11" xfId="41"/>
    <cellStyle name="Normal 12" xfId="45"/>
    <cellStyle name="Normal 13" xfId="42"/>
    <cellStyle name="Normal 14" xfId="44"/>
    <cellStyle name="Normal 15" xfId="43"/>
    <cellStyle name="Normal 16" xfId="48"/>
    <cellStyle name="Normal 17" xfId="50"/>
    <cellStyle name="Normal 18" xfId="49"/>
    <cellStyle name="Normal 19" xfId="51"/>
    <cellStyle name="Normal 2" xfId="6"/>
    <cellStyle name="Normal 3" xfId="7"/>
    <cellStyle name="Normal 4" xfId="8"/>
    <cellStyle name="Normal 5" xfId="9"/>
    <cellStyle name="Normal 6" xfId="10"/>
    <cellStyle name="Normal 7" xfId="39"/>
    <cellStyle name="Normal 8" xfId="47"/>
    <cellStyle name="Normal 9" xfId="40"/>
    <cellStyle name="Option" xfId="27"/>
    <cellStyle name="PATXI" xfId="28"/>
    <cellStyle name="Percent [2]" xfId="29"/>
    <cellStyle name="Percentatge" xfId="2" builtinId="5"/>
    <cellStyle name="Percentatge 2" xfId="38"/>
    <cellStyle name="PSChar" xfId="30"/>
    <cellStyle name="PSDate" xfId="31"/>
    <cellStyle name="PSDec" xfId="32"/>
    <cellStyle name="PSHeading" xfId="33"/>
    <cellStyle name="PSInt" xfId="34"/>
    <cellStyle name="PSSpacer" xfId="35"/>
    <cellStyle name="Unit" xfId="36"/>
  </cellStyles>
  <dxfs count="0"/>
  <tableStyles count="0" defaultTableStyle="TableStyleMedium2" defaultPivotStyle="PivotStyleLight16"/>
  <colors>
    <mruColors>
      <color rgb="FF8B8949"/>
      <color rgb="FF8A8048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16</xdr:row>
          <xdr:rowOff>0</xdr:rowOff>
        </xdr:from>
        <xdr:to>
          <xdr:col>0</xdr:col>
          <xdr:colOff>1085850</xdr:colOff>
          <xdr:row>17</xdr:row>
          <xdr:rowOff>38100</xdr:rowOff>
        </xdr:to>
        <xdr:sp macro="" textlink="">
          <xdr:nvSpPr>
            <xdr:cNvPr id="4097" name="Control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16</xdr:row>
          <xdr:rowOff>0</xdr:rowOff>
        </xdr:from>
        <xdr:to>
          <xdr:col>0</xdr:col>
          <xdr:colOff>1085850</xdr:colOff>
          <xdr:row>17</xdr:row>
          <xdr:rowOff>38100</xdr:rowOff>
        </xdr:to>
        <xdr:sp macro="" textlink="">
          <xdr:nvSpPr>
            <xdr:cNvPr id="4098" name="Control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16</xdr:row>
          <xdr:rowOff>0</xdr:rowOff>
        </xdr:from>
        <xdr:to>
          <xdr:col>0</xdr:col>
          <xdr:colOff>1085850</xdr:colOff>
          <xdr:row>17</xdr:row>
          <xdr:rowOff>38100</xdr:rowOff>
        </xdr:to>
        <xdr:sp macro="" textlink="">
          <xdr:nvSpPr>
            <xdr:cNvPr id="4099" name="Control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16</xdr:row>
          <xdr:rowOff>0</xdr:rowOff>
        </xdr:from>
        <xdr:to>
          <xdr:col>0</xdr:col>
          <xdr:colOff>1085850</xdr:colOff>
          <xdr:row>17</xdr:row>
          <xdr:rowOff>38100</xdr:rowOff>
        </xdr:to>
        <xdr:sp macro="" textlink="">
          <xdr:nvSpPr>
            <xdr:cNvPr id="4100" name="Contro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16</xdr:row>
          <xdr:rowOff>0</xdr:rowOff>
        </xdr:from>
        <xdr:to>
          <xdr:col>0</xdr:col>
          <xdr:colOff>1085850</xdr:colOff>
          <xdr:row>17</xdr:row>
          <xdr:rowOff>38100</xdr:rowOff>
        </xdr:to>
        <xdr:sp macro="" textlink="">
          <xdr:nvSpPr>
            <xdr:cNvPr id="4101" name="Contro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D30"/>
  <sheetViews>
    <sheetView topLeftCell="B1" zoomScaleNormal="100" workbookViewId="0">
      <selection activeCell="J29" sqref="J29"/>
    </sheetView>
  </sheetViews>
  <sheetFormatPr defaultColWidth="11.42578125" defaultRowHeight="15"/>
  <cols>
    <col min="1" max="1" width="19.28515625" style="4" bestFit="1" customWidth="1"/>
    <col min="2" max="2" width="21.7109375" style="7" bestFit="1" customWidth="1"/>
    <col min="3" max="3" width="32.28515625" style="6" bestFit="1" customWidth="1"/>
    <col min="4" max="4" width="24.42578125" style="7" customWidth="1"/>
    <col min="5" max="5" width="9.7109375" style="7" customWidth="1"/>
    <col min="6" max="6" width="17.5703125" style="6" customWidth="1"/>
    <col min="7" max="7" width="17.7109375" style="6" customWidth="1"/>
    <col min="8" max="8" width="16.5703125" style="4" customWidth="1"/>
    <col min="9" max="9" width="18.42578125" style="4" bestFit="1" customWidth="1"/>
    <col min="10" max="12" width="18.42578125" style="4" customWidth="1"/>
    <col min="13" max="13" width="13.42578125" style="4" bestFit="1" customWidth="1"/>
    <col min="14" max="14" width="20" style="4" customWidth="1"/>
    <col min="15" max="15" width="18.5703125" style="4" bestFit="1" customWidth="1"/>
    <col min="16" max="16" width="15.42578125" style="4" customWidth="1"/>
    <col min="17" max="17" width="15.5703125" style="4" customWidth="1"/>
    <col min="18" max="18" width="12.42578125" style="4" customWidth="1"/>
    <col min="19" max="19" width="16.5703125" style="4" customWidth="1"/>
    <col min="20" max="20" width="12.42578125" style="4" customWidth="1"/>
    <col min="21" max="21" width="16.28515625" style="4" customWidth="1"/>
    <col min="22" max="22" width="11.5703125" style="4" customWidth="1"/>
    <col min="23" max="24" width="14.42578125" style="4" customWidth="1"/>
    <col min="25" max="26" width="17.7109375" style="5" bestFit="1" customWidth="1"/>
    <col min="27" max="27" width="14.42578125" style="4" customWidth="1"/>
    <col min="28" max="28" width="11.5703125" style="5" bestFit="1" customWidth="1"/>
    <col min="29" max="29" width="18.42578125" style="5" bestFit="1" customWidth="1"/>
    <col min="30" max="30" width="17.42578125" style="5" customWidth="1"/>
    <col min="31" max="31" width="14" style="4" customWidth="1"/>
    <col min="32" max="33" width="11.42578125" style="4"/>
    <col min="34" max="34" width="12.5703125" style="4" bestFit="1" customWidth="1"/>
    <col min="35" max="16384" width="11.42578125" style="4"/>
  </cols>
  <sheetData>
    <row r="1" spans="1:30" ht="31.5" customHeight="1">
      <c r="A1" s="42" t="s">
        <v>75</v>
      </c>
      <c r="B1" s="44"/>
      <c r="C1" s="43"/>
      <c r="D1" s="42"/>
      <c r="E1" s="41"/>
      <c r="F1" s="4"/>
      <c r="G1" s="4"/>
      <c r="Y1" s="4"/>
      <c r="Z1" s="4"/>
      <c r="AA1" s="5"/>
      <c r="AB1" s="4"/>
      <c r="AC1" s="4"/>
      <c r="AD1" s="4"/>
    </row>
    <row r="2" spans="1:30">
      <c r="A2" s="37" t="s">
        <v>12</v>
      </c>
      <c r="B2" s="39">
        <v>45668</v>
      </c>
      <c r="C2" s="38"/>
      <c r="D2" s="40"/>
      <c r="E2" s="40"/>
      <c r="F2" s="58"/>
      <c r="G2" s="59">
        <f>B2</f>
        <v>45668</v>
      </c>
      <c r="H2" s="59"/>
      <c r="Y2" s="4"/>
      <c r="Z2" s="4"/>
      <c r="AB2" s="4"/>
      <c r="AC2" s="4"/>
      <c r="AD2" s="4"/>
    </row>
    <row r="3" spans="1:30">
      <c r="A3" s="2" t="s">
        <v>2</v>
      </c>
      <c r="B3" s="39">
        <v>45668</v>
      </c>
      <c r="C3" s="38"/>
      <c r="D3" s="40"/>
      <c r="E3" s="40"/>
      <c r="F3" s="58"/>
      <c r="G3" s="59">
        <f>+B4</f>
        <v>45758</v>
      </c>
      <c r="H3" s="57"/>
      <c r="Y3" s="4"/>
      <c r="Z3" s="4"/>
      <c r="AB3" s="4"/>
      <c r="AC3" s="4"/>
      <c r="AD3" s="4"/>
    </row>
    <row r="4" spans="1:30">
      <c r="A4" s="37" t="s">
        <v>11</v>
      </c>
      <c r="B4" s="39">
        <v>45758</v>
      </c>
      <c r="C4" s="38"/>
      <c r="D4" s="8"/>
      <c r="E4" s="8"/>
      <c r="F4" s="58"/>
      <c r="G4" s="60">
        <f>G3-G2+1</f>
        <v>91</v>
      </c>
      <c r="H4" s="60"/>
      <c r="M4" s="28"/>
      <c r="W4" s="5"/>
      <c r="Y4" s="4"/>
      <c r="Z4" s="4"/>
      <c r="AB4" s="4"/>
      <c r="AC4" s="4"/>
      <c r="AD4" s="4"/>
    </row>
    <row r="5" spans="1:30" ht="30">
      <c r="A5" s="37"/>
      <c r="B5" s="36"/>
      <c r="C5" s="224" t="s">
        <v>7</v>
      </c>
      <c r="D5" s="224"/>
      <c r="E5" s="124" t="s">
        <v>66</v>
      </c>
      <c r="F5" s="124" t="s">
        <v>67</v>
      </c>
      <c r="G5" s="124"/>
      <c r="H5" s="35" t="s">
        <v>10</v>
      </c>
      <c r="I5" s="35" t="s">
        <v>9</v>
      </c>
      <c r="J5" s="175"/>
      <c r="K5" s="175"/>
      <c r="L5" s="175"/>
      <c r="M5" s="28"/>
      <c r="N5" s="28"/>
      <c r="Y5" s="4"/>
      <c r="Z5" s="4"/>
      <c r="AB5" s="4"/>
      <c r="AC5" s="4"/>
      <c r="AD5" s="4"/>
    </row>
    <row r="6" spans="1:30">
      <c r="A6" s="34"/>
      <c r="B6" s="34"/>
      <c r="C6" s="226" t="s">
        <v>63</v>
      </c>
      <c r="D6" s="226"/>
      <c r="E6" s="125" t="s">
        <v>51</v>
      </c>
      <c r="F6" s="32">
        <f>F14</f>
        <v>104311.28</v>
      </c>
      <c r="G6" s="32"/>
      <c r="H6" s="32">
        <f t="shared" ref="H6" si="0">SUM(F6:G6)</f>
        <v>104311.28</v>
      </c>
      <c r="I6" s="32">
        <f t="shared" ref="I6:I8" si="1">+ROUND(H6/1.21,2)</f>
        <v>86207.67</v>
      </c>
      <c r="J6" s="176"/>
      <c r="K6" s="176"/>
      <c r="L6" s="176"/>
      <c r="M6" s="28"/>
      <c r="N6" s="28"/>
      <c r="X6" s="33"/>
      <c r="Y6" s="33"/>
      <c r="Z6" s="4"/>
      <c r="AB6" s="4"/>
      <c r="AC6" s="4"/>
      <c r="AD6" s="4"/>
    </row>
    <row r="7" spans="1:30">
      <c r="A7" s="7"/>
      <c r="C7" s="226"/>
      <c r="D7" s="226"/>
      <c r="E7" s="125"/>
      <c r="F7" s="32"/>
      <c r="G7" s="32"/>
      <c r="H7" s="32"/>
      <c r="I7" s="32"/>
      <c r="J7" s="176"/>
      <c r="K7" s="176"/>
      <c r="L7" s="176"/>
      <c r="M7" s="28"/>
      <c r="N7" s="28"/>
      <c r="Y7" s="4"/>
      <c r="Z7" s="4"/>
      <c r="AB7" s="4"/>
      <c r="AC7" s="4"/>
      <c r="AD7" s="4"/>
    </row>
    <row r="8" spans="1:30">
      <c r="A8" s="126"/>
      <c r="B8" s="126"/>
      <c r="D8" s="31" t="s">
        <v>8</v>
      </c>
      <c r="E8" s="31"/>
      <c r="F8" s="30">
        <f>SUM(F6:F7)</f>
        <v>104311.28</v>
      </c>
      <c r="G8" s="30"/>
      <c r="H8" s="18">
        <f>SUM(H6:H7)</f>
        <v>104311.28</v>
      </c>
      <c r="I8" s="18">
        <f t="shared" si="1"/>
        <v>86207.67</v>
      </c>
      <c r="J8" s="177"/>
      <c r="K8" s="177"/>
      <c r="L8" s="177"/>
      <c r="M8" s="28"/>
      <c r="N8" s="28"/>
      <c r="Y8" s="4"/>
      <c r="Z8" s="4"/>
      <c r="AB8" s="4"/>
      <c r="AC8" s="4"/>
      <c r="AD8" s="4"/>
    </row>
    <row r="9" spans="1:30">
      <c r="B9" s="8"/>
      <c r="C9" s="4"/>
      <c r="D9" s="8"/>
      <c r="E9" s="8"/>
      <c r="F9" s="4"/>
      <c r="G9" s="4"/>
      <c r="H9" s="29">
        <f>H8-I8</f>
        <v>18103.61</v>
      </c>
      <c r="I9" s="29"/>
      <c r="M9" s="28"/>
      <c r="N9" s="28"/>
      <c r="Y9" s="4"/>
      <c r="Z9" s="4"/>
      <c r="AB9" s="4"/>
      <c r="AC9" s="4"/>
      <c r="AD9" s="4"/>
    </row>
    <row r="10" spans="1:30" ht="15.75">
      <c r="A10" s="225">
        <v>2025</v>
      </c>
      <c r="B10" s="225"/>
      <c r="C10" s="225"/>
      <c r="D10" s="225"/>
      <c r="E10" s="225"/>
      <c r="F10" s="225"/>
      <c r="H10" s="61"/>
      <c r="V10" s="27"/>
      <c r="W10" s="27"/>
      <c r="Y10" s="2"/>
      <c r="Z10" s="2"/>
      <c r="AA10" s="5"/>
      <c r="AB10" s="4"/>
      <c r="AC10" s="4"/>
      <c r="AD10" s="4"/>
    </row>
    <row r="11" spans="1:30" s="2" customFormat="1" ht="45" customHeight="1">
      <c r="A11" s="24" t="s">
        <v>7</v>
      </c>
      <c r="B11" s="24" t="s">
        <v>6</v>
      </c>
      <c r="C11" s="24" t="s">
        <v>5</v>
      </c>
      <c r="D11" s="24" t="s">
        <v>4</v>
      </c>
      <c r="E11" s="24" t="s">
        <v>3</v>
      </c>
      <c r="F11" s="26" t="s">
        <v>28</v>
      </c>
      <c r="G11" s="24" t="s">
        <v>2</v>
      </c>
      <c r="H11" s="4"/>
      <c r="J11" s="25"/>
    </row>
    <row r="12" spans="1:30" s="2" customFormat="1">
      <c r="A12" s="74" t="s">
        <v>34</v>
      </c>
      <c r="B12" s="3" t="s">
        <v>27</v>
      </c>
      <c r="C12" s="3" t="s">
        <v>35</v>
      </c>
      <c r="D12" s="3" t="s">
        <v>27</v>
      </c>
      <c r="E12" s="3">
        <v>1</v>
      </c>
      <c r="F12" s="12">
        <f>ROUND(Infraestr2!G6,2)</f>
        <v>104311.28</v>
      </c>
      <c r="G12" s="9">
        <f>+$B$3</f>
        <v>45668</v>
      </c>
      <c r="H12" s="4"/>
      <c r="J12" s="25"/>
    </row>
    <row r="13" spans="1:30" s="2" customFormat="1">
      <c r="A13" s="75"/>
      <c r="B13" s="73" t="s">
        <v>64</v>
      </c>
      <c r="C13" s="3"/>
      <c r="D13" s="73"/>
      <c r="E13" s="3"/>
      <c r="F13" s="12"/>
      <c r="G13" s="9"/>
      <c r="H13" s="9"/>
      <c r="I13" s="4"/>
    </row>
    <row r="14" spans="1:30" s="2" customFormat="1" ht="15.75">
      <c r="A14" s="24" t="s">
        <v>1</v>
      </c>
      <c r="B14" s="23"/>
      <c r="C14" s="22"/>
      <c r="D14" s="21"/>
      <c r="E14" s="20"/>
      <c r="F14" s="19">
        <f>SUM(F12:F12)</f>
        <v>104311.28</v>
      </c>
      <c r="G14" s="19"/>
      <c r="H14" s="223"/>
      <c r="I14" s="4"/>
    </row>
    <row r="15" spans="1:30" s="2" customFormat="1">
      <c r="A15" s="17"/>
      <c r="B15" s="16"/>
      <c r="C15" s="15"/>
      <c r="D15" s="14"/>
      <c r="E15" s="13"/>
      <c r="F15" s="12"/>
      <c r="G15" s="12"/>
      <c r="H15" s="12"/>
      <c r="I15" s="10"/>
      <c r="J15" s="10"/>
      <c r="K15" s="10"/>
      <c r="L15" s="10"/>
      <c r="M15" s="12"/>
      <c r="N15" s="11"/>
      <c r="O15" s="10"/>
      <c r="P15" s="12"/>
      <c r="Q15" s="11"/>
      <c r="R15" s="10"/>
      <c r="S15" s="10"/>
      <c r="T15" s="10"/>
      <c r="U15" s="10"/>
      <c r="V15" s="9"/>
      <c r="W15" s="9"/>
      <c r="X15" s="4"/>
    </row>
    <row r="16" spans="1:30" s="2" customFormat="1">
      <c r="A16" s="17"/>
      <c r="B16" s="16"/>
      <c r="C16" s="15"/>
      <c r="D16" s="14"/>
      <c r="E16" s="13"/>
      <c r="F16" s="12"/>
      <c r="G16" s="12"/>
      <c r="H16" s="12"/>
      <c r="I16" s="12"/>
      <c r="J16" s="12"/>
      <c r="K16" s="12"/>
      <c r="L16" s="12"/>
      <c r="M16" s="12"/>
      <c r="N16" s="11"/>
      <c r="O16" s="10"/>
      <c r="P16" s="12"/>
      <c r="Q16" s="11"/>
      <c r="R16" s="12"/>
      <c r="S16" s="12"/>
      <c r="T16" s="12"/>
      <c r="U16" s="12"/>
      <c r="V16" s="9"/>
      <c r="W16" s="9"/>
      <c r="X16" s="12"/>
    </row>
    <row r="17" spans="7:30">
      <c r="M17" s="6"/>
      <c r="P17" s="6"/>
      <c r="S17" s="6"/>
    </row>
    <row r="18" spans="7:30">
      <c r="K18" s="4">
        <f>I8*4*0.7</f>
        <v>241381.47599999997</v>
      </c>
    </row>
    <row r="19" spans="7:30">
      <c r="K19" s="4">
        <f>F8*0.4*7</f>
        <v>292071.58400000003</v>
      </c>
    </row>
    <row r="20" spans="7:30">
      <c r="K20" s="4">
        <v>576898</v>
      </c>
      <c r="L20" s="4">
        <f>K20*100/1.5</f>
        <v>38459866.666666664</v>
      </c>
    </row>
    <row r="22" spans="7:30">
      <c r="G22" s="4"/>
      <c r="V22" s="5"/>
      <c r="W22" s="5"/>
      <c r="AA22" s="5"/>
      <c r="AB22" s="4"/>
      <c r="AC22" s="4"/>
      <c r="AD22" s="4"/>
    </row>
    <row r="23" spans="7:30">
      <c r="G23" s="4"/>
      <c r="V23" s="5"/>
      <c r="W23" s="5"/>
      <c r="AA23" s="5"/>
      <c r="AB23" s="4"/>
      <c r="AC23" s="4"/>
      <c r="AD23" s="4"/>
    </row>
    <row r="24" spans="7:30">
      <c r="G24" s="4"/>
      <c r="V24" s="5"/>
      <c r="W24" s="5"/>
      <c r="AA24" s="5"/>
      <c r="AB24" s="4"/>
      <c r="AC24" s="4"/>
      <c r="AD24" s="4"/>
    </row>
    <row r="25" spans="7:30">
      <c r="G25" s="4"/>
      <c r="V25" s="5"/>
      <c r="W25" s="5"/>
      <c r="AA25" s="5"/>
      <c r="AB25" s="4"/>
      <c r="AC25" s="4"/>
      <c r="AD25" s="4"/>
    </row>
    <row r="26" spans="7:30">
      <c r="G26" s="4"/>
      <c r="V26" s="5"/>
      <c r="W26" s="5"/>
      <c r="AA26" s="5"/>
      <c r="AB26" s="4"/>
      <c r="AC26" s="4"/>
      <c r="AD26" s="4"/>
    </row>
    <row r="27" spans="7:30">
      <c r="G27" s="4"/>
      <c r="V27" s="5"/>
      <c r="W27" s="5"/>
      <c r="AA27" s="5"/>
      <c r="AB27" s="4"/>
      <c r="AC27" s="4"/>
      <c r="AD27" s="4"/>
    </row>
    <row r="28" spans="7:30">
      <c r="G28" s="4"/>
      <c r="V28" s="5"/>
      <c r="W28" s="5"/>
      <c r="AA28" s="5"/>
      <c r="AB28" s="4"/>
      <c r="AC28" s="4"/>
      <c r="AD28" s="4"/>
    </row>
    <row r="29" spans="7:30">
      <c r="G29" s="4"/>
      <c r="V29" s="5"/>
      <c r="W29" s="5"/>
      <c r="AA29" s="5"/>
      <c r="AB29" s="4"/>
      <c r="AC29" s="4"/>
      <c r="AD29" s="4"/>
    </row>
    <row r="30" spans="7:30">
      <c r="G30" s="4"/>
      <c r="V30" s="5"/>
      <c r="W30" s="5"/>
      <c r="AA30" s="5"/>
      <c r="AB30" s="4"/>
      <c r="AC30" s="4"/>
      <c r="AD30" s="4"/>
    </row>
  </sheetData>
  <sheetProtection insertColumns="0" insertRows="0" sort="0" pivotTables="0"/>
  <mergeCells count="4">
    <mergeCell ref="C5:D5"/>
    <mergeCell ref="A10:F10"/>
    <mergeCell ref="C6:D6"/>
    <mergeCell ref="C7:D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ntrol 1">
          <controlPr defaultSize="0" r:id="rId5">
            <anchor moveWithCells="1">
              <from>
                <xdr:col>0</xdr:col>
                <xdr:colOff>171450</xdr:colOff>
                <xdr:row>16</xdr:row>
                <xdr:rowOff>0</xdr:rowOff>
              </from>
              <to>
                <xdr:col>0</xdr:col>
                <xdr:colOff>1085850</xdr:colOff>
                <xdr:row>17</xdr:row>
                <xdr:rowOff>38100</xdr:rowOff>
              </to>
            </anchor>
          </controlPr>
        </control>
      </mc:Choice>
      <mc:Fallback>
        <control shapeId="4097" r:id="rId4" name="Control 1"/>
      </mc:Fallback>
    </mc:AlternateContent>
    <mc:AlternateContent xmlns:mc="http://schemas.openxmlformats.org/markup-compatibility/2006">
      <mc:Choice Requires="x14">
        <control shapeId="4098" r:id="rId6" name="Control 2">
          <controlPr defaultSize="0" r:id="rId7">
            <anchor moveWithCells="1">
              <from>
                <xdr:col>0</xdr:col>
                <xdr:colOff>171450</xdr:colOff>
                <xdr:row>16</xdr:row>
                <xdr:rowOff>0</xdr:rowOff>
              </from>
              <to>
                <xdr:col>0</xdr:col>
                <xdr:colOff>1085850</xdr:colOff>
                <xdr:row>17</xdr:row>
                <xdr:rowOff>38100</xdr:rowOff>
              </to>
            </anchor>
          </controlPr>
        </control>
      </mc:Choice>
      <mc:Fallback>
        <control shapeId="4098" r:id="rId6" name="Control 2"/>
      </mc:Fallback>
    </mc:AlternateContent>
    <mc:AlternateContent xmlns:mc="http://schemas.openxmlformats.org/markup-compatibility/2006">
      <mc:Choice Requires="x14">
        <control shapeId="4099" r:id="rId8" name="Control 3">
          <controlPr defaultSize="0" r:id="rId9">
            <anchor moveWithCells="1">
              <from>
                <xdr:col>0</xdr:col>
                <xdr:colOff>171450</xdr:colOff>
                <xdr:row>16</xdr:row>
                <xdr:rowOff>0</xdr:rowOff>
              </from>
              <to>
                <xdr:col>0</xdr:col>
                <xdr:colOff>1085850</xdr:colOff>
                <xdr:row>17</xdr:row>
                <xdr:rowOff>38100</xdr:rowOff>
              </to>
            </anchor>
          </controlPr>
        </control>
      </mc:Choice>
      <mc:Fallback>
        <control shapeId="4099" r:id="rId8" name="Control 3"/>
      </mc:Fallback>
    </mc:AlternateContent>
    <mc:AlternateContent xmlns:mc="http://schemas.openxmlformats.org/markup-compatibility/2006">
      <mc:Choice Requires="x14">
        <control shapeId="4100" r:id="rId10" name="Control 4">
          <controlPr defaultSize="0" r:id="rId11">
            <anchor moveWithCells="1">
              <from>
                <xdr:col>0</xdr:col>
                <xdr:colOff>171450</xdr:colOff>
                <xdr:row>16</xdr:row>
                <xdr:rowOff>0</xdr:rowOff>
              </from>
              <to>
                <xdr:col>0</xdr:col>
                <xdr:colOff>1085850</xdr:colOff>
                <xdr:row>17</xdr:row>
                <xdr:rowOff>38100</xdr:rowOff>
              </to>
            </anchor>
          </controlPr>
        </control>
      </mc:Choice>
      <mc:Fallback>
        <control shapeId="4100" r:id="rId10" name="Control 4"/>
      </mc:Fallback>
    </mc:AlternateContent>
    <mc:AlternateContent xmlns:mc="http://schemas.openxmlformats.org/markup-compatibility/2006">
      <mc:Choice Requires="x14">
        <control shapeId="4101" r:id="rId12" name="Control 5">
          <controlPr defaultSize="0" r:id="rId13">
            <anchor moveWithCells="1">
              <from>
                <xdr:col>0</xdr:col>
                <xdr:colOff>171450</xdr:colOff>
                <xdr:row>16</xdr:row>
                <xdr:rowOff>0</xdr:rowOff>
              </from>
              <to>
                <xdr:col>0</xdr:col>
                <xdr:colOff>1085850</xdr:colOff>
                <xdr:row>17</xdr:row>
                <xdr:rowOff>38100</xdr:rowOff>
              </to>
            </anchor>
          </controlPr>
        </control>
      </mc:Choice>
      <mc:Fallback>
        <control shapeId="4101" r:id="rId12" name="Control 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1"/>
  <sheetViews>
    <sheetView zoomScaleNormal="100" workbookViewId="0">
      <selection activeCell="G32" sqref="G32"/>
    </sheetView>
  </sheetViews>
  <sheetFormatPr defaultColWidth="9.28515625" defaultRowHeight="15"/>
  <cols>
    <col min="1" max="1" width="16.28515625" style="1" customWidth="1"/>
    <col min="2" max="2" width="50.28515625" style="1" customWidth="1"/>
    <col min="3" max="3" width="17.42578125" style="1" customWidth="1"/>
    <col min="4" max="4" width="22.42578125" style="1" customWidth="1"/>
    <col min="5" max="5" width="13.42578125" style="1" customWidth="1"/>
    <col min="6" max="6" width="15.7109375" style="1" customWidth="1"/>
    <col min="7" max="7" width="17" style="2" customWidth="1"/>
    <col min="8" max="8" width="14.5703125" style="1" bestFit="1" customWidth="1"/>
    <col min="9" max="9" width="13.28515625" style="1" customWidth="1"/>
    <col min="10" max="10" width="15.28515625" style="1" customWidth="1"/>
    <col min="11" max="11" width="13.140625" style="1" customWidth="1"/>
    <col min="12" max="16384" width="9.28515625" style="1"/>
  </cols>
  <sheetData>
    <row r="2" spans="1:22" ht="30.75" thickBot="1">
      <c r="A2" s="129"/>
      <c r="B2" s="129" t="s">
        <v>63</v>
      </c>
      <c r="C2" s="181"/>
      <c r="D2" s="182"/>
      <c r="E2" s="183"/>
      <c r="F2" s="68" t="s">
        <v>73</v>
      </c>
      <c r="G2" s="133" t="s">
        <v>74</v>
      </c>
      <c r="H2" s="134"/>
      <c r="I2" s="134"/>
    </row>
    <row r="3" spans="1:22" ht="18" customHeight="1">
      <c r="A3" s="189"/>
      <c r="B3" s="180" t="s">
        <v>0</v>
      </c>
      <c r="C3" s="179" t="s">
        <v>91</v>
      </c>
      <c r="D3" s="179"/>
      <c r="E3" s="179"/>
      <c r="F3" s="191">
        <f>G25</f>
        <v>73678.909999999989</v>
      </c>
      <c r="G3" s="187">
        <f>H25</f>
        <v>89151.489999999991</v>
      </c>
      <c r="H3" s="188"/>
      <c r="I3" s="178"/>
    </row>
    <row r="4" spans="1:22">
      <c r="A4" s="190"/>
      <c r="B4" s="79" t="s">
        <v>62</v>
      </c>
      <c r="C4" s="192"/>
      <c r="D4" s="192"/>
      <c r="E4" s="192"/>
      <c r="F4" s="78">
        <f>E34</f>
        <v>7500</v>
      </c>
      <c r="G4" s="210">
        <f>ROUND(F4*1.21,2)</f>
        <v>9075</v>
      </c>
      <c r="H4" s="131"/>
      <c r="I4" s="132"/>
    </row>
    <row r="5" spans="1:22">
      <c r="A5" s="190"/>
      <c r="B5" s="130" t="s">
        <v>94</v>
      </c>
      <c r="C5" s="192"/>
      <c r="D5" s="192"/>
      <c r="E5" s="192"/>
      <c r="F5" s="128">
        <v>5028.75</v>
      </c>
      <c r="G5" s="210">
        <f>F5*1.21</f>
        <v>6084.7874999999995</v>
      </c>
      <c r="H5" s="131"/>
      <c r="I5" s="132"/>
    </row>
    <row r="6" spans="1:22">
      <c r="A6" s="71"/>
      <c r="B6" s="71"/>
      <c r="C6" s="194"/>
      <c r="D6" s="193" t="s">
        <v>1</v>
      </c>
      <c r="E6" s="194"/>
      <c r="F6" s="69">
        <f>F3+F4+F5</f>
        <v>86207.659999999989</v>
      </c>
      <c r="G6" s="69">
        <f>G3+G4+G5</f>
        <v>104311.2775</v>
      </c>
      <c r="H6" s="135"/>
      <c r="I6" s="135"/>
    </row>
    <row r="7" spans="1:22" ht="15.75" thickBot="1">
      <c r="F7" s="77"/>
      <c r="I7" s="77"/>
    </row>
    <row r="8" spans="1:22">
      <c r="B8" s="228" t="s">
        <v>70</v>
      </c>
      <c r="C8" s="66" t="s">
        <v>29</v>
      </c>
      <c r="D8" s="67" t="s">
        <v>32</v>
      </c>
      <c r="E8" s="67" t="s">
        <v>33</v>
      </c>
    </row>
    <row r="9" spans="1:22" ht="15.75" thickBot="1">
      <c r="B9" s="229"/>
      <c r="C9" s="62">
        <f>$K$32+$O$40</f>
        <v>259</v>
      </c>
      <c r="D9" s="63">
        <f>$L$32+$P$40</f>
        <v>1742</v>
      </c>
      <c r="E9" s="63">
        <f>$M$32+$Q$40</f>
        <v>65550</v>
      </c>
    </row>
    <row r="10" spans="1:22">
      <c r="B10" s="65"/>
      <c r="C10" s="72"/>
      <c r="D10" s="72"/>
      <c r="E10" s="72"/>
      <c r="G10" s="2">
        <v>3</v>
      </c>
      <c r="H10" s="1" t="s">
        <v>68</v>
      </c>
    </row>
    <row r="11" spans="1:22">
      <c r="A11" s="227" t="s">
        <v>48</v>
      </c>
      <c r="B11" s="227"/>
      <c r="C11" s="227"/>
      <c r="D11" s="227"/>
      <c r="E11" s="227"/>
      <c r="F11" s="227"/>
      <c r="G11" s="227"/>
      <c r="H11" s="227"/>
      <c r="I11" s="227"/>
    </row>
    <row r="12" spans="1:22" ht="15" customHeight="1">
      <c r="A12" s="234" t="s">
        <v>40</v>
      </c>
      <c r="B12" s="234" t="s">
        <v>52</v>
      </c>
      <c r="C12" s="82" t="s">
        <v>53</v>
      </c>
      <c r="D12" s="234" t="s">
        <v>54</v>
      </c>
      <c r="E12" s="235" t="s">
        <v>41</v>
      </c>
      <c r="F12" s="233" t="s">
        <v>42</v>
      </c>
      <c r="G12" s="233" t="s">
        <v>69</v>
      </c>
      <c r="H12" s="233" t="s">
        <v>93</v>
      </c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</row>
    <row r="13" spans="1:22">
      <c r="A13" s="234"/>
      <c r="B13" s="234"/>
      <c r="C13" s="82" t="s">
        <v>55</v>
      </c>
      <c r="D13" s="234"/>
      <c r="E13" s="235"/>
      <c r="F13" s="233"/>
      <c r="G13" s="233"/>
      <c r="H13" s="233"/>
      <c r="I13" s="83"/>
      <c r="J13" s="243"/>
      <c r="K13" s="64" t="s">
        <v>71</v>
      </c>
      <c r="L13" s="64"/>
      <c r="M13" s="64"/>
      <c r="N13" s="64"/>
      <c r="O13" s="64" t="s">
        <v>72</v>
      </c>
      <c r="P13" s="64"/>
      <c r="Q13" s="64"/>
      <c r="R13" s="64"/>
      <c r="S13" s="119"/>
      <c r="T13" s="119"/>
      <c r="U13" s="119"/>
      <c r="V13" s="136"/>
    </row>
    <row r="14" spans="1:22" ht="15" customHeight="1">
      <c r="A14" s="231" t="s">
        <v>56</v>
      </c>
      <c r="B14" s="84" t="s">
        <v>37</v>
      </c>
      <c r="C14" s="85" t="s">
        <v>36</v>
      </c>
      <c r="D14" s="86">
        <v>1.4383E-2</v>
      </c>
      <c r="E14" s="87">
        <f>$K$32+$O$40</f>
        <v>259</v>
      </c>
      <c r="F14" s="88">
        <f>D14*E14*720</f>
        <v>2682.1418400000002</v>
      </c>
      <c r="G14" s="88">
        <f>ROUND(+F14*$G$10,2)</f>
        <v>8046.43</v>
      </c>
      <c r="H14" s="89">
        <f>ROUND(G14*1.21,2)</f>
        <v>9736.18</v>
      </c>
      <c r="I14" s="230"/>
      <c r="J14" s="242"/>
      <c r="K14" s="90" t="s">
        <v>29</v>
      </c>
      <c r="L14" s="90" t="s">
        <v>30</v>
      </c>
      <c r="M14" s="90" t="s">
        <v>31</v>
      </c>
      <c r="N14" s="64"/>
      <c r="O14" s="90" t="s">
        <v>29</v>
      </c>
      <c r="P14" s="90" t="s">
        <v>30</v>
      </c>
      <c r="Q14" s="90" t="s">
        <v>31</v>
      </c>
      <c r="R14" s="64"/>
      <c r="S14" s="119"/>
      <c r="T14" s="119"/>
      <c r="U14" s="119"/>
      <c r="V14" s="136"/>
    </row>
    <row r="15" spans="1:22">
      <c r="A15" s="231"/>
      <c r="B15" s="84" t="s">
        <v>38</v>
      </c>
      <c r="C15" s="85" t="s">
        <v>36</v>
      </c>
      <c r="D15" s="86">
        <v>6.6670000000000002E-3</v>
      </c>
      <c r="E15" s="87">
        <f>$L$32+$P$40</f>
        <v>1742</v>
      </c>
      <c r="F15" s="88">
        <f t="shared" ref="F15:F16" si="0">D15*E15*720</f>
        <v>8362.0180800000016</v>
      </c>
      <c r="G15" s="88">
        <f t="shared" ref="G15:G24" si="1">ROUND(+F15*$G$10,2)</f>
        <v>25086.05</v>
      </c>
      <c r="H15" s="89">
        <f t="shared" ref="H15:H24" si="2">ROUND(G15*1.21,2)</f>
        <v>30354.12</v>
      </c>
      <c r="I15" s="230"/>
      <c r="J15" s="242"/>
      <c r="K15" s="64">
        <v>1</v>
      </c>
      <c r="L15" s="64">
        <v>4</v>
      </c>
      <c r="M15" s="64">
        <v>30</v>
      </c>
      <c r="N15" s="64"/>
      <c r="O15" s="64">
        <v>1</v>
      </c>
      <c r="P15" s="64">
        <v>4</v>
      </c>
      <c r="Q15" s="64">
        <v>30</v>
      </c>
      <c r="R15" s="64"/>
      <c r="S15" s="119"/>
      <c r="T15" s="119"/>
      <c r="U15" s="119"/>
      <c r="V15" s="136"/>
    </row>
    <row r="16" spans="1:22">
      <c r="A16" s="231"/>
      <c r="B16" s="84" t="s">
        <v>39</v>
      </c>
      <c r="C16" s="85" t="s">
        <v>36</v>
      </c>
      <c r="D16" s="86">
        <v>1.5100000000000001E-4</v>
      </c>
      <c r="E16" s="87">
        <f>$M$32+$Q$40</f>
        <v>65550</v>
      </c>
      <c r="F16" s="88">
        <f t="shared" si="0"/>
        <v>7126.5960000000014</v>
      </c>
      <c r="G16" s="88">
        <f t="shared" si="1"/>
        <v>21379.79</v>
      </c>
      <c r="H16" s="89">
        <f t="shared" si="2"/>
        <v>25869.55</v>
      </c>
      <c r="I16" s="91"/>
      <c r="J16" s="242"/>
      <c r="K16" s="64">
        <v>1</v>
      </c>
      <c r="L16" s="64">
        <v>4</v>
      </c>
      <c r="M16" s="64">
        <v>30</v>
      </c>
      <c r="N16" s="64"/>
      <c r="O16" s="64">
        <v>1</v>
      </c>
      <c r="P16" s="64">
        <v>4</v>
      </c>
      <c r="Q16" s="64">
        <v>30</v>
      </c>
      <c r="R16" s="64"/>
      <c r="S16" s="119"/>
      <c r="T16" s="119"/>
      <c r="U16" s="119"/>
      <c r="V16" s="136"/>
    </row>
    <row r="17" spans="1:22">
      <c r="A17" s="92" t="s">
        <v>57</v>
      </c>
      <c r="B17" s="84" t="s">
        <v>44</v>
      </c>
      <c r="C17" s="85" t="s">
        <v>45</v>
      </c>
      <c r="D17" s="86">
        <v>9.7240800000000007</v>
      </c>
      <c r="E17" s="87">
        <v>25</v>
      </c>
      <c r="F17" s="93">
        <f>D17*E17</f>
        <v>243.10200000000003</v>
      </c>
      <c r="G17" s="88">
        <f t="shared" si="1"/>
        <v>729.31</v>
      </c>
      <c r="H17" s="89">
        <f t="shared" si="2"/>
        <v>882.47</v>
      </c>
      <c r="I17" s="94"/>
      <c r="J17" s="242"/>
      <c r="K17" s="64">
        <v>1</v>
      </c>
      <c r="L17" s="64">
        <v>4</v>
      </c>
      <c r="M17" s="64">
        <v>100</v>
      </c>
      <c r="N17" s="64"/>
      <c r="O17" s="64">
        <v>1</v>
      </c>
      <c r="P17" s="64">
        <v>4</v>
      </c>
      <c r="Q17" s="64">
        <v>100</v>
      </c>
      <c r="R17" s="64"/>
      <c r="S17" s="119"/>
      <c r="T17" s="119"/>
      <c r="U17" s="119"/>
      <c r="V17" s="136"/>
    </row>
    <row r="18" spans="1:22">
      <c r="A18" s="92" t="s">
        <v>43</v>
      </c>
      <c r="B18" s="84" t="s">
        <v>58</v>
      </c>
      <c r="C18" s="85" t="s">
        <v>45</v>
      </c>
      <c r="D18" s="86">
        <v>2.7E-2</v>
      </c>
      <c r="E18" s="87">
        <v>50</v>
      </c>
      <c r="F18" s="93">
        <f t="shared" ref="F18:F24" si="3">D18*E18</f>
        <v>1.35</v>
      </c>
      <c r="G18" s="88">
        <f t="shared" si="1"/>
        <v>4.05</v>
      </c>
      <c r="H18" s="89">
        <f t="shared" si="2"/>
        <v>4.9000000000000004</v>
      </c>
      <c r="I18" s="94"/>
      <c r="J18" s="242"/>
      <c r="K18" s="64">
        <v>4</v>
      </c>
      <c r="L18" s="64">
        <v>8</v>
      </c>
      <c r="M18" s="64">
        <v>50</v>
      </c>
      <c r="N18" s="64"/>
      <c r="O18" s="64">
        <v>4</v>
      </c>
      <c r="P18" s="64">
        <v>16</v>
      </c>
      <c r="Q18" s="64">
        <v>50</v>
      </c>
      <c r="R18" s="64"/>
      <c r="S18" s="119"/>
      <c r="T18" s="119"/>
      <c r="U18" s="119"/>
      <c r="V18" s="136"/>
    </row>
    <row r="19" spans="1:22">
      <c r="A19" s="95"/>
      <c r="B19" s="84" t="s">
        <v>49</v>
      </c>
      <c r="C19" s="85" t="s">
        <v>45</v>
      </c>
      <c r="D19" s="86">
        <v>8.6999999999999994E-2</v>
      </c>
      <c r="E19" s="87">
        <v>800</v>
      </c>
      <c r="F19" s="93">
        <f>D19*E19</f>
        <v>69.599999999999994</v>
      </c>
      <c r="G19" s="88">
        <f t="shared" si="1"/>
        <v>208.8</v>
      </c>
      <c r="H19" s="89">
        <f t="shared" si="2"/>
        <v>252.65</v>
      </c>
      <c r="I19" s="94"/>
      <c r="J19" s="242"/>
      <c r="K19" s="64">
        <v>4</v>
      </c>
      <c r="L19" s="64">
        <v>8</v>
      </c>
      <c r="M19" s="64">
        <v>50</v>
      </c>
      <c r="N19" s="64"/>
      <c r="O19" s="64">
        <v>4</v>
      </c>
      <c r="P19" s="64">
        <v>16</v>
      </c>
      <c r="Q19" s="64">
        <v>50</v>
      </c>
      <c r="R19" s="64"/>
      <c r="S19" s="119"/>
      <c r="T19" s="119"/>
      <c r="U19" s="119"/>
      <c r="V19" s="136"/>
    </row>
    <row r="20" spans="1:22">
      <c r="A20" s="95"/>
      <c r="B20" s="84" t="s">
        <v>59</v>
      </c>
      <c r="C20" s="85" t="s">
        <v>45</v>
      </c>
      <c r="D20" s="86">
        <v>0.18124999999999999</v>
      </c>
      <c r="E20" s="87"/>
      <c r="F20" s="93">
        <f t="shared" si="3"/>
        <v>0</v>
      </c>
      <c r="G20" s="88">
        <f t="shared" si="1"/>
        <v>0</v>
      </c>
      <c r="H20" s="89">
        <f t="shared" si="2"/>
        <v>0</v>
      </c>
      <c r="I20" s="94"/>
      <c r="J20" s="242"/>
      <c r="K20" s="64">
        <v>4</v>
      </c>
      <c r="L20" s="64">
        <v>4</v>
      </c>
      <c r="M20" s="64">
        <v>50</v>
      </c>
      <c r="N20" s="64"/>
      <c r="O20" s="64">
        <v>8</v>
      </c>
      <c r="P20" s="64">
        <v>16</v>
      </c>
      <c r="Q20" s="64">
        <v>500</v>
      </c>
      <c r="R20" s="64"/>
      <c r="S20" s="119"/>
      <c r="T20" s="119"/>
      <c r="U20" s="119"/>
      <c r="V20" s="136"/>
    </row>
    <row r="21" spans="1:22">
      <c r="A21" s="95"/>
      <c r="B21" s="84" t="s">
        <v>65</v>
      </c>
      <c r="C21" s="85" t="s">
        <v>45</v>
      </c>
      <c r="D21" s="86">
        <v>0.32100000000000001</v>
      </c>
      <c r="E21" s="87">
        <v>15000</v>
      </c>
      <c r="F21" s="93">
        <f t="shared" si="3"/>
        <v>4815</v>
      </c>
      <c r="G21" s="88">
        <f t="shared" si="1"/>
        <v>14445</v>
      </c>
      <c r="H21" s="89">
        <f t="shared" si="2"/>
        <v>17478.45</v>
      </c>
      <c r="I21" s="94"/>
      <c r="J21" s="242"/>
      <c r="K21" s="64">
        <v>2</v>
      </c>
      <c r="L21" s="64">
        <v>4</v>
      </c>
      <c r="M21" s="64">
        <v>40</v>
      </c>
      <c r="N21" s="64"/>
      <c r="O21" s="64">
        <v>2</v>
      </c>
      <c r="P21" s="64">
        <v>4</v>
      </c>
      <c r="Q21" s="64">
        <v>40</v>
      </c>
      <c r="R21" s="64"/>
      <c r="S21" s="119"/>
      <c r="T21" s="119"/>
      <c r="U21" s="119"/>
      <c r="V21" s="136"/>
    </row>
    <row r="22" spans="1:22" ht="15" customHeight="1">
      <c r="A22" s="231" t="s">
        <v>60</v>
      </c>
      <c r="B22" s="84" t="s">
        <v>46</v>
      </c>
      <c r="C22" s="85" t="s">
        <v>45</v>
      </c>
      <c r="D22" s="86">
        <v>132</v>
      </c>
      <c r="E22" s="87">
        <v>2</v>
      </c>
      <c r="F22" s="93">
        <f t="shared" si="3"/>
        <v>264</v>
      </c>
      <c r="G22" s="88">
        <f t="shared" si="1"/>
        <v>792</v>
      </c>
      <c r="H22" s="89">
        <f t="shared" si="2"/>
        <v>958.32</v>
      </c>
      <c r="I22" s="94"/>
      <c r="J22" s="242"/>
      <c r="K22" s="64">
        <v>6</v>
      </c>
      <c r="L22" s="64">
        <v>48</v>
      </c>
      <c r="M22" s="64">
        <v>380</v>
      </c>
      <c r="N22" s="64"/>
      <c r="O22" s="64">
        <v>8</v>
      </c>
      <c r="P22" s="64">
        <v>72</v>
      </c>
      <c r="Q22" s="64">
        <v>300</v>
      </c>
      <c r="R22" s="64"/>
      <c r="S22" s="119"/>
      <c r="T22" s="119"/>
      <c r="U22" s="119"/>
      <c r="V22" s="136"/>
    </row>
    <row r="23" spans="1:22">
      <c r="A23" s="231"/>
      <c r="B23" s="84" t="s">
        <v>61</v>
      </c>
      <c r="C23" s="85" t="s">
        <v>45</v>
      </c>
      <c r="D23" s="86">
        <v>215.82731999999999</v>
      </c>
      <c r="E23" s="87">
        <v>1</v>
      </c>
      <c r="F23" s="93">
        <f t="shared" si="3"/>
        <v>215.82731999999999</v>
      </c>
      <c r="G23" s="88">
        <f t="shared" si="1"/>
        <v>647.48</v>
      </c>
      <c r="H23" s="89">
        <f t="shared" si="2"/>
        <v>783.45</v>
      </c>
      <c r="I23" s="94"/>
      <c r="J23" s="242"/>
      <c r="K23" s="64">
        <v>4</v>
      </c>
      <c r="L23" s="64">
        <v>6</v>
      </c>
      <c r="M23" s="64">
        <v>50</v>
      </c>
      <c r="N23" s="64"/>
      <c r="O23" s="64">
        <v>5</v>
      </c>
      <c r="P23" s="64">
        <v>64</v>
      </c>
      <c r="Q23" s="64">
        <v>130</v>
      </c>
      <c r="R23" s="64"/>
      <c r="S23" s="119"/>
      <c r="T23" s="119"/>
      <c r="U23" s="119"/>
      <c r="V23" s="136"/>
    </row>
    <row r="24" spans="1:22">
      <c r="A24" s="231"/>
      <c r="B24" s="84" t="s">
        <v>47</v>
      </c>
      <c r="C24" s="85" t="s">
        <v>45</v>
      </c>
      <c r="D24" s="86">
        <v>780</v>
      </c>
      <c r="E24" s="87">
        <v>1</v>
      </c>
      <c r="F24" s="93">
        <f t="shared" si="3"/>
        <v>780</v>
      </c>
      <c r="G24" s="88">
        <f t="shared" si="1"/>
        <v>2340</v>
      </c>
      <c r="H24" s="89">
        <f t="shared" si="2"/>
        <v>2831.4</v>
      </c>
      <c r="I24" s="94"/>
      <c r="J24" s="242"/>
      <c r="K24" s="64">
        <v>4</v>
      </c>
      <c r="L24" s="64">
        <v>16</v>
      </c>
      <c r="M24" s="64">
        <v>200</v>
      </c>
      <c r="N24" s="64"/>
      <c r="O24" s="64">
        <v>8</v>
      </c>
      <c r="P24" s="64">
        <v>16</v>
      </c>
      <c r="Q24" s="64">
        <v>200</v>
      </c>
      <c r="R24" s="64"/>
      <c r="S24" s="119"/>
      <c r="T24" s="119"/>
      <c r="U24" s="119"/>
      <c r="V24" s="136"/>
    </row>
    <row r="25" spans="1:22">
      <c r="A25" s="96"/>
      <c r="B25" s="97" t="s">
        <v>1</v>
      </c>
      <c r="C25" s="3"/>
      <c r="D25" s="3"/>
      <c r="E25" s="3"/>
      <c r="F25" s="98">
        <f>SUM(F14:F24)</f>
        <v>24559.63524</v>
      </c>
      <c r="G25" s="98">
        <f>SUM(G14:G24)</f>
        <v>73678.909999999989</v>
      </c>
      <c r="H25" s="98">
        <f>SUM(H14:H24)</f>
        <v>89151.489999999991</v>
      </c>
      <c r="I25" s="94"/>
      <c r="J25" s="242"/>
      <c r="K25" s="64">
        <v>4</v>
      </c>
      <c r="L25" s="64">
        <v>16</v>
      </c>
      <c r="M25" s="64">
        <v>200</v>
      </c>
      <c r="N25" s="64"/>
      <c r="O25" s="64">
        <v>2</v>
      </c>
      <c r="P25" s="64">
        <v>4</v>
      </c>
      <c r="Q25" s="64">
        <v>30</v>
      </c>
      <c r="R25" s="64"/>
      <c r="S25" s="119"/>
      <c r="T25" s="119"/>
      <c r="U25" s="119"/>
      <c r="V25" s="136"/>
    </row>
    <row r="26" spans="1:22">
      <c r="A26" s="99"/>
      <c r="B26" s="100"/>
      <c r="C26" s="101"/>
      <c r="D26" s="102"/>
      <c r="E26" s="103"/>
      <c r="F26" s="104"/>
      <c r="G26" s="105"/>
      <c r="H26" s="91"/>
      <c r="I26" s="94"/>
      <c r="J26" s="64"/>
      <c r="K26" s="64">
        <v>4</v>
      </c>
      <c r="L26" s="64">
        <v>16</v>
      </c>
      <c r="M26" s="64">
        <v>200</v>
      </c>
      <c r="N26" s="64"/>
      <c r="O26" s="64">
        <v>4</v>
      </c>
      <c r="P26" s="64">
        <v>16</v>
      </c>
      <c r="Q26" s="64">
        <v>200</v>
      </c>
      <c r="R26" s="64"/>
      <c r="S26" s="119"/>
      <c r="T26" s="119"/>
      <c r="U26" s="119"/>
      <c r="V26" s="136"/>
    </row>
    <row r="27" spans="1:22">
      <c r="A27" s="185"/>
      <c r="B27" s="106"/>
      <c r="C27" s="107"/>
      <c r="D27" s="108"/>
      <c r="E27" s="103"/>
      <c r="F27" s="109"/>
      <c r="G27" s="105"/>
      <c r="H27" s="91"/>
      <c r="I27" s="110"/>
      <c r="J27" s="64"/>
      <c r="K27" s="64">
        <v>8</v>
      </c>
      <c r="L27" s="64">
        <v>96</v>
      </c>
      <c r="M27" s="64">
        <v>2174</v>
      </c>
      <c r="N27" s="64"/>
      <c r="O27" s="64">
        <v>4</v>
      </c>
      <c r="P27" s="64">
        <v>16</v>
      </c>
      <c r="Q27" s="64">
        <v>200</v>
      </c>
      <c r="R27" s="64"/>
      <c r="S27" s="119"/>
      <c r="T27" s="119"/>
      <c r="U27" s="119"/>
      <c r="V27" s="136"/>
    </row>
    <row r="28" spans="1:22">
      <c r="A28" s="185"/>
      <c r="B28" s="111"/>
      <c r="C28" s="112"/>
      <c r="D28" s="113"/>
      <c r="E28" s="103"/>
      <c r="F28" s="104"/>
      <c r="G28" s="105"/>
      <c r="H28" s="91"/>
      <c r="I28" s="94"/>
      <c r="J28" s="64"/>
      <c r="K28" s="64">
        <v>8</v>
      </c>
      <c r="L28" s="64">
        <v>96</v>
      </c>
      <c r="M28" s="64">
        <v>2174</v>
      </c>
      <c r="N28" s="64"/>
      <c r="O28" s="64">
        <v>4</v>
      </c>
      <c r="P28" s="64">
        <v>16</v>
      </c>
      <c r="Q28" s="64">
        <v>200</v>
      </c>
      <c r="R28" s="64"/>
      <c r="S28" s="119"/>
      <c r="T28" s="119"/>
      <c r="U28" s="119"/>
      <c r="V28" s="136"/>
    </row>
    <row r="29" spans="1:22">
      <c r="A29" s="70"/>
      <c r="B29" s="70"/>
      <c r="C29" s="70"/>
      <c r="D29" s="70"/>
      <c r="E29" s="70"/>
      <c r="F29" s="114"/>
      <c r="G29" s="115"/>
      <c r="H29" s="91"/>
      <c r="I29" s="116"/>
      <c r="J29" s="64"/>
      <c r="K29" s="64">
        <v>8</v>
      </c>
      <c r="L29" s="64">
        <v>96</v>
      </c>
      <c r="M29" s="64">
        <v>2174</v>
      </c>
      <c r="N29" s="64"/>
      <c r="O29" s="64">
        <v>16</v>
      </c>
      <c r="P29" s="64">
        <v>128</v>
      </c>
      <c r="Q29" s="64">
        <v>5272</v>
      </c>
      <c r="R29" s="64"/>
      <c r="S29" s="119"/>
      <c r="T29" s="119"/>
      <c r="U29" s="119"/>
      <c r="V29" s="136"/>
    </row>
    <row r="30" spans="1:22">
      <c r="A30" s="117"/>
      <c r="B30" s="118"/>
      <c r="C30" s="64"/>
      <c r="D30" s="64"/>
      <c r="E30" s="64"/>
      <c r="F30" s="119"/>
      <c r="G30" s="241"/>
      <c r="H30" s="64"/>
      <c r="I30" s="64"/>
      <c r="J30" s="64"/>
      <c r="K30" s="64">
        <v>2</v>
      </c>
      <c r="L30" s="64">
        <v>4</v>
      </c>
      <c r="M30" s="64">
        <v>30</v>
      </c>
      <c r="N30" s="64"/>
      <c r="O30" s="64">
        <v>16</v>
      </c>
      <c r="P30" s="64">
        <v>128</v>
      </c>
      <c r="Q30" s="64">
        <v>5272</v>
      </c>
      <c r="R30" s="64"/>
      <c r="S30" s="119"/>
      <c r="T30" s="119"/>
      <c r="U30" s="119"/>
      <c r="V30" s="136"/>
    </row>
    <row r="31" spans="1:22">
      <c r="A31" s="96"/>
      <c r="B31" s="217" t="s">
        <v>85</v>
      </c>
      <c r="C31" s="218"/>
      <c r="D31" s="222" t="s">
        <v>90</v>
      </c>
      <c r="E31" s="222" t="s">
        <v>86</v>
      </c>
      <c r="F31" s="119"/>
      <c r="G31" s="119"/>
      <c r="H31" s="64"/>
      <c r="I31" s="64"/>
      <c r="J31" s="64"/>
      <c r="K31" s="64">
        <v>2</v>
      </c>
      <c r="L31" s="64">
        <v>4</v>
      </c>
      <c r="M31" s="64">
        <v>30</v>
      </c>
      <c r="N31" s="64"/>
      <c r="O31" s="64">
        <v>16</v>
      </c>
      <c r="P31" s="64">
        <v>128</v>
      </c>
      <c r="Q31" s="64">
        <v>5272</v>
      </c>
      <c r="R31" s="64"/>
      <c r="S31" s="119"/>
      <c r="T31" s="119"/>
      <c r="U31" s="119"/>
      <c r="V31" s="136"/>
    </row>
    <row r="32" spans="1:22" ht="19.149999999999999" customHeight="1">
      <c r="A32" s="211" t="s">
        <v>62</v>
      </c>
      <c r="B32" s="211" t="s">
        <v>87</v>
      </c>
      <c r="C32" s="211" t="s">
        <v>88</v>
      </c>
      <c r="D32" s="212">
        <v>6000</v>
      </c>
      <c r="E32" s="221">
        <v>6000</v>
      </c>
      <c r="F32" s="184"/>
      <c r="G32" s="244"/>
      <c r="H32" s="184"/>
      <c r="I32" s="64"/>
      <c r="J32" s="64"/>
      <c r="K32" s="90">
        <f>SUM(K15:K31)</f>
        <v>67</v>
      </c>
      <c r="L32" s="90">
        <f t="shared" ref="L32:M32" si="4">SUM(L15:L31)</f>
        <v>434</v>
      </c>
      <c r="M32" s="90">
        <f t="shared" si="4"/>
        <v>7962</v>
      </c>
      <c r="N32" s="64"/>
      <c r="O32" s="64">
        <v>16</v>
      </c>
      <c r="P32" s="64">
        <v>128</v>
      </c>
      <c r="Q32" s="64">
        <v>5272</v>
      </c>
      <c r="R32" s="64"/>
      <c r="S32" s="119"/>
      <c r="T32" s="119"/>
      <c r="U32" s="119"/>
      <c r="V32" s="136"/>
    </row>
    <row r="33" spans="1:22">
      <c r="A33" s="211"/>
      <c r="B33" s="211" t="s">
        <v>89</v>
      </c>
      <c r="C33" s="211" t="s">
        <v>45</v>
      </c>
      <c r="D33" s="212">
        <v>500</v>
      </c>
      <c r="E33" s="221">
        <v>1500</v>
      </c>
      <c r="F33" s="184"/>
      <c r="G33" s="184"/>
      <c r="H33" s="184"/>
      <c r="I33" s="64"/>
      <c r="J33" s="64"/>
      <c r="K33" s="64"/>
      <c r="L33" s="64"/>
      <c r="M33" s="64"/>
      <c r="N33" s="64"/>
      <c r="O33" s="64">
        <v>16</v>
      </c>
      <c r="P33" s="64">
        <v>128</v>
      </c>
      <c r="Q33" s="64">
        <v>5272</v>
      </c>
      <c r="R33" s="64"/>
      <c r="S33" s="119"/>
      <c r="T33" s="119"/>
      <c r="U33" s="119"/>
      <c r="V33" s="136"/>
    </row>
    <row r="34" spans="1:22" ht="15" customHeight="1">
      <c r="A34" s="211"/>
      <c r="B34" s="213"/>
      <c r="C34" s="214"/>
      <c r="D34" s="219" t="s">
        <v>1</v>
      </c>
      <c r="E34" s="220">
        <v>7500</v>
      </c>
      <c r="F34" s="141"/>
      <c r="G34" s="141"/>
      <c r="H34" s="142"/>
      <c r="I34" s="64"/>
      <c r="J34" s="64"/>
      <c r="K34" s="64"/>
      <c r="L34" s="64"/>
      <c r="M34" s="64"/>
      <c r="N34" s="64"/>
      <c r="O34" s="64">
        <v>16</v>
      </c>
      <c r="P34" s="64">
        <v>128</v>
      </c>
      <c r="Q34" s="64">
        <v>5272</v>
      </c>
      <c r="R34" s="64"/>
      <c r="S34" s="119"/>
      <c r="T34" s="119"/>
      <c r="U34" s="119"/>
      <c r="V34" s="136"/>
    </row>
    <row r="35" spans="1:22">
      <c r="A35" s="211"/>
      <c r="B35" s="213"/>
      <c r="C35" s="214"/>
      <c r="D35" s="215"/>
      <c r="E35" s="216"/>
      <c r="F35" s="141"/>
      <c r="G35" s="141"/>
      <c r="H35" s="142"/>
      <c r="I35" s="64"/>
      <c r="J35" s="64"/>
      <c r="K35" s="64"/>
      <c r="L35" s="64"/>
      <c r="M35" s="64"/>
      <c r="N35" s="64"/>
      <c r="O35" s="64">
        <v>16</v>
      </c>
      <c r="P35" s="64">
        <v>128</v>
      </c>
      <c r="Q35" s="64">
        <v>5272</v>
      </c>
      <c r="R35" s="64"/>
      <c r="S35" s="119"/>
      <c r="T35" s="119"/>
      <c r="U35" s="119"/>
      <c r="V35" s="136"/>
    </row>
    <row r="36" spans="1:22">
      <c r="A36" s="186"/>
      <c r="B36" s="137"/>
      <c r="C36" s="138"/>
      <c r="D36" s="139"/>
      <c r="E36" s="140"/>
      <c r="F36" s="141"/>
      <c r="G36" s="141"/>
      <c r="H36" s="142"/>
      <c r="I36" s="64"/>
      <c r="J36" s="64"/>
      <c r="K36" s="64"/>
      <c r="L36" s="64"/>
      <c r="M36" s="64"/>
      <c r="N36" s="64"/>
      <c r="O36" s="64">
        <v>16</v>
      </c>
      <c r="P36" s="64">
        <v>128</v>
      </c>
      <c r="Q36" s="64">
        <v>5272</v>
      </c>
      <c r="R36" s="64"/>
      <c r="S36" s="119"/>
      <c r="T36" s="119"/>
      <c r="U36" s="119"/>
      <c r="V36" s="136"/>
    </row>
    <row r="37" spans="1:22">
      <c r="A37" s="186"/>
      <c r="B37" s="137"/>
      <c r="C37" s="138"/>
      <c r="D37" s="139"/>
      <c r="E37" s="140"/>
      <c r="F37" s="142"/>
      <c r="G37" s="141"/>
      <c r="H37" s="142"/>
      <c r="N37" s="64"/>
      <c r="O37" s="64">
        <v>4</v>
      </c>
      <c r="P37" s="64">
        <v>8</v>
      </c>
      <c r="Q37" s="64">
        <v>13292</v>
      </c>
      <c r="R37" s="64"/>
      <c r="S37" s="119"/>
      <c r="T37" s="119"/>
      <c r="U37" s="119"/>
      <c r="V37" s="136"/>
    </row>
    <row r="38" spans="1:22">
      <c r="A38" s="186"/>
      <c r="B38" s="137"/>
      <c r="C38" s="138"/>
      <c r="D38" s="139"/>
      <c r="E38" s="140"/>
      <c r="F38" s="142"/>
      <c r="G38" s="141"/>
      <c r="H38" s="142"/>
      <c r="N38" s="64"/>
      <c r="O38" s="64">
        <v>2</v>
      </c>
      <c r="P38" s="64">
        <v>4</v>
      </c>
      <c r="Q38" s="64">
        <v>30</v>
      </c>
      <c r="R38" s="64"/>
      <c r="S38" s="119"/>
      <c r="T38" s="119"/>
      <c r="U38" s="119"/>
      <c r="V38" s="136"/>
    </row>
    <row r="39" spans="1:22">
      <c r="A39" s="143"/>
      <c r="B39" s="137"/>
      <c r="C39" s="138"/>
      <c r="D39" s="139"/>
      <c r="E39" s="140"/>
      <c r="F39" s="142"/>
      <c r="G39" s="141"/>
      <c r="H39" s="142"/>
      <c r="N39" s="64"/>
      <c r="O39" s="64">
        <v>2</v>
      </c>
      <c r="P39" s="64">
        <v>4</v>
      </c>
      <c r="Q39" s="64">
        <v>30</v>
      </c>
      <c r="R39" s="64"/>
      <c r="S39" s="119"/>
      <c r="T39" s="119"/>
      <c r="U39" s="119"/>
      <c r="V39" s="136"/>
    </row>
    <row r="40" spans="1:22">
      <c r="A40" s="143"/>
      <c r="B40" s="137"/>
      <c r="C40" s="138"/>
      <c r="D40" s="139"/>
      <c r="E40" s="140"/>
      <c r="F40" s="142"/>
      <c r="G40" s="141"/>
      <c r="H40" s="142"/>
      <c r="N40" s="64"/>
      <c r="O40" s="90">
        <f>SUM(O15:O39)</f>
        <v>192</v>
      </c>
      <c r="P40" s="90">
        <f t="shared" ref="P40:Q40" si="5">SUM(P15:P39)</f>
        <v>1308</v>
      </c>
      <c r="Q40" s="90">
        <f t="shared" si="5"/>
        <v>57588</v>
      </c>
      <c r="R40" s="64"/>
      <c r="S40" s="119"/>
      <c r="T40" s="119"/>
      <c r="U40" s="119"/>
      <c r="V40" s="136"/>
    </row>
    <row r="41" spans="1:22">
      <c r="A41" s="143"/>
      <c r="B41" s="137"/>
      <c r="C41" s="138"/>
      <c r="D41" s="139"/>
      <c r="E41" s="140"/>
      <c r="F41" s="142"/>
      <c r="G41" s="141"/>
      <c r="H41" s="142"/>
      <c r="N41" s="64"/>
      <c r="O41" s="64"/>
      <c r="P41" s="64"/>
      <c r="Q41" s="64"/>
      <c r="R41" s="64"/>
      <c r="S41" s="119"/>
      <c r="T41" s="119"/>
      <c r="U41" s="119"/>
      <c r="V41" s="136"/>
    </row>
    <row r="42" spans="1:22">
      <c r="A42" s="232"/>
      <c r="B42" s="137"/>
      <c r="C42" s="138"/>
      <c r="D42" s="139"/>
      <c r="E42" s="140"/>
      <c r="F42" s="142"/>
      <c r="G42" s="141"/>
      <c r="H42" s="142"/>
      <c r="N42" s="64"/>
      <c r="O42" s="64"/>
      <c r="P42" s="64"/>
      <c r="Q42" s="64"/>
      <c r="R42" s="64"/>
      <c r="S42" s="64"/>
      <c r="T42" s="64"/>
      <c r="U42" s="64"/>
    </row>
    <row r="43" spans="1:22">
      <c r="A43" s="232"/>
      <c r="B43" s="137"/>
      <c r="C43" s="138"/>
      <c r="D43" s="139"/>
      <c r="E43" s="140"/>
      <c r="F43" s="142"/>
      <c r="G43" s="141"/>
      <c r="H43" s="142"/>
      <c r="N43" s="64"/>
      <c r="O43" s="64"/>
      <c r="P43" s="64"/>
      <c r="Q43" s="64"/>
      <c r="R43" s="64"/>
      <c r="S43" s="64"/>
      <c r="T43" s="64"/>
      <c r="U43" s="64"/>
    </row>
    <row r="44" spans="1:22">
      <c r="A44" s="232"/>
      <c r="B44" s="137"/>
      <c r="C44" s="138"/>
      <c r="D44" s="139"/>
      <c r="E44" s="140"/>
      <c r="F44" s="142"/>
      <c r="G44" s="141"/>
      <c r="H44" s="142"/>
      <c r="N44" s="64"/>
      <c r="O44" s="64"/>
      <c r="P44" s="64"/>
      <c r="Q44" s="64"/>
      <c r="R44" s="64"/>
      <c r="S44" s="64"/>
      <c r="T44" s="64"/>
      <c r="U44" s="64"/>
    </row>
    <row r="45" spans="1:22">
      <c r="A45" s="144"/>
      <c r="E45" s="145"/>
      <c r="F45" s="146"/>
      <c r="G45" s="142"/>
      <c r="H45" s="142"/>
      <c r="N45" s="64"/>
      <c r="O45" s="64"/>
      <c r="P45" s="64"/>
      <c r="Q45" s="64"/>
      <c r="R45" s="64"/>
      <c r="S45" s="64"/>
      <c r="T45" s="64"/>
      <c r="U45" s="64"/>
    </row>
    <row r="49" spans="4:4">
      <c r="D49" s="1">
        <v>337000</v>
      </c>
    </row>
    <row r="50" spans="4:4">
      <c r="D50" s="1">
        <f>D49/12</f>
        <v>28083.333333333332</v>
      </c>
    </row>
    <row r="51" spans="4:4">
      <c r="D51" s="1">
        <f>D50+1666</f>
        <v>29749.333333333332</v>
      </c>
    </row>
  </sheetData>
  <mergeCells count="13">
    <mergeCell ref="A11:I11"/>
    <mergeCell ref="B8:B9"/>
    <mergeCell ref="I14:I15"/>
    <mergeCell ref="A22:A24"/>
    <mergeCell ref="A42:A44"/>
    <mergeCell ref="H12:H13"/>
    <mergeCell ref="A14:A16"/>
    <mergeCell ref="A12:A13"/>
    <mergeCell ref="B12:B13"/>
    <mergeCell ref="D12:D13"/>
    <mergeCell ref="E12:E13"/>
    <mergeCell ref="F12:F13"/>
    <mergeCell ref="G12:G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8"/>
  <sheetViews>
    <sheetView showGridLines="0" tabSelected="1" topLeftCell="A19" zoomScaleNormal="100" workbookViewId="0">
      <selection activeCell="G40" sqref="G40"/>
    </sheetView>
  </sheetViews>
  <sheetFormatPr defaultColWidth="10.7109375" defaultRowHeight="12.75"/>
  <cols>
    <col min="1" max="1" width="28.42578125" style="45" customWidth="1"/>
    <col min="2" max="2" width="15.85546875" style="45" customWidth="1"/>
    <col min="3" max="3" width="16.28515625" style="45" customWidth="1"/>
    <col min="4" max="4" width="18.28515625" style="45" customWidth="1"/>
    <col min="5" max="5" width="18.42578125" style="45" customWidth="1"/>
    <col min="6" max="6" width="15.7109375" style="45" customWidth="1"/>
    <col min="7" max="7" width="14.28515625" style="45" bestFit="1" customWidth="1"/>
    <col min="8" max="8" width="13.7109375" style="45" bestFit="1" customWidth="1"/>
    <col min="9" max="9" width="12.42578125" style="45" bestFit="1" customWidth="1"/>
    <col min="10" max="10" width="18.5703125" style="45" customWidth="1"/>
    <col min="11" max="11" width="14" style="45" bestFit="1" customWidth="1"/>
    <col min="12" max="13" width="12.5703125" style="45" customWidth="1"/>
    <col min="14" max="14" width="15.5703125" style="45" customWidth="1"/>
    <col min="15" max="15" width="14.5703125" style="45" customWidth="1"/>
    <col min="16" max="16" width="18.28515625" style="45" customWidth="1"/>
    <col min="17" max="16384" width="10.7109375" style="45"/>
  </cols>
  <sheetData>
    <row r="2" spans="1:16">
      <c r="A2" s="56" t="s">
        <v>26</v>
      </c>
    </row>
    <row r="4" spans="1:16">
      <c r="A4" s="55"/>
      <c r="B4" s="237">
        <v>2025</v>
      </c>
      <c r="C4" s="238"/>
      <c r="D4" s="238"/>
      <c r="E4" s="236"/>
      <c r="F4" s="236"/>
      <c r="G4" s="236"/>
      <c r="H4" s="123"/>
      <c r="I4" s="123"/>
      <c r="J4" s="123"/>
    </row>
    <row r="5" spans="1:16">
      <c r="A5" s="54" t="s">
        <v>25</v>
      </c>
      <c r="B5" s="53" t="s">
        <v>24</v>
      </c>
      <c r="C5" s="53" t="s">
        <v>23</v>
      </c>
      <c r="D5" s="127" t="s">
        <v>18</v>
      </c>
      <c r="E5" s="148"/>
      <c r="F5" s="148"/>
      <c r="G5" s="148"/>
      <c r="H5" s="148"/>
      <c r="I5" s="148"/>
      <c r="J5" s="148"/>
    </row>
    <row r="6" spans="1:16">
      <c r="A6" s="52" t="s">
        <v>63</v>
      </c>
      <c r="B6" s="51">
        <f>ROUND(D6/1.21,2)</f>
        <v>86207.67</v>
      </c>
      <c r="C6" s="51">
        <f>D6-B6</f>
        <v>18103.61</v>
      </c>
      <c r="D6" s="51">
        <f>'Càlcul pressupost '!F6</f>
        <v>104311.28</v>
      </c>
      <c r="E6" s="149"/>
      <c r="F6" s="149"/>
      <c r="G6" s="149"/>
      <c r="H6" s="149"/>
      <c r="I6" s="149"/>
      <c r="J6" s="149"/>
    </row>
    <row r="7" spans="1:16">
      <c r="A7" s="173"/>
      <c r="B7" s="149"/>
      <c r="C7" s="149"/>
      <c r="D7" s="149"/>
      <c r="E7" s="149"/>
      <c r="F7" s="149"/>
      <c r="G7" s="149"/>
      <c r="H7" s="149"/>
      <c r="I7" s="149"/>
      <c r="J7" s="149"/>
    </row>
    <row r="8" spans="1:16">
      <c r="A8" s="174"/>
      <c r="B8" s="149"/>
      <c r="C8" s="149"/>
      <c r="D8" s="149"/>
      <c r="E8" s="149"/>
      <c r="F8" s="149"/>
      <c r="G8" s="149"/>
      <c r="H8" s="149"/>
      <c r="I8" s="149"/>
      <c r="J8" s="149"/>
    </row>
    <row r="9" spans="1:16">
      <c r="A9" s="174"/>
      <c r="B9" s="149"/>
      <c r="C9" s="149"/>
      <c r="D9" s="149"/>
      <c r="E9" s="149"/>
      <c r="F9" s="149"/>
      <c r="G9" s="149"/>
      <c r="H9" s="149"/>
      <c r="I9" s="149"/>
      <c r="J9" s="149"/>
    </row>
    <row r="10" spans="1:16">
      <c r="A10" s="174"/>
      <c r="B10" s="149"/>
      <c r="C10" s="149"/>
      <c r="D10" s="149"/>
      <c r="E10" s="149"/>
      <c r="F10" s="149"/>
      <c r="G10" s="149"/>
      <c r="H10" s="149"/>
      <c r="I10" s="149"/>
      <c r="J10" s="149"/>
    </row>
    <row r="11" spans="1:16">
      <c r="A11" s="174"/>
      <c r="B11" s="149"/>
      <c r="C11" s="149"/>
      <c r="D11" s="149"/>
      <c r="E11" s="149"/>
      <c r="F11" s="149"/>
      <c r="G11" s="149"/>
      <c r="H11" s="149"/>
      <c r="I11" s="149"/>
      <c r="J11" s="149"/>
    </row>
    <row r="12" spans="1:16">
      <c r="A12" s="123"/>
      <c r="B12" s="149"/>
      <c r="C12" s="149"/>
      <c r="D12" s="149"/>
      <c r="E12" s="149"/>
      <c r="F12" s="149"/>
      <c r="G12" s="149"/>
      <c r="H12" s="149"/>
      <c r="I12" s="149"/>
      <c r="J12" s="149"/>
    </row>
    <row r="13" spans="1:16">
      <c r="P13" s="46"/>
    </row>
    <row r="14" spans="1:16" ht="13.5" thickBot="1">
      <c r="A14" s="50" t="s">
        <v>22</v>
      </c>
    </row>
    <row r="15" spans="1:16" ht="16.5" customHeight="1">
      <c r="A15" s="169" t="s">
        <v>21</v>
      </c>
      <c r="B15" s="169" t="s">
        <v>50</v>
      </c>
      <c r="C15" s="169" t="s">
        <v>20</v>
      </c>
      <c r="D15" s="169" t="s">
        <v>19</v>
      </c>
      <c r="E15" s="169" t="s">
        <v>18</v>
      </c>
    </row>
    <row r="16" spans="1:16" ht="16.5" customHeight="1">
      <c r="A16" s="170">
        <v>2025</v>
      </c>
      <c r="B16" s="170" t="s">
        <v>51</v>
      </c>
      <c r="C16" s="171">
        <f>B6+B7+B9+B10+B11</f>
        <v>86207.67</v>
      </c>
      <c r="D16" s="172">
        <f>C6+C7+C9+C10+C11</f>
        <v>18103.61</v>
      </c>
      <c r="E16" s="172">
        <f>C16+D16</f>
        <v>104311.28</v>
      </c>
    </row>
    <row r="17" spans="1:15" ht="16.5" customHeight="1">
      <c r="A17" s="167"/>
      <c r="B17" s="167"/>
      <c r="C17" s="168"/>
      <c r="D17" s="168"/>
      <c r="E17" s="168"/>
    </row>
    <row r="18" spans="1:15" ht="16.5" customHeight="1">
      <c r="A18" s="167"/>
      <c r="B18" s="167"/>
      <c r="C18" s="168"/>
      <c r="D18" s="168"/>
      <c r="E18" s="168"/>
      <c r="F18" s="81"/>
      <c r="G18" s="76"/>
      <c r="H18" s="76"/>
      <c r="I18" s="76"/>
      <c r="J18" s="76"/>
      <c r="K18" s="76"/>
      <c r="L18" s="76"/>
      <c r="M18" s="76"/>
      <c r="N18" s="76"/>
      <c r="O18" s="76"/>
    </row>
    <row r="19" spans="1:15" ht="16.5" customHeight="1" thickBot="1">
      <c r="A19" s="167"/>
      <c r="B19" s="167"/>
      <c r="C19" s="168"/>
      <c r="D19" s="168"/>
      <c r="E19" s="168"/>
      <c r="F19" s="81"/>
      <c r="G19" s="76"/>
      <c r="H19" s="76"/>
      <c r="I19" s="76"/>
      <c r="J19" s="76"/>
      <c r="K19" s="76"/>
      <c r="L19" s="76"/>
      <c r="M19" s="76"/>
      <c r="N19" s="76"/>
      <c r="O19" s="76"/>
    </row>
    <row r="20" spans="1:15" ht="23.65" customHeight="1" thickBot="1">
      <c r="A20" s="195" t="s">
        <v>76</v>
      </c>
      <c r="B20" s="196" t="s">
        <v>77</v>
      </c>
      <c r="C20" s="196" t="s">
        <v>78</v>
      </c>
      <c r="D20" s="196" t="s">
        <v>79</v>
      </c>
      <c r="E20" s="196" t="s">
        <v>80</v>
      </c>
      <c r="F20" s="196" t="s">
        <v>81</v>
      </c>
      <c r="G20" s="76"/>
      <c r="H20" s="76"/>
      <c r="I20" s="76"/>
      <c r="J20" s="76"/>
      <c r="K20" s="76"/>
      <c r="L20" s="76"/>
      <c r="M20" s="76"/>
      <c r="N20" s="76"/>
      <c r="O20" s="76"/>
    </row>
    <row r="21" spans="1:15" ht="16.5" customHeight="1" thickBot="1">
      <c r="A21" s="197" t="s">
        <v>82</v>
      </c>
      <c r="B21" s="207">
        <f>E16</f>
        <v>104311.28</v>
      </c>
      <c r="C21" s="198">
        <v>0.15</v>
      </c>
      <c r="D21" s="199">
        <f>B21*C21</f>
        <v>15646.691999999999</v>
      </c>
      <c r="E21" s="198">
        <v>0.15</v>
      </c>
      <c r="F21" s="199">
        <f>B21*E21</f>
        <v>15646.691999999999</v>
      </c>
      <c r="G21" s="76"/>
      <c r="H21" s="76"/>
      <c r="I21" s="76"/>
      <c r="J21" s="76"/>
      <c r="K21" s="76"/>
      <c r="L21" s="76"/>
      <c r="M21" s="76"/>
      <c r="N21" s="76"/>
      <c r="O21" s="76"/>
    </row>
    <row r="22" spans="1:15" ht="16.5" customHeight="1" thickBot="1">
      <c r="A22" s="200" t="s">
        <v>83</v>
      </c>
      <c r="B22" s="208">
        <f>B21</f>
        <v>104311.28</v>
      </c>
      <c r="C22" s="201">
        <f>C21</f>
        <v>0.15</v>
      </c>
      <c r="D22" s="202">
        <f>D21</f>
        <v>15646.691999999999</v>
      </c>
      <c r="E22" s="201">
        <f>E21</f>
        <v>0.15</v>
      </c>
      <c r="F22" s="202">
        <f>F21</f>
        <v>15646.691999999999</v>
      </c>
      <c r="G22" s="76"/>
      <c r="H22" s="76"/>
      <c r="I22" s="76"/>
      <c r="J22" s="76"/>
      <c r="K22" s="76"/>
      <c r="L22" s="76"/>
      <c r="M22" s="76"/>
      <c r="N22" s="76"/>
      <c r="O22" s="76"/>
    </row>
    <row r="23" spans="1:15" ht="21.75" customHeight="1" thickBot="1">
      <c r="A23" s="203"/>
      <c r="B23" s="203"/>
      <c r="C23" s="204" t="s">
        <v>84</v>
      </c>
      <c r="D23" s="205">
        <f>D22/1.21</f>
        <v>12931.15041322314</v>
      </c>
      <c r="E23" s="206"/>
      <c r="F23" s="205">
        <f>F22/1.21</f>
        <v>12931.15041322314</v>
      </c>
      <c r="G23" s="76"/>
      <c r="H23" s="76"/>
      <c r="I23" s="76"/>
      <c r="J23" s="76"/>
      <c r="K23" s="76"/>
      <c r="L23" s="76"/>
      <c r="M23" s="76"/>
      <c r="N23" s="76"/>
      <c r="O23" s="76"/>
    </row>
    <row r="24" spans="1:15" s="147" customFormat="1" ht="35.65" customHeight="1">
      <c r="A24" s="152"/>
      <c r="B24" s="152"/>
      <c r="C24" s="152"/>
      <c r="D24" s="152"/>
      <c r="E24" s="152"/>
      <c r="F24" s="152"/>
      <c r="G24" s="151"/>
      <c r="H24" s="151"/>
      <c r="I24" s="151"/>
      <c r="J24" s="151"/>
      <c r="K24" s="151"/>
      <c r="L24" s="151"/>
      <c r="M24" s="151"/>
      <c r="N24" s="151"/>
      <c r="O24" s="151"/>
    </row>
    <row r="25" spans="1:15" s="147" customFormat="1" ht="21.75" customHeight="1">
      <c r="A25" s="153"/>
      <c r="B25" s="154"/>
      <c r="C25" s="155"/>
      <c r="D25" s="156"/>
      <c r="E25" s="155"/>
      <c r="F25" s="156"/>
      <c r="G25" s="151"/>
      <c r="H25" s="151"/>
      <c r="I25" s="151"/>
      <c r="J25" s="151"/>
      <c r="K25" s="151"/>
      <c r="L25" s="151"/>
      <c r="M25" s="151"/>
      <c r="N25" s="151"/>
      <c r="O25" s="151"/>
    </row>
    <row r="26" spans="1:15" s="147" customFormat="1" ht="30" customHeight="1">
      <c r="A26" s="153"/>
      <c r="B26" s="154"/>
      <c r="C26" s="155"/>
      <c r="D26" s="156"/>
      <c r="E26" s="155"/>
      <c r="F26" s="156"/>
      <c r="G26" s="151"/>
      <c r="H26" s="151"/>
      <c r="I26" s="151"/>
      <c r="J26" s="151"/>
      <c r="K26" s="151"/>
      <c r="L26" s="151"/>
      <c r="M26" s="151"/>
      <c r="N26" s="151"/>
      <c r="O26" s="151"/>
    </row>
    <row r="27" spans="1:15" s="147" customFormat="1" ht="44.25" customHeight="1">
      <c r="A27" s="153"/>
      <c r="B27" s="154"/>
      <c r="C27" s="155"/>
      <c r="D27" s="156"/>
      <c r="E27" s="155"/>
      <c r="F27" s="156"/>
      <c r="G27" s="151"/>
      <c r="H27" s="151"/>
      <c r="I27" s="151"/>
      <c r="J27" s="151"/>
      <c r="K27" s="151"/>
      <c r="L27" s="151"/>
      <c r="M27" s="151"/>
      <c r="N27" s="151"/>
      <c r="O27" s="151"/>
    </row>
    <row r="28" spans="1:15" s="147" customFormat="1" ht="21.75" customHeight="1">
      <c r="A28" s="157"/>
      <c r="B28" s="158"/>
      <c r="C28" s="159"/>
      <c r="D28" s="160"/>
      <c r="E28" s="159"/>
      <c r="F28" s="160"/>
      <c r="G28" s="151"/>
      <c r="H28" s="151"/>
      <c r="I28" s="151"/>
      <c r="J28" s="151"/>
      <c r="K28" s="151"/>
      <c r="L28" s="151"/>
      <c r="M28" s="151"/>
      <c r="N28" s="151"/>
      <c r="O28" s="151"/>
    </row>
    <row r="29" spans="1:15" s="147" customFormat="1" ht="21.75" customHeight="1">
      <c r="A29" s="123"/>
      <c r="B29" s="123"/>
      <c r="C29" s="161"/>
      <c r="D29" s="156"/>
      <c r="E29" s="122"/>
      <c r="F29" s="156"/>
      <c r="G29" s="151"/>
      <c r="H29" s="151"/>
      <c r="I29" s="151"/>
      <c r="J29" s="151"/>
      <c r="K29" s="151"/>
      <c r="L29" s="151"/>
      <c r="M29" s="151"/>
      <c r="N29" s="151"/>
      <c r="O29" s="151"/>
    </row>
    <row r="30" spans="1:15" ht="21.75" customHeight="1">
      <c r="D30" s="122"/>
      <c r="E30" s="123"/>
      <c r="F30" s="122"/>
      <c r="G30" s="76"/>
      <c r="H30" s="76"/>
      <c r="I30" s="76"/>
      <c r="J30" s="76"/>
      <c r="K30" s="76"/>
      <c r="L30" s="76"/>
      <c r="M30" s="76"/>
      <c r="N30" s="76"/>
      <c r="O30" s="76"/>
    </row>
    <row r="31" spans="1:15" ht="21.75" customHeight="1">
      <c r="A31" s="50" t="s">
        <v>13</v>
      </c>
      <c r="H31" s="76"/>
      <c r="I31" s="76"/>
      <c r="J31" s="76"/>
      <c r="K31" s="76"/>
      <c r="L31" s="76"/>
      <c r="M31" s="76"/>
      <c r="N31" s="76"/>
      <c r="O31" s="76"/>
    </row>
    <row r="32" spans="1:15" ht="21.75" customHeight="1">
      <c r="A32" s="45" t="s">
        <v>92</v>
      </c>
      <c r="H32" s="76"/>
      <c r="I32" s="76"/>
      <c r="J32" s="76"/>
      <c r="K32" s="76"/>
      <c r="L32" s="76"/>
      <c r="M32" s="76"/>
      <c r="N32" s="76"/>
      <c r="O32" s="76"/>
    </row>
    <row r="33" spans="1:15" ht="55.5" customHeight="1">
      <c r="A33" s="80"/>
      <c r="B33" s="49" t="s">
        <v>17</v>
      </c>
      <c r="C33" s="49" t="s">
        <v>16</v>
      </c>
      <c r="D33" s="49" t="s">
        <v>15</v>
      </c>
      <c r="E33" s="49" t="s">
        <v>14</v>
      </c>
      <c r="F33" s="49" t="s">
        <v>13</v>
      </c>
      <c r="G33" s="120"/>
      <c r="H33" s="76"/>
      <c r="I33" s="76"/>
      <c r="J33" s="76"/>
      <c r="K33" s="76"/>
      <c r="L33" s="76"/>
      <c r="M33" s="76"/>
      <c r="N33" s="76"/>
      <c r="O33" s="76"/>
    </row>
    <row r="34" spans="1:15" ht="21.75" customHeight="1">
      <c r="A34" s="164">
        <v>2025</v>
      </c>
      <c r="B34" s="48">
        <f>B6</f>
        <v>86207.67</v>
      </c>
      <c r="C34" s="47"/>
      <c r="D34" s="47">
        <f>D23</f>
        <v>12931.15041322314</v>
      </c>
      <c r="E34" s="209">
        <f>F23</f>
        <v>12931.15041322314</v>
      </c>
      <c r="F34" s="47">
        <f t="shared" ref="F34" si="0">SUM(B34:D34)</f>
        <v>99138.820413223133</v>
      </c>
      <c r="G34" s="121"/>
      <c r="H34" s="76"/>
      <c r="I34" s="76"/>
      <c r="J34" s="76"/>
      <c r="K34" s="76"/>
      <c r="L34" s="76"/>
      <c r="M34" s="76"/>
      <c r="N34" s="76"/>
      <c r="O34" s="76"/>
    </row>
    <row r="35" spans="1:15" ht="21.75" customHeight="1">
      <c r="A35" s="162"/>
      <c r="B35" s="163"/>
      <c r="C35" s="156"/>
      <c r="D35" s="156"/>
      <c r="E35" s="156"/>
      <c r="F35" s="156"/>
      <c r="G35" s="150"/>
      <c r="H35" s="239">
        <f>F34*4</f>
        <v>396555.28165289253</v>
      </c>
      <c r="I35" s="76"/>
      <c r="J35" s="76"/>
      <c r="K35" s="76"/>
      <c r="L35" s="76"/>
      <c r="M35" s="76"/>
      <c r="N35" s="76"/>
      <c r="O35" s="76"/>
    </row>
    <row r="36" spans="1:15" ht="21.75" customHeight="1">
      <c r="A36" s="162"/>
      <c r="B36" s="156"/>
      <c r="C36" s="156"/>
      <c r="D36" s="156"/>
      <c r="E36" s="156"/>
      <c r="F36" s="156"/>
      <c r="G36" s="150"/>
      <c r="H36" s="239">
        <f>H35*70%</f>
        <v>277588.69715702476</v>
      </c>
      <c r="I36" s="239">
        <f>H35*150%</f>
        <v>594832.92247933883</v>
      </c>
      <c r="J36" s="76"/>
      <c r="K36" s="76"/>
      <c r="L36" s="76"/>
      <c r="M36" s="76"/>
      <c r="N36" s="76"/>
      <c r="O36" s="76"/>
    </row>
    <row r="37" spans="1:15" ht="21.75" customHeight="1">
      <c r="A37" s="162"/>
      <c r="B37" s="156"/>
      <c r="C37" s="156"/>
      <c r="D37" s="156"/>
      <c r="E37" s="156"/>
      <c r="F37" s="156"/>
      <c r="G37" s="150"/>
      <c r="H37" s="240">
        <f>H36/4</f>
        <v>69397.174289256189</v>
      </c>
      <c r="I37" s="240">
        <f>I36/4</f>
        <v>148708.23061983471</v>
      </c>
    </row>
    <row r="38" spans="1:15" ht="21.75" customHeight="1">
      <c r="A38" s="165"/>
      <c r="B38" s="166"/>
      <c r="C38" s="160"/>
      <c r="D38" s="160"/>
      <c r="E38" s="160"/>
      <c r="F38" s="160"/>
      <c r="G38" s="150"/>
    </row>
  </sheetData>
  <mergeCells count="2">
    <mergeCell ref="E4:G4"/>
    <mergeCell ref="B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Càlcul pressupost </vt:lpstr>
      <vt:lpstr>Infraestr2</vt:lpstr>
      <vt:lpstr>Taules IJ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Gordo</dc:creator>
  <cp:lastModifiedBy>Ajuntament de Barcelona</cp:lastModifiedBy>
  <dcterms:created xsi:type="dcterms:W3CDTF">2020-04-20T14:58:25Z</dcterms:created>
  <dcterms:modified xsi:type="dcterms:W3CDTF">2024-10-10T11:07:26Z</dcterms:modified>
</cp:coreProperties>
</file>