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17868" windowHeight="10908" tabRatio="693"/>
  </bookViews>
  <sheets>
    <sheet name="Càlcul pressupost " sheetId="6" r:id="rId1"/>
    <sheet name="Perfils" sheetId="5" r:id="rId2"/>
    <sheet name="Infraestr2" sheetId="12" r:id="rId3"/>
    <sheet name="Taules IJ" sheetId="7" r:id="rId4"/>
    <sheet name="Quadre desglossament" sheetId="14" r:id="rId5"/>
    <sheet name="Full1" sheetId="15" r:id="rId6"/>
    <sheet name="Full2" sheetId="16" r:id="rId7"/>
  </sheets>
  <externalReferences>
    <externalReference r:id="rId8"/>
    <externalReference r:id="rId9"/>
  </externalReferences>
  <definedNames>
    <definedName name="_xlnm._FilterDatabase" localSheetId="0" hidden="1">'Càlcul pressupost '!$15:$22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" i="6" l="1"/>
  <c r="J27" i="6"/>
  <c r="L26" i="6"/>
  <c r="K26" i="6"/>
  <c r="L19" i="6"/>
  <c r="J19" i="6"/>
  <c r="L18" i="6"/>
  <c r="K18" i="6"/>
  <c r="G6" i="6"/>
  <c r="E94" i="15"/>
  <c r="E93" i="15"/>
  <c r="E91" i="15"/>
  <c r="D94" i="15"/>
  <c r="D93" i="15"/>
  <c r="D91" i="15"/>
  <c r="D90" i="15"/>
  <c r="F3" i="16" l="1"/>
  <c r="E3" i="16"/>
  <c r="D3" i="16"/>
  <c r="C3" i="16"/>
  <c r="H3" i="16" l="1"/>
  <c r="G3" i="16"/>
  <c r="E57" i="12"/>
  <c r="I8" i="12"/>
  <c r="G8" i="12"/>
  <c r="F8" i="12"/>
  <c r="F4" i="16" l="1"/>
  <c r="E4" i="16"/>
  <c r="D4" i="16"/>
  <c r="H4" i="16" s="1"/>
  <c r="C4" i="16"/>
  <c r="G4" i="16" s="1"/>
  <c r="D36" i="15" l="1"/>
  <c r="H36" i="15" s="1"/>
  <c r="D35" i="15"/>
  <c r="H35" i="15" s="1"/>
  <c r="D33" i="15"/>
  <c r="F33" i="15" s="1"/>
  <c r="F27" i="15"/>
  <c r="E27" i="15"/>
  <c r="D27" i="15"/>
  <c r="F26" i="15"/>
  <c r="E26" i="15"/>
  <c r="D26" i="15"/>
  <c r="F25" i="15"/>
  <c r="E25" i="15"/>
  <c r="D25" i="15"/>
  <c r="F23" i="15"/>
  <c r="E23" i="15"/>
  <c r="D23" i="15"/>
  <c r="F18" i="15"/>
  <c r="E108" i="15" s="1"/>
  <c r="E18" i="15"/>
  <c r="D18" i="15"/>
  <c r="D55" i="15" s="1"/>
  <c r="F17" i="15"/>
  <c r="E107" i="15" s="1"/>
  <c r="E17" i="15"/>
  <c r="D17" i="15"/>
  <c r="D54" i="15" s="1"/>
  <c r="F16" i="15"/>
  <c r="E105" i="15" s="1"/>
  <c r="E16" i="15"/>
  <c r="D16" i="15"/>
  <c r="D53" i="15" s="1"/>
  <c r="F14" i="15"/>
  <c r="E101" i="15" s="1"/>
  <c r="E14" i="15"/>
  <c r="D14" i="15"/>
  <c r="D51" i="15" s="1"/>
  <c r="E58" i="15" s="1"/>
  <c r="F9" i="15"/>
  <c r="D108" i="15" s="1"/>
  <c r="E9" i="15"/>
  <c r="F8" i="15"/>
  <c r="D107" i="15" s="1"/>
  <c r="F107" i="15" s="1"/>
  <c r="E8" i="15"/>
  <c r="F7" i="15"/>
  <c r="D105" i="15" s="1"/>
  <c r="E7" i="15"/>
  <c r="F5" i="15"/>
  <c r="D101" i="15" s="1"/>
  <c r="E5" i="15"/>
  <c r="D9" i="15"/>
  <c r="D48" i="15" s="1"/>
  <c r="D8" i="15"/>
  <c r="D47" i="15" s="1"/>
  <c r="D7" i="15"/>
  <c r="D46" i="15" s="1"/>
  <c r="D5" i="15"/>
  <c r="D44" i="15" s="1"/>
  <c r="D70" i="15"/>
  <c r="D63" i="15"/>
  <c r="E56" i="15"/>
  <c r="E49" i="15"/>
  <c r="F101" i="15" l="1"/>
  <c r="F105" i="15"/>
  <c r="F35" i="15"/>
  <c r="F36" i="15"/>
  <c r="H33" i="15"/>
  <c r="E67" i="15"/>
  <c r="E60" i="15"/>
  <c r="E68" i="15"/>
  <c r="E61" i="15"/>
  <c r="E65" i="15"/>
  <c r="F94" i="15" l="1"/>
  <c r="G94" i="15"/>
  <c r="F93" i="15"/>
  <c r="G93" i="15"/>
  <c r="F91" i="15"/>
  <c r="G91" i="15"/>
  <c r="I7" i="12"/>
  <c r="G7" i="12"/>
  <c r="H7" i="12"/>
  <c r="F7" i="12"/>
  <c r="E53" i="12"/>
  <c r="E54" i="12" s="1"/>
  <c r="F54" i="12"/>
  <c r="F53" i="12"/>
  <c r="E52" i="12"/>
  <c r="M17" i="6"/>
  <c r="P16" i="6" l="1"/>
  <c r="G23" i="5" l="1"/>
  <c r="G18" i="5"/>
  <c r="G13" i="5"/>
  <c r="G9" i="5"/>
  <c r="G22" i="5"/>
  <c r="G21" i="5"/>
  <c r="G20" i="5"/>
  <c r="G19" i="5"/>
  <c r="G17" i="5"/>
  <c r="G16" i="5"/>
  <c r="G15" i="5"/>
  <c r="G14" i="5"/>
  <c r="G12" i="5"/>
  <c r="G11" i="5"/>
  <c r="G10" i="5"/>
  <c r="G8" i="5"/>
  <c r="G7" i="5"/>
  <c r="G6" i="5"/>
  <c r="G4" i="5"/>
  <c r="G3" i="5"/>
  <c r="G5" i="5" l="1"/>
  <c r="D25" i="7"/>
  <c r="D28" i="7" s="1"/>
  <c r="E11" i="7" l="1"/>
  <c r="C11" i="7" l="1"/>
  <c r="D11" i="7" s="1"/>
  <c r="E21" i="5" l="1"/>
  <c r="S23" i="6"/>
  <c r="P23" i="6"/>
  <c r="M23" i="6"/>
  <c r="J23" i="6"/>
  <c r="G23" i="6"/>
  <c r="S15" i="6"/>
  <c r="P15" i="6"/>
  <c r="M15" i="6"/>
  <c r="J15" i="6"/>
  <c r="E12" i="5"/>
  <c r="E11" i="5"/>
  <c r="E14" i="5"/>
  <c r="E15" i="5"/>
  <c r="F15" i="5" s="1"/>
  <c r="B19" i="5"/>
  <c r="B14" i="5"/>
  <c r="B10" i="5"/>
  <c r="B6" i="5"/>
  <c r="B3" i="5"/>
  <c r="F8" i="6" l="1"/>
  <c r="G8" i="6"/>
  <c r="H8" i="7" s="1"/>
  <c r="F8" i="7" l="1"/>
  <c r="D15" i="15" s="1"/>
  <c r="F15" i="15"/>
  <c r="E103" i="15" s="1"/>
  <c r="E8" i="7"/>
  <c r="G15" i="6"/>
  <c r="D20" i="7" l="1"/>
  <c r="G8" i="7"/>
  <c r="E20" i="7" s="1"/>
  <c r="D52" i="15"/>
  <c r="E92" i="15"/>
  <c r="C8" i="7"/>
  <c r="D6" i="15" s="1"/>
  <c r="F6" i="15"/>
  <c r="D103" i="15" s="1"/>
  <c r="F103" i="15" s="1"/>
  <c r="F47" i="12"/>
  <c r="G47" i="12" s="1"/>
  <c r="H47" i="12" s="1"/>
  <c r="G46" i="12"/>
  <c r="H46" i="12" s="1"/>
  <c r="F46" i="12"/>
  <c r="F45" i="12"/>
  <c r="G45" i="12" s="1"/>
  <c r="H45" i="12" s="1"/>
  <c r="F44" i="12"/>
  <c r="G44" i="12" s="1"/>
  <c r="H44" i="12" s="1"/>
  <c r="U43" i="12"/>
  <c r="T43" i="12"/>
  <c r="S43" i="12"/>
  <c r="Q43" i="12"/>
  <c r="P43" i="12"/>
  <c r="O43" i="12"/>
  <c r="F43" i="12"/>
  <c r="G43" i="12" s="1"/>
  <c r="H43" i="12" s="1"/>
  <c r="F42" i="12"/>
  <c r="G42" i="12" s="1"/>
  <c r="H42" i="12" s="1"/>
  <c r="F41" i="12"/>
  <c r="G41" i="12" s="1"/>
  <c r="H41" i="12" s="1"/>
  <c r="F40" i="12"/>
  <c r="G40" i="12" s="1"/>
  <c r="H40" i="12" s="1"/>
  <c r="M35" i="12"/>
  <c r="L35" i="12"/>
  <c r="K35" i="12"/>
  <c r="F27" i="12"/>
  <c r="G27" i="12" s="1"/>
  <c r="H27" i="12" s="1"/>
  <c r="F26" i="12"/>
  <c r="G26" i="12" s="1"/>
  <c r="H26" i="12" s="1"/>
  <c r="F25" i="12"/>
  <c r="G25" i="12" s="1"/>
  <c r="H25" i="12" s="1"/>
  <c r="F24" i="12"/>
  <c r="G24" i="12" s="1"/>
  <c r="H24" i="12" s="1"/>
  <c r="F23" i="12"/>
  <c r="G23" i="12" s="1"/>
  <c r="H23" i="12" s="1"/>
  <c r="F22" i="12"/>
  <c r="G22" i="12" s="1"/>
  <c r="H22" i="12" s="1"/>
  <c r="F21" i="12"/>
  <c r="G21" i="12" s="1"/>
  <c r="H21" i="12" s="1"/>
  <c r="F20" i="12"/>
  <c r="G20" i="12" s="1"/>
  <c r="H20" i="12" s="1"/>
  <c r="F20" i="7" l="1"/>
  <c r="E15" i="15"/>
  <c r="E66" i="15"/>
  <c r="E83" i="15" s="1"/>
  <c r="E59" i="15"/>
  <c r="E82" i="15" s="1"/>
  <c r="E84" i="15" s="1"/>
  <c r="D81" i="15"/>
  <c r="G92" i="15"/>
  <c r="F92" i="15"/>
  <c r="D19" i="7"/>
  <c r="D8" i="7"/>
  <c r="D45" i="15"/>
  <c r="D80" i="15" s="1"/>
  <c r="D92" i="15"/>
  <c r="E39" i="12"/>
  <c r="F39" i="12" s="1"/>
  <c r="G39" i="12" s="1"/>
  <c r="H39" i="12" s="1"/>
  <c r="E12" i="12"/>
  <c r="E38" i="12"/>
  <c r="F38" i="12" s="1"/>
  <c r="G38" i="12" s="1"/>
  <c r="H38" i="12" s="1"/>
  <c r="D12" i="12"/>
  <c r="E37" i="12"/>
  <c r="F37" i="12" s="1"/>
  <c r="C12" i="12"/>
  <c r="D21" i="7"/>
  <c r="E19" i="12"/>
  <c r="F19" i="12" s="1"/>
  <c r="G19" i="12" s="1"/>
  <c r="H19" i="12" s="1"/>
  <c r="E17" i="12"/>
  <c r="F17" i="12" s="1"/>
  <c r="E18" i="12"/>
  <c r="F18" i="12" s="1"/>
  <c r="G18" i="12" s="1"/>
  <c r="H18" i="12" s="1"/>
  <c r="D84" i="15" l="1"/>
  <c r="E19" i="7"/>
  <c r="E6" i="15"/>
  <c r="F48" i="12"/>
  <c r="G48" i="12" s="1"/>
  <c r="H48" i="12" s="1"/>
  <c r="G37" i="12"/>
  <c r="H37" i="12" s="1"/>
  <c r="G17" i="12"/>
  <c r="H17" i="12" s="1"/>
  <c r="F28" i="12"/>
  <c r="H5" i="5"/>
  <c r="E21" i="7" l="1"/>
  <c r="F19" i="7"/>
  <c r="F21" i="7" s="1"/>
  <c r="H3" i="12"/>
  <c r="G28" i="12"/>
  <c r="H28" i="12" s="1"/>
  <c r="F29" i="12"/>
  <c r="G29" i="12" s="1"/>
  <c r="C35" i="5"/>
  <c r="E17" i="5" s="1"/>
  <c r="C34" i="5"/>
  <c r="E16" i="5" s="1"/>
  <c r="C33" i="5"/>
  <c r="C32" i="5"/>
  <c r="E8" i="5" s="1"/>
  <c r="F8" i="5" s="1"/>
  <c r="C31" i="5"/>
  <c r="C30" i="5"/>
  <c r="C29" i="5"/>
  <c r="E7" i="5" s="1"/>
  <c r="F7" i="5" s="1"/>
  <c r="C28" i="5"/>
  <c r="I3" i="12" l="1"/>
  <c r="I9" i="12" s="1"/>
  <c r="H9" i="12"/>
  <c r="E5" i="16" s="1"/>
  <c r="E2" i="16"/>
  <c r="H29" i="12"/>
  <c r="F3" i="12"/>
  <c r="F9" i="12" s="1"/>
  <c r="E4" i="5"/>
  <c r="E20" i="5"/>
  <c r="E19" i="5"/>
  <c r="E10" i="5"/>
  <c r="E6" i="5"/>
  <c r="E3" i="5"/>
  <c r="E22" i="5"/>
  <c r="G2" i="6"/>
  <c r="F2" i="16" l="1"/>
  <c r="C2" i="16"/>
  <c r="G2" i="16" s="1"/>
  <c r="G3" i="12"/>
  <c r="G9" i="12" s="1"/>
  <c r="C5" i="16"/>
  <c r="G5" i="16" s="1"/>
  <c r="H6" i="7"/>
  <c r="F5" i="16"/>
  <c r="F4" i="5"/>
  <c r="F3" i="5"/>
  <c r="F6" i="5"/>
  <c r="M27" i="6"/>
  <c r="G3" i="6"/>
  <c r="G4" i="6" s="1"/>
  <c r="G27" i="6"/>
  <c r="F21" i="5"/>
  <c r="F20" i="5"/>
  <c r="F22" i="5"/>
  <c r="C20" i="5"/>
  <c r="S19" i="6"/>
  <c r="C22" i="5"/>
  <c r="H23" i="5"/>
  <c r="W26" i="6"/>
  <c r="V26" i="6"/>
  <c r="W18" i="6"/>
  <c r="V18" i="6"/>
  <c r="S27" i="6"/>
  <c r="H13" i="5"/>
  <c r="F10" i="5"/>
  <c r="F12" i="5"/>
  <c r="P27" i="6"/>
  <c r="W25" i="6"/>
  <c r="V25" i="6"/>
  <c r="W24" i="6"/>
  <c r="V24" i="6"/>
  <c r="F14" i="5"/>
  <c r="V16" i="6"/>
  <c r="W16" i="6"/>
  <c r="V17" i="6"/>
  <c r="W17" i="6"/>
  <c r="G19" i="6"/>
  <c r="M19" i="6"/>
  <c r="P19" i="6"/>
  <c r="H18" i="5"/>
  <c r="H9" i="5"/>
  <c r="F16" i="5"/>
  <c r="F6" i="7" l="1"/>
  <c r="D13" i="15" s="1"/>
  <c r="F13" i="15"/>
  <c r="D2" i="16"/>
  <c r="H2" i="16" s="1"/>
  <c r="T24" i="6"/>
  <c r="U24" i="6" s="1"/>
  <c r="U27" i="6" s="1"/>
  <c r="G11" i="6" s="1"/>
  <c r="H11" i="7" s="1"/>
  <c r="F11" i="7" s="1"/>
  <c r="G11" i="7" s="1"/>
  <c r="H24" i="6"/>
  <c r="H16" i="6"/>
  <c r="F17" i="5"/>
  <c r="F19" i="5"/>
  <c r="F11" i="5"/>
  <c r="D50" i="15" l="1"/>
  <c r="E90" i="15"/>
  <c r="D5" i="16"/>
  <c r="H5" i="16" s="1"/>
  <c r="H6" i="16" s="1"/>
  <c r="F16" i="6"/>
  <c r="G6" i="7"/>
  <c r="E13" i="15" s="1"/>
  <c r="E99" i="15"/>
  <c r="E64" i="15"/>
  <c r="D76" i="15"/>
  <c r="D56" i="15"/>
  <c r="E57" i="15"/>
  <c r="Q24" i="6"/>
  <c r="Q16" i="6"/>
  <c r="R16" i="6" s="1"/>
  <c r="I16" i="6"/>
  <c r="I24" i="6"/>
  <c r="I27" i="6" s="1"/>
  <c r="G7" i="6" s="1"/>
  <c r="H7" i="7" s="1"/>
  <c r="N17" i="6"/>
  <c r="O17" i="6" s="1"/>
  <c r="N25" i="6"/>
  <c r="O25" i="6" s="1"/>
  <c r="E78" i="15" l="1"/>
  <c r="E70" i="15"/>
  <c r="E96" i="15"/>
  <c r="F90" i="15"/>
  <c r="F96" i="15" s="1"/>
  <c r="G90" i="15"/>
  <c r="G96" i="15" s="1"/>
  <c r="E63" i="15"/>
  <c r="E72" i="15" s="1"/>
  <c r="E77" i="15"/>
  <c r="F7" i="7"/>
  <c r="R24" i="6"/>
  <c r="O19" i="6"/>
  <c r="F9" i="6" s="1"/>
  <c r="F19" i="6"/>
  <c r="F6" i="6" s="1"/>
  <c r="F24" i="6"/>
  <c r="F27" i="6" s="1"/>
  <c r="R19" i="6"/>
  <c r="F10" i="6" s="1"/>
  <c r="I19" i="6"/>
  <c r="O27" i="6"/>
  <c r="G9" i="6" s="1"/>
  <c r="H9" i="7" s="1"/>
  <c r="F9" i="7" s="1"/>
  <c r="G9" i="7" s="1"/>
  <c r="E79" i="15" l="1"/>
  <c r="E86" i="15" s="1"/>
  <c r="G7" i="7"/>
  <c r="E10" i="7"/>
  <c r="C10" i="7" s="1"/>
  <c r="D10" i="7" s="1"/>
  <c r="E9" i="7"/>
  <c r="C9" i="7" s="1"/>
  <c r="D9" i="7" s="1"/>
  <c r="J9" i="7" s="1"/>
  <c r="E6" i="7"/>
  <c r="F4" i="15" s="1"/>
  <c r="R27" i="6"/>
  <c r="G10" i="6" s="1"/>
  <c r="F7" i="6"/>
  <c r="H9" i="6"/>
  <c r="I9" i="6" s="1"/>
  <c r="H6" i="6"/>
  <c r="I6" i="6" s="1"/>
  <c r="H11" i="6"/>
  <c r="I11" i="6" s="1"/>
  <c r="D99" i="15" l="1"/>
  <c r="F99" i="15" s="1"/>
  <c r="D96" i="15"/>
  <c r="B5" i="14"/>
  <c r="B12" i="14" s="1"/>
  <c r="K9" i="7"/>
  <c r="I9" i="7" s="1"/>
  <c r="C6" i="7"/>
  <c r="D4" i="15" s="1"/>
  <c r="D43" i="15" s="1"/>
  <c r="H10" i="6"/>
  <c r="I10" i="6" s="1"/>
  <c r="H10" i="7"/>
  <c r="H7" i="6"/>
  <c r="I7" i="6" s="1"/>
  <c r="E7" i="7"/>
  <c r="F12" i="6"/>
  <c r="J11" i="7"/>
  <c r="D49" i="15" l="1"/>
  <c r="D72" i="15" s="1"/>
  <c r="D75" i="15"/>
  <c r="D6" i="7"/>
  <c r="E4" i="15" s="1"/>
  <c r="F10" i="7"/>
  <c r="K10" i="7"/>
  <c r="I10" i="7" s="1"/>
  <c r="C7" i="7"/>
  <c r="C12" i="7" s="1"/>
  <c r="G12" i="6"/>
  <c r="H8" i="6"/>
  <c r="I8" i="6" s="1"/>
  <c r="I12" i="6" s="1"/>
  <c r="K7" i="7"/>
  <c r="I7" i="7" s="1"/>
  <c r="F12" i="7"/>
  <c r="J8" i="7"/>
  <c r="E24" i="15" s="1"/>
  <c r="K11" i="7"/>
  <c r="I11" i="7" s="1"/>
  <c r="C34" i="7" l="1"/>
  <c r="H34" i="7" s="1"/>
  <c r="D10" i="15"/>
  <c r="D79" i="15"/>
  <c r="D86" i="15" s="1"/>
  <c r="C35" i="7"/>
  <c r="H35" i="7" s="1"/>
  <c r="D19" i="15"/>
  <c r="D36" i="7"/>
  <c r="H36" i="7" s="1"/>
  <c r="D37" i="7"/>
  <c r="H37" i="7" s="1"/>
  <c r="G10" i="7"/>
  <c r="D17" i="7"/>
  <c r="D16" i="7"/>
  <c r="J6" i="7"/>
  <c r="E22" i="15" s="1"/>
  <c r="D7" i="7"/>
  <c r="D12" i="7" s="1"/>
  <c r="E10" i="15" s="1"/>
  <c r="H12" i="6"/>
  <c r="K8" i="7"/>
  <c r="G12" i="7"/>
  <c r="E19" i="15" s="1"/>
  <c r="K6" i="7"/>
  <c r="E12" i="7"/>
  <c r="F10" i="15" s="1"/>
  <c r="I8" i="7" l="1"/>
  <c r="D24" i="15" s="1"/>
  <c r="F24" i="15"/>
  <c r="D34" i="15"/>
  <c r="D18" i="7"/>
  <c r="D22" i="7" s="1"/>
  <c r="I6" i="7"/>
  <c r="F22" i="15"/>
  <c r="D32" i="15"/>
  <c r="C38" i="7"/>
  <c r="J10" i="7"/>
  <c r="E17" i="7"/>
  <c r="F17" i="7" s="1"/>
  <c r="E16" i="7"/>
  <c r="F16" i="7" s="1"/>
  <c r="J7" i="7"/>
  <c r="A5" i="14"/>
  <c r="D38" i="7"/>
  <c r="H12" i="7"/>
  <c r="F19" i="15" s="1"/>
  <c r="K12" i="7"/>
  <c r="F34" i="15" l="1"/>
  <c r="H34" i="15"/>
  <c r="F32" i="15"/>
  <c r="H32" i="15"/>
  <c r="D38" i="15"/>
  <c r="F28" i="15"/>
  <c r="D22" i="15"/>
  <c r="I12" i="7"/>
  <c r="D28" i="15" s="1"/>
  <c r="E18" i="7"/>
  <c r="E22" i="7" s="1"/>
  <c r="F27" i="7"/>
  <c r="F25" i="7" s="1"/>
  <c r="F28" i="7" s="1"/>
  <c r="C26" i="7"/>
  <c r="B8" i="14"/>
  <c r="C5" i="14"/>
  <c r="H13" i="6"/>
  <c r="B22" i="14" s="1"/>
  <c r="C27" i="7"/>
  <c r="C25" i="7"/>
  <c r="H38" i="7"/>
  <c r="J12" i="7" l="1"/>
  <c r="E28" i="15" s="1"/>
  <c r="E33" i="15"/>
  <c r="G35" i="15"/>
  <c r="G36" i="15"/>
  <c r="E34" i="15"/>
  <c r="E36" i="15"/>
  <c r="E35" i="15"/>
  <c r="G34" i="15"/>
  <c r="G33" i="15"/>
  <c r="G32" i="15"/>
  <c r="H38" i="15"/>
  <c r="H39" i="15" s="1"/>
  <c r="E32" i="15"/>
  <c r="F38" i="15"/>
  <c r="F39" i="15" s="1"/>
  <c r="F18" i="7"/>
  <c r="F22" i="7" s="1"/>
  <c r="G26" i="7"/>
  <c r="E26" i="7"/>
  <c r="B9" i="14"/>
  <c r="B10" i="14"/>
  <c r="E25" i="7"/>
  <c r="G25" i="7"/>
  <c r="C28" i="7"/>
  <c r="E27" i="7"/>
  <c r="G27" i="7"/>
  <c r="G38" i="15" l="1"/>
  <c r="F52" i="15"/>
  <c r="F55" i="15"/>
  <c r="F68" i="15"/>
  <c r="F65" i="15"/>
  <c r="F66" i="15"/>
  <c r="F51" i="15"/>
  <c r="F60" i="15"/>
  <c r="F53" i="15"/>
  <c r="F59" i="15"/>
  <c r="F61" i="15"/>
  <c r="F54" i="15"/>
  <c r="F44" i="15"/>
  <c r="F58" i="15"/>
  <c r="F48" i="15"/>
  <c r="F47" i="15"/>
  <c r="F45" i="15"/>
  <c r="F46" i="15"/>
  <c r="F67" i="15"/>
  <c r="F50" i="15"/>
  <c r="F57" i="15"/>
  <c r="F64" i="15"/>
  <c r="F43" i="15"/>
  <c r="E38" i="15"/>
  <c r="G28" i="7"/>
  <c r="G29" i="7" s="1"/>
  <c r="F37" i="7" s="1"/>
  <c r="B11" i="14"/>
  <c r="B16" i="14" s="1"/>
  <c r="B17" i="14" s="1"/>
  <c r="E28" i="7"/>
  <c r="E29" i="7" s="1"/>
  <c r="H53" i="15" l="1"/>
  <c r="G53" i="15"/>
  <c r="H47" i="15"/>
  <c r="G47" i="15"/>
  <c r="H60" i="15"/>
  <c r="G60" i="15"/>
  <c r="E34" i="7"/>
  <c r="G34" i="7" s="1"/>
  <c r="E37" i="7"/>
  <c r="G37" i="7" s="1"/>
  <c r="G43" i="15"/>
  <c r="F49" i="15"/>
  <c r="H43" i="15"/>
  <c r="G48" i="15"/>
  <c r="H48" i="15"/>
  <c r="G51" i="15"/>
  <c r="H51" i="15"/>
  <c r="G64" i="15"/>
  <c r="F70" i="15"/>
  <c r="H64" i="15"/>
  <c r="H58" i="15"/>
  <c r="G58" i="15"/>
  <c r="H66" i="15"/>
  <c r="F78" i="15"/>
  <c r="F83" i="15"/>
  <c r="G66" i="15"/>
  <c r="F80" i="15"/>
  <c r="H45" i="15"/>
  <c r="G45" i="15"/>
  <c r="F75" i="15"/>
  <c r="G57" i="15"/>
  <c r="F63" i="15"/>
  <c r="H57" i="15"/>
  <c r="G44" i="15"/>
  <c r="H44" i="15"/>
  <c r="G65" i="15"/>
  <c r="H65" i="15"/>
  <c r="H50" i="15"/>
  <c r="F56" i="15"/>
  <c r="G50" i="15"/>
  <c r="H54" i="15"/>
  <c r="G54" i="15"/>
  <c r="G68" i="15"/>
  <c r="H68" i="15"/>
  <c r="H67" i="15"/>
  <c r="G67" i="15"/>
  <c r="G61" i="15"/>
  <c r="H61" i="15"/>
  <c r="G55" i="15"/>
  <c r="H55" i="15"/>
  <c r="G46" i="15"/>
  <c r="H46" i="15"/>
  <c r="F82" i="15"/>
  <c r="F77" i="15"/>
  <c r="G59" i="15"/>
  <c r="H59" i="15"/>
  <c r="F81" i="15"/>
  <c r="H52" i="15"/>
  <c r="G52" i="15"/>
  <c r="F76" i="15"/>
  <c r="B20" i="14"/>
  <c r="B13" i="14"/>
  <c r="B19" i="14" s="1"/>
  <c r="F34" i="7"/>
  <c r="F36" i="7"/>
  <c r="F35" i="7"/>
  <c r="E36" i="7"/>
  <c r="G36" i="7" s="1"/>
  <c r="E35" i="7"/>
  <c r="G35" i="7" s="1"/>
  <c r="G70" i="15" l="1"/>
  <c r="B21" i="14"/>
  <c r="B24" i="14" s="1"/>
  <c r="H63" i="15"/>
  <c r="H83" i="15"/>
  <c r="G83" i="15"/>
  <c r="G78" i="15"/>
  <c r="H78" i="15"/>
  <c r="G56" i="15"/>
  <c r="G63" i="15"/>
  <c r="H56" i="15"/>
  <c r="G75" i="15"/>
  <c r="F79" i="15"/>
  <c r="H75" i="15"/>
  <c r="H81" i="15"/>
  <c r="G81" i="15"/>
  <c r="G77" i="15"/>
  <c r="H77" i="15"/>
  <c r="G82" i="15"/>
  <c r="H82" i="15"/>
  <c r="H49" i="15"/>
  <c r="G76" i="15"/>
  <c r="H76" i="15"/>
  <c r="H70" i="15"/>
  <c r="F72" i="15"/>
  <c r="G80" i="15"/>
  <c r="H80" i="15"/>
  <c r="F84" i="15"/>
  <c r="G49" i="15"/>
  <c r="F38" i="7"/>
  <c r="E38" i="7"/>
  <c r="G38" i="7" s="1"/>
  <c r="F86" i="15" l="1"/>
  <c r="H79" i="15"/>
  <c r="G84" i="15"/>
  <c r="H72" i="15"/>
  <c r="H84" i="15"/>
  <c r="G72" i="15"/>
  <c r="G79" i="15"/>
  <c r="G86" i="15" s="1"/>
  <c r="H86" i="15" l="1"/>
</calcChain>
</file>

<file path=xl/comments1.xml><?xml version="1.0" encoding="utf-8"?>
<comments xmlns="http://schemas.openxmlformats.org/spreadsheetml/2006/main">
  <authors>
    <author>Ajuntament de Barcelona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Revisar previsions</t>
        </r>
      </text>
    </comment>
  </commentList>
</comments>
</file>

<file path=xl/sharedStrings.xml><?xml version="1.0" encoding="utf-8"?>
<sst xmlns="http://schemas.openxmlformats.org/spreadsheetml/2006/main" count="536" uniqueCount="189">
  <si>
    <t>Infraestructura Cloud</t>
  </si>
  <si>
    <t>Monitoratge dels servidors i serveis</t>
  </si>
  <si>
    <t>Administració S.O.</t>
  </si>
  <si>
    <t>Infraestructura i Operació: Opció 8x5Mini  Lite</t>
  </si>
  <si>
    <t>Servei plec</t>
  </si>
  <si>
    <t>Perfil</t>
  </si>
  <si>
    <t>% dedicació</t>
  </si>
  <si>
    <t>Preu perfil IVA inclòs</t>
  </si>
  <si>
    <t>Preu perfil IVA exclòs</t>
  </si>
  <si>
    <t>Preu perfil tipus</t>
  </si>
  <si>
    <t>Import €/hora amb IVA</t>
  </si>
  <si>
    <t>Preu/hora IVA exclòs</t>
  </si>
  <si>
    <t>Total</t>
  </si>
  <si>
    <t>Data inici servei</t>
  </si>
  <si>
    <t>Data inici transició</t>
  </si>
  <si>
    <t>Criticitat</t>
  </si>
  <si>
    <t>Nom Aplicació</t>
  </si>
  <si>
    <t>Codi Aplicació</t>
  </si>
  <si>
    <t>Nom Servei</t>
  </si>
  <si>
    <t>Servei</t>
  </si>
  <si>
    <t>Import total licitació</t>
  </si>
  <si>
    <t>Import Total IVA exclòs</t>
  </si>
  <si>
    <t>Import Total IVA inclòs</t>
  </si>
  <si>
    <t>Data fi del contracte</t>
  </si>
  <si>
    <t>Data inici contracte</t>
  </si>
  <si>
    <t>VEC</t>
  </si>
  <si>
    <t>SUMA</t>
  </si>
  <si>
    <t>VE modificacions contracte amb disminució de cost previstes</t>
  </si>
  <si>
    <t>VE modificacions contracte amb increment de cost previstes</t>
  </si>
  <si>
    <t>VE eventuals pròrrogues</t>
  </si>
  <si>
    <t>VE prestació</t>
  </si>
  <si>
    <t>IVA EXCLÒS</t>
  </si>
  <si>
    <t> TOTAL</t>
  </si>
  <si>
    <t>% Disminució sobre import del contracte</t>
  </si>
  <si>
    <t>% Ampliació sobre import del contracte</t>
  </si>
  <si>
    <t>Import contracte (IVA inclòs)</t>
  </si>
  <si>
    <t>Causes previstes de modificació</t>
  </si>
  <si>
    <t>Modificacions de contracte: ampliació / disminució</t>
  </si>
  <si>
    <t>Import total</t>
  </si>
  <si>
    <t>IVA</t>
  </si>
  <si>
    <t>Pressupost net</t>
  </si>
  <si>
    <t>Any</t>
  </si>
  <si>
    <t>TOTAL</t>
  </si>
  <si>
    <t>Distribució de pressupost per any</t>
  </si>
  <si>
    <t>Total import contracte</t>
  </si>
  <si>
    <t>Total IVA 21%</t>
  </si>
  <si>
    <t>Total import net</t>
  </si>
  <si>
    <t>IVA 21%</t>
  </si>
  <si>
    <t>Import net</t>
  </si>
  <si>
    <t>Serveis</t>
  </si>
  <si>
    <t>Distribució de pressupost per any i per servei</t>
  </si>
  <si>
    <t>Costos indirectes:</t>
  </si>
  <si>
    <t>TOTAL (Suma costos directes)</t>
  </si>
  <si>
    <t>Costos salarials - Seguretat Social (34%)</t>
  </si>
  <si>
    <t>Costos salarials - Salari Brut</t>
  </si>
  <si>
    <t>Costos directes:</t>
  </si>
  <si>
    <t>CÀLCUL COSTOS DIRECTES I INDIRECTES PEL PROJECTE</t>
  </si>
  <si>
    <t>CITY OS Servei Regular</t>
  </si>
  <si>
    <t>CITY OS COSMO</t>
  </si>
  <si>
    <t>Preu/hora
IVA INCLÒS</t>
  </si>
  <si>
    <t>Infraestructura
IVA INCLÒS</t>
  </si>
  <si>
    <t>Tècnic sistemes junior / Consultor Júnior</t>
  </si>
  <si>
    <t>Tècnic infraest/sistemes / Consultor sènior</t>
  </si>
  <si>
    <t>Tècnic especialista productes / Consultor sènior</t>
  </si>
  <si>
    <t>Cap de projecte / Responsable dels serveis</t>
  </si>
  <si>
    <t>Tècnic  especialista / Consultor sènior</t>
  </si>
  <si>
    <t xml:space="preserve">Programador senior / Analista programador </t>
  </si>
  <si>
    <t>Administradors i Tècnic de  Sistemes</t>
  </si>
  <si>
    <t>Arquitecte / enginyer de dades</t>
  </si>
  <si>
    <t>CPU</t>
  </si>
  <si>
    <t>RAM (GB)</t>
  </si>
  <si>
    <t>HDD (GB)</t>
  </si>
  <si>
    <t>RAM</t>
  </si>
  <si>
    <t>HDD</t>
  </si>
  <si>
    <t>SER0502</t>
  </si>
  <si>
    <t>SER0490</t>
  </si>
  <si>
    <t>APP0974</t>
  </si>
  <si>
    <t>x hora</t>
  </si>
  <si>
    <t>vCPU On Demand XL (3.0 Ghz)</t>
  </si>
  <si>
    <t>GB RAM On Demand</t>
  </si>
  <si>
    <t>GB Storage Local OnDemand SSD</t>
  </si>
  <si>
    <t>Recurs Cloud</t>
  </si>
  <si>
    <t>Número de unitats</t>
  </si>
  <si>
    <t>Cost mensual</t>
  </si>
  <si>
    <t>Capacitat actual de CityOS</t>
  </si>
  <si>
    <t>Backups</t>
  </si>
  <si>
    <t>Backup VM (VM protegida)</t>
  </si>
  <si>
    <t>x mes</t>
  </si>
  <si>
    <t>U's de Espacio en NexicaData</t>
  </si>
  <si>
    <t>Service Manager</t>
  </si>
  <si>
    <t>COSTOS PRESENTAT PER NEXICA</t>
  </si>
  <si>
    <t>cost anual</t>
  </si>
  <si>
    <t>GB Backup VM (R. Mensual)</t>
  </si>
  <si>
    <t>Tècnic infraestructures/sistemes / Consultor sènior</t>
  </si>
  <si>
    <t>Capítol</t>
  </si>
  <si>
    <t>II</t>
  </si>
  <si>
    <r>
      <t>Servidors (</t>
    </r>
    <r>
      <rPr>
        <b/>
        <sz val="11"/>
        <color rgb="FFC00000"/>
        <rFont val="Calibri"/>
        <family val="2"/>
        <scheme val="minor"/>
      </rPr>
      <t>2 entorn</t>
    </r>
    <r>
      <rPr>
        <b/>
        <sz val="11"/>
        <color rgb="FF000000"/>
        <rFont val="Calibri"/>
        <family val="2"/>
        <scheme val="minor"/>
      </rPr>
      <t>s</t>
    </r>
    <r>
      <rPr>
        <sz val="11"/>
        <color rgb="FF000000"/>
        <rFont val="Calibri"/>
        <family val="2"/>
        <scheme val="minor"/>
      </rPr>
      <t xml:space="preserve">) </t>
    </r>
  </si>
  <si>
    <t>Backups (PRO i PRE)</t>
  </si>
  <si>
    <t>CITYOS 2025</t>
  </si>
  <si>
    <t>Altres</t>
  </si>
  <si>
    <t>Costos formació i prevenció (1%)</t>
  </si>
  <si>
    <t>Despeses generals d’estructura (15%)</t>
  </si>
  <si>
    <t>TOTAL (Suma costos directes + indirectes)</t>
  </si>
  <si>
    <t>Benefici industrial (10%)</t>
  </si>
  <si>
    <t>TOTAL DE COSTOS CONTRACTE</t>
  </si>
  <si>
    <t>IVA (21%)</t>
  </si>
  <si>
    <t>Detall del Recurs 2025</t>
  </si>
  <si>
    <t xml:space="preserve">Cost unitari </t>
  </si>
  <si>
    <t>cost anual (IVA Inc)</t>
  </si>
  <si>
    <t>cost</t>
  </si>
  <si>
    <t>PRE  S.O. Idem 2025 - 2026</t>
  </si>
  <si>
    <t>PRO  S.O. 2025</t>
  </si>
  <si>
    <t>PRO  S.O. 2026</t>
  </si>
  <si>
    <t xml:space="preserve">Infraestructura CLOUD </t>
  </si>
  <si>
    <t xml:space="preserve">Modalitats </t>
  </si>
  <si>
    <t>GB Backup VM (R. Setmanal)</t>
  </si>
  <si>
    <t>GB Backup VM (R. Trimestral)</t>
  </si>
  <si>
    <t>Interconexió MMR</t>
  </si>
  <si>
    <t>Interconexión Fibra SingleMode BCN MRR</t>
  </si>
  <si>
    <t>Detall del Recurs 2026</t>
  </si>
  <si>
    <t>Linia Comunicacions</t>
  </si>
  <si>
    <r>
      <t xml:space="preserve">Cost any 2025
 </t>
    </r>
    <r>
      <rPr>
        <b/>
        <sz val="8"/>
        <color theme="0"/>
        <rFont val="Calibri"/>
        <family val="2"/>
        <scheme val="minor"/>
      </rPr>
      <t>(IVA EXCLÒS)</t>
    </r>
  </si>
  <si>
    <r>
      <t xml:space="preserve">Cost any 2026
 </t>
    </r>
    <r>
      <rPr>
        <b/>
        <sz val="8"/>
        <color theme="0"/>
        <rFont val="Calibri"/>
        <family val="2"/>
        <scheme val="minor"/>
      </rPr>
      <t>(IVA EXCLÒS)</t>
    </r>
  </si>
  <si>
    <r>
      <t xml:space="preserve">Cost any 2026
 </t>
    </r>
    <r>
      <rPr>
        <b/>
        <sz val="8"/>
        <color theme="0"/>
        <rFont val="Calibri"/>
        <family val="2"/>
        <scheme val="minor"/>
      </rPr>
      <t>(IVA INCLÒS)</t>
    </r>
  </si>
  <si>
    <r>
      <t xml:space="preserve">Cost any 2025
 </t>
    </r>
    <r>
      <rPr>
        <b/>
        <sz val="8"/>
        <color theme="0"/>
        <rFont val="Calibri"/>
        <family val="2"/>
        <scheme val="minor"/>
      </rPr>
      <t>(IVA INCLÒS)</t>
    </r>
  </si>
  <si>
    <t>Infraestructura i línies de comunicacions</t>
  </si>
  <si>
    <t>Administració, Manteniment i Operació</t>
  </si>
  <si>
    <t>Oficina de Gestió del servei CityOS</t>
  </si>
  <si>
    <t>Servei 24x7</t>
  </si>
  <si>
    <t>Transició-devolució servei</t>
  </si>
  <si>
    <t>Desenvolupaments</t>
  </si>
  <si>
    <t>€ Servei</t>
  </si>
  <si>
    <t>VI</t>
  </si>
  <si>
    <t>Modificacions en les volumetries</t>
  </si>
  <si>
    <t>Modificacions en la relació Serveis/Subserveis de l’abast</t>
  </si>
  <si>
    <t>TOTAL (Suma costos Salarials+Formacio)</t>
  </si>
  <si>
    <t>TOTAL (Suma costos Salarials+Formacio+Estruct)</t>
  </si>
  <si>
    <t>Salari 
Net</t>
  </si>
  <si>
    <t>TOTAL IVA INCL</t>
  </si>
  <si>
    <t>GB Backup VM (R. Anual)Personalitzada</t>
  </si>
  <si>
    <t>Preu/hora/perfil (IVA inclòs)</t>
  </si>
  <si>
    <t>Modificacions per disminució del servei de Transició(mateix Adjudicatari)</t>
  </si>
  <si>
    <t>cap</t>
  </si>
  <si>
    <t>Import 2025 IVA inclòs</t>
  </si>
  <si>
    <t>Import 2026 IVA inclòs</t>
  </si>
  <si>
    <t>Perfil Basic</t>
  </si>
  <si>
    <t>Desenvolupament casos d’us i processos comuns</t>
  </si>
  <si>
    <t>Desenvolupament</t>
  </si>
  <si>
    <t>Import màxim ampliació (IVA inc)</t>
  </si>
  <si>
    <t>Import màxim disminució (IVA inc)</t>
  </si>
  <si>
    <t>Cap</t>
  </si>
  <si>
    <t>Quota mensual</t>
  </si>
  <si>
    <t>Concepte</t>
  </si>
  <si>
    <t>unitari instal·lació</t>
  </si>
  <si>
    <t>9mesos</t>
  </si>
  <si>
    <t>Preu instalació (entre el CPD Nexica i els 2 CPD ajuntament)</t>
  </si>
  <si>
    <t>2025(9m)</t>
  </si>
  <si>
    <t>Import</t>
  </si>
  <si>
    <t xml:space="preserve">% Ampliació sobre import </t>
  </si>
  <si>
    <t xml:space="preserve">Modificacions en les volumetries / casos d'us </t>
  </si>
  <si>
    <t>% Disminució sobre import</t>
  </si>
  <si>
    <t>Import (IVA inc)</t>
  </si>
  <si>
    <t>Total 2025</t>
  </si>
  <si>
    <t>Total 2026</t>
  </si>
  <si>
    <t>Total 2027</t>
  </si>
  <si>
    <t>Total 2028</t>
  </si>
  <si>
    <t>Serveis cap2</t>
  </si>
  <si>
    <t>Total capII</t>
  </si>
  <si>
    <t>Total capVI</t>
  </si>
  <si>
    <t>Serveis del contracte</t>
  </si>
  <si>
    <t xml:space="preserve">Modificacions per augment o disminució de volumetries en Serveis/Aplicacions </t>
  </si>
  <si>
    <t>Infraestructura</t>
  </si>
  <si>
    <t>X</t>
  </si>
  <si>
    <t>2025 iva inc</t>
  </si>
  <si>
    <t>2026 iva inc</t>
  </si>
  <si>
    <t>Infraestructura Cloud i línies de comunicacions</t>
  </si>
  <si>
    <r>
      <t xml:space="preserve">Cost TOTAL
 </t>
    </r>
    <r>
      <rPr>
        <b/>
        <sz val="8"/>
        <color theme="0"/>
        <rFont val="Calibri"/>
        <family val="2"/>
        <scheme val="minor"/>
      </rPr>
      <t>(IVA EXCLÒS)</t>
    </r>
  </si>
  <si>
    <r>
      <t xml:space="preserve">Cost TOTAL
 </t>
    </r>
    <r>
      <rPr>
        <b/>
        <sz val="8"/>
        <color theme="0"/>
        <rFont val="Calibri"/>
        <family val="2"/>
        <scheme val="minor"/>
      </rPr>
      <t>(IVA INCLÒS)</t>
    </r>
  </si>
  <si>
    <t>Total iva inc</t>
  </si>
  <si>
    <t>equips de comunicacions</t>
  </si>
  <si>
    <t>Linia Comunicacions (Enllaç CPD)</t>
  </si>
  <si>
    <t>Conectivitat</t>
  </si>
  <si>
    <t>Conectivitat(equips com.)</t>
  </si>
  <si>
    <t>Periode</t>
  </si>
  <si>
    <t>2025 iva excl</t>
  </si>
  <si>
    <t>2026 iva excl</t>
  </si>
  <si>
    <t>2027 iva excl</t>
  </si>
  <si>
    <t>2028 iva excl</t>
  </si>
  <si>
    <t>Devolució servei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</si>
</sst>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&quot; €&quot;_-;\-* #,##0.00&quot; €&quot;_-;_-* \-??&quot; €&quot;_-;_-@_-"/>
    <numFmt numFmtId="165" formatCode="#,##0.00\ &quot;€&quot;"/>
    <numFmt numFmtId="166" formatCode="0.0000%"/>
    <numFmt numFmtId="167" formatCode="#,##0.00&quot;€&quot;"/>
    <numFmt numFmtId="168" formatCode="###0.0_);[Red]\(###0.0\)"/>
    <numFmt numFmtId="169" formatCode="#,##0.00\ _€"/>
    <numFmt numFmtId="170" formatCode="#,##0.000000\ &quot;€&quot;;[Red]\-#,##0.000000\ &quot;€&quot;"/>
    <numFmt numFmtId="171" formatCode="_-* #,##0\ [$€-C0A]_-;\-* #,##0\ [$€-C0A]_-;_-* &quot;-&quot;\ [$€-C0A]_-;_-@_-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</font>
    <font>
      <b/>
      <sz val="11"/>
      <name val="&quot;Calibri&quot;"/>
    </font>
    <font>
      <sz val="11"/>
      <name val="&quot;Calibri&quot;"/>
    </font>
    <font>
      <b/>
      <sz val="11"/>
      <color rgb="FF000000"/>
      <name val="&quot;Calibri&quot;"/>
    </font>
    <font>
      <sz val="11"/>
      <color rgb="FF0000FF"/>
      <name val="Calibri"/>
      <family val="2"/>
    </font>
    <font>
      <b/>
      <sz val="11"/>
      <color rgb="FF0000FF"/>
      <name val="Calibri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9"/>
      <color indexed="12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8"/>
      <name val="Verdana"/>
      <family val="2"/>
    </font>
    <font>
      <sz val="9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Times New Roman"/>
      <family val="1"/>
    </font>
    <font>
      <b/>
      <sz val="8"/>
      <color rgb="FF000000"/>
      <name val="Verdana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DDEBF7"/>
        <bgColor rgb="FFDDEBF7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rgb="FF8B894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medium">
        <color indexed="64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 style="thin">
        <color theme="2"/>
      </right>
      <top style="thin">
        <color theme="2"/>
      </top>
      <bottom style="medium">
        <color indexed="64"/>
      </bottom>
      <diagonal/>
    </border>
    <border>
      <left/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thin">
        <color theme="2"/>
      </right>
      <top/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0504D"/>
      </left>
      <right style="medium">
        <color rgb="FFC0504D"/>
      </right>
      <top/>
      <bottom style="medium">
        <color rgb="FFC0504D"/>
      </bottom>
      <diagonal/>
    </border>
    <border>
      <left/>
      <right style="medium">
        <color rgb="FFC0504D"/>
      </right>
      <top/>
      <bottom style="medium">
        <color rgb="FFC0504D"/>
      </bottom>
      <diagonal/>
    </border>
    <border>
      <left style="medium">
        <color rgb="FFC0504D"/>
      </left>
      <right/>
      <top/>
      <bottom/>
      <diagonal/>
    </border>
    <border>
      <left/>
      <right style="medium">
        <color rgb="FFC0504D"/>
      </right>
      <top/>
      <bottom/>
      <diagonal/>
    </border>
    <border>
      <left style="medium">
        <color rgb="FFC0504D"/>
      </left>
      <right/>
      <top style="medium">
        <color rgb="FFC0504D"/>
      </top>
      <bottom style="medium">
        <color rgb="FFC0504D"/>
      </bottom>
      <diagonal/>
    </border>
    <border>
      <left/>
      <right style="medium">
        <color rgb="FFC0504D"/>
      </right>
      <top style="medium">
        <color rgb="FFC0504D"/>
      </top>
      <bottom style="medium">
        <color rgb="FFC0504D"/>
      </bottom>
      <diagonal/>
    </border>
  </borders>
  <cellStyleXfs count="5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2" fillId="0" borderId="0" applyBorder="0" applyProtection="0"/>
    <xf numFmtId="0" fontId="12" fillId="0" borderId="0"/>
    <xf numFmtId="0" fontId="13" fillId="0" borderId="0"/>
    <xf numFmtId="0" fontId="1" fillId="0" borderId="0"/>
    <xf numFmtId="0" fontId="1" fillId="0" borderId="0"/>
    <xf numFmtId="0" fontId="32" fillId="0" borderId="0"/>
    <xf numFmtId="0" fontId="34" fillId="0" borderId="0"/>
    <xf numFmtId="0" fontId="34" fillId="0" borderId="0"/>
    <xf numFmtId="0" fontId="34" fillId="0" borderId="0"/>
    <xf numFmtId="0" fontId="35" fillId="12" borderId="0" applyNumberFormat="0">
      <alignment horizontal="right" vertical="top" wrapText="1"/>
    </xf>
    <xf numFmtId="0" fontId="35" fillId="13" borderId="0" applyNumberFormat="0">
      <alignment horizontal="right" vertical="top" wrapText="1"/>
    </xf>
    <xf numFmtId="0" fontId="33" fillId="0" borderId="0"/>
    <xf numFmtId="44" fontId="33" fillId="0" borderId="0" applyFont="0" applyFill="0" applyBorder="0" applyAlignment="0" applyProtection="0"/>
    <xf numFmtId="38" fontId="36" fillId="14" borderId="0" applyNumberFormat="0" applyBorder="0" applyAlignment="0" applyProtection="0"/>
    <xf numFmtId="0" fontId="37" fillId="0" borderId="22" applyNumberFormat="0" applyAlignment="0" applyProtection="0">
      <alignment horizontal="left" vertical="center"/>
    </xf>
    <xf numFmtId="0" fontId="37" fillId="0" borderId="11">
      <alignment horizontal="left"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0" fontId="36" fillId="15" borderId="1" applyNumberFormat="0" applyBorder="0" applyAlignment="0" applyProtection="0"/>
    <xf numFmtId="3" fontId="40" fillId="14" borderId="0">
      <alignment horizontal="right"/>
      <protection locked="0"/>
    </xf>
    <xf numFmtId="0" fontId="41" fillId="0" borderId="0"/>
    <xf numFmtId="168" fontId="33" fillId="0" borderId="0"/>
    <xf numFmtId="0" fontId="33" fillId="0" borderId="0"/>
    <xf numFmtId="3" fontId="35" fillId="0" borderId="0"/>
    <xf numFmtId="10" fontId="33" fillId="0" borderId="0" applyFont="0" applyFill="0" applyBorder="0" applyAlignment="0" applyProtection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43" fillId="0" borderId="19">
      <alignment horizontal="center"/>
    </xf>
    <xf numFmtId="3" fontId="42" fillId="0" borderId="0" applyFont="0" applyFill="0" applyBorder="0" applyAlignment="0" applyProtection="0"/>
    <xf numFmtId="0" fontId="42" fillId="16" borderId="0" applyNumberFormat="0" applyFont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</cellStyleXfs>
  <cellXfs count="330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1" xfId="0" applyBorder="1"/>
    <xf numFmtId="2" fontId="0" fillId="0" borderId="0" xfId="0" applyNumberFormat="1"/>
    <xf numFmtId="0" fontId="11" fillId="0" borderId="0" xfId="0" applyFont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10" fontId="0" fillId="0" borderId="7" xfId="0" applyNumberFormat="1" applyBorder="1"/>
    <xf numFmtId="2" fontId="0" fillId="0" borderId="7" xfId="0" applyNumberFormat="1" applyFill="1" applyBorder="1"/>
    <xf numFmtId="2" fontId="0" fillId="0" borderId="7" xfId="0" applyNumberFormat="1" applyBorder="1"/>
    <xf numFmtId="0" fontId="2" fillId="5" borderId="7" xfId="0" applyFont="1" applyFill="1" applyBorder="1" applyAlignment="1">
      <alignment horizontal="left"/>
    </xf>
    <xf numFmtId="10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1" fillId="0" borderId="0" xfId="0" applyFont="1"/>
    <xf numFmtId="0" fontId="1" fillId="0" borderId="0" xfId="0" applyFont="1" applyFill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14" fontId="6" fillId="0" borderId="7" xfId="0" applyNumberFormat="1" applyFont="1" applyFill="1" applyBorder="1" applyAlignment="1">
      <alignment horizontal="center"/>
    </xf>
    <xf numFmtId="165" fontId="6" fillId="0" borderId="0" xfId="0" applyNumberFormat="1" applyFont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Fill="1" applyBorder="1" applyAlignment="1">
      <alignment horizontal="left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/>
    </xf>
    <xf numFmtId="165" fontId="7" fillId="5" borderId="0" xfId="0" applyNumberFormat="1" applyFont="1" applyFill="1" applyAlignment="1"/>
    <xf numFmtId="4" fontId="7" fillId="5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0" fillId="5" borderId="9" xfId="0" applyFill="1" applyBorder="1" applyAlignment="1">
      <alignment horizontal="left"/>
    </xf>
    <xf numFmtId="0" fontId="0" fillId="5" borderId="9" xfId="0" applyFill="1" applyBorder="1" applyAlignment="1">
      <alignment wrapText="1"/>
    </xf>
    <xf numFmtId="0" fontId="14" fillId="6" borderId="0" xfId="0" applyFont="1" applyFill="1" applyAlignment="1">
      <alignment horizontal="center" vertical="center" wrapText="1"/>
    </xf>
    <xf numFmtId="0" fontId="0" fillId="0" borderId="1" xfId="0" applyFill="1" applyBorder="1"/>
    <xf numFmtId="14" fontId="2" fillId="0" borderId="0" xfId="0" applyNumberFormat="1" applyFont="1"/>
    <xf numFmtId="0" fontId="14" fillId="3" borderId="0" xfId="0" applyFont="1" applyFill="1" applyAlignment="1">
      <alignment horizontal="center" vertical="center" wrapText="1"/>
    </xf>
    <xf numFmtId="0" fontId="0" fillId="0" borderId="0" xfId="0" applyFont="1" applyFill="1"/>
    <xf numFmtId="166" fontId="1" fillId="0" borderId="0" xfId="2" applyNumberFormat="1" applyFont="1"/>
    <xf numFmtId="165" fontId="1" fillId="0" borderId="0" xfId="0" applyNumberFormat="1" applyFont="1"/>
    <xf numFmtId="165" fontId="6" fillId="5" borderId="0" xfId="0" applyNumberFormat="1" applyFont="1" applyFill="1" applyAlignment="1"/>
    <xf numFmtId="4" fontId="2" fillId="5" borderId="0" xfId="0" applyNumberFormat="1" applyFont="1" applyFill="1" applyAlignment="1">
      <alignment horizontal="left" wrapText="1"/>
    </xf>
    <xf numFmtId="165" fontId="1" fillId="0" borderId="0" xfId="0" applyNumberFormat="1" applyFont="1" applyFill="1" applyAlignment="1">
      <alignment vertical="center"/>
    </xf>
    <xf numFmtId="14" fontId="1" fillId="0" borderId="0" xfId="0" applyNumberFormat="1" applyFont="1"/>
    <xf numFmtId="14" fontId="0" fillId="0" borderId="0" xfId="0" applyNumberFormat="1" applyFont="1"/>
    <xf numFmtId="8" fontId="1" fillId="0" borderId="0" xfId="0" applyNumberFormat="1" applyFont="1" applyFill="1" applyAlignment="1">
      <alignment horizontal="right" wrapText="1"/>
    </xf>
    <xf numFmtId="0" fontId="9" fillId="6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wrapText="1"/>
    </xf>
    <xf numFmtId="0" fontId="7" fillId="0" borderId="0" xfId="0" applyNumberFormat="1" applyFont="1" applyFill="1" applyBorder="1" applyProtection="1">
      <protection hidden="1"/>
    </xf>
    <xf numFmtId="14" fontId="1" fillId="0" borderId="0" xfId="0" applyNumberFormat="1" applyFont="1" applyFill="1"/>
    <xf numFmtId="14" fontId="0" fillId="0" borderId="0" xfId="0" applyNumberFormat="1" applyFill="1" applyAlignment="1">
      <alignment wrapText="1"/>
    </xf>
    <xf numFmtId="0" fontId="1" fillId="0" borderId="0" xfId="0" applyFont="1" applyFill="1" applyAlignment="1">
      <alignment wrapText="1"/>
    </xf>
    <xf numFmtId="0" fontId="10" fillId="7" borderId="0" xfId="0" applyFont="1" applyFill="1" applyAlignment="1">
      <alignment wrapText="1"/>
    </xf>
    <xf numFmtId="0" fontId="15" fillId="7" borderId="0" xfId="0" applyNumberFormat="1" applyFont="1" applyFill="1" applyBorder="1" applyAlignment="1" applyProtection="1">
      <alignment horizontal="left" vertical="center"/>
      <protection hidden="1"/>
    </xf>
    <xf numFmtId="0" fontId="9" fillId="7" borderId="0" xfId="0" applyFont="1" applyFill="1"/>
    <xf numFmtId="0" fontId="1" fillId="7" borderId="0" xfId="0" applyFont="1" applyFill="1" applyAlignment="1">
      <alignment wrapText="1"/>
    </xf>
    <xf numFmtId="0" fontId="16" fillId="0" borderId="0" xfId="0" applyFont="1"/>
    <xf numFmtId="44" fontId="16" fillId="0" borderId="0" xfId="0" applyNumberFormat="1" applyFont="1"/>
    <xf numFmtId="8" fontId="17" fillId="0" borderId="1" xfId="0" applyNumberFormat="1" applyFont="1" applyBorder="1" applyAlignment="1">
      <alignment horizontal="right" vertical="center"/>
    </xf>
    <xf numFmtId="8" fontId="18" fillId="5" borderId="1" xfId="0" applyNumberFormat="1" applyFont="1" applyFill="1" applyBorder="1" applyAlignment="1">
      <alignment horizontal="right" vertical="center"/>
    </xf>
    <xf numFmtId="44" fontId="18" fillId="5" borderId="1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44" fontId="17" fillId="0" borderId="1" xfId="0" applyNumberFormat="1" applyFont="1" applyBorder="1" applyAlignment="1">
      <alignment horizontal="right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16" fillId="8" borderId="1" xfId="0" applyFont="1" applyFill="1" applyBorder="1" applyAlignment="1">
      <alignment horizontal="right"/>
    </xf>
    <xf numFmtId="8" fontId="17" fillId="8" borderId="1" xfId="0" applyNumberFormat="1" applyFont="1" applyFill="1" applyBorder="1" applyAlignment="1">
      <alignment horizontal="right" vertical="center"/>
    </xf>
    <xf numFmtId="165" fontId="18" fillId="5" borderId="1" xfId="0" applyNumberFormat="1" applyFont="1" applyFill="1" applyBorder="1" applyAlignment="1">
      <alignment horizontal="right" vertical="center" wrapText="1"/>
    </xf>
    <xf numFmtId="0" fontId="22" fillId="5" borderId="1" xfId="0" applyFont="1" applyFill="1" applyBorder="1" applyAlignment="1">
      <alignment horizontal="left" vertical="center"/>
    </xf>
    <xf numFmtId="165" fontId="17" fillId="0" borderId="1" xfId="0" applyNumberFormat="1" applyFont="1" applyBorder="1" applyAlignment="1">
      <alignment horizontal="right" vertical="center" wrapText="1"/>
    </xf>
    <xf numFmtId="0" fontId="23" fillId="3" borderId="1" xfId="0" applyFont="1" applyFill="1" applyBorder="1" applyAlignment="1">
      <alignment horizontal="center" vertical="center" wrapText="1"/>
    </xf>
    <xf numFmtId="44" fontId="16" fillId="5" borderId="1" xfId="0" applyNumberFormat="1" applyFont="1" applyFill="1" applyBorder="1" applyAlignment="1">
      <alignment horizontal="center" vertical="center"/>
    </xf>
    <xf numFmtId="44" fontId="16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vertical="center" wrapText="1"/>
    </xf>
    <xf numFmtId="0" fontId="16" fillId="0" borderId="0" xfId="0" applyFont="1" applyBorder="1"/>
    <xf numFmtId="0" fontId="21" fillId="0" borderId="0" xfId="0" applyFont="1" applyFill="1" applyAlignment="1">
      <alignment horizontal="left"/>
    </xf>
    <xf numFmtId="14" fontId="0" fillId="2" borderId="0" xfId="0" applyNumberFormat="1" applyFill="1" applyAlignment="1">
      <alignment wrapText="1"/>
    </xf>
    <xf numFmtId="0" fontId="1" fillId="2" borderId="0" xfId="0" applyFont="1" applyFill="1" applyProtection="1">
      <protection locked="0"/>
    </xf>
    <xf numFmtId="14" fontId="1" fillId="2" borderId="0" xfId="0" applyNumberFormat="1" applyFont="1" applyFill="1"/>
    <xf numFmtId="0" fontId="1" fillId="2" borderId="0" xfId="0" applyFont="1" applyFill="1"/>
    <xf numFmtId="0" fontId="0" fillId="0" borderId="0" xfId="0" applyFont="1" applyAlignment="1">
      <alignment horizontal="center"/>
    </xf>
    <xf numFmtId="10" fontId="0" fillId="0" borderId="16" xfId="0" applyNumberFormat="1" applyBorder="1"/>
    <xf numFmtId="4" fontId="0" fillId="0" borderId="0" xfId="0" applyNumberForma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6" fillId="2" borderId="0" xfId="0" applyNumberFormat="1" applyFont="1" applyFill="1" applyBorder="1" applyAlignment="1">
      <alignment horizontal="center" vertical="center"/>
    </xf>
    <xf numFmtId="0" fontId="31" fillId="0" borderId="0" xfId="0" applyFont="1"/>
    <xf numFmtId="3" fontId="0" fillId="0" borderId="21" xfId="0" applyNumberFormat="1" applyFont="1" applyBorder="1" applyAlignment="1">
      <alignment horizontal="right"/>
    </xf>
    <xf numFmtId="3" fontId="0" fillId="0" borderId="20" xfId="0" applyNumberFormat="1" applyFont="1" applyBorder="1" applyAlignment="1">
      <alignment horizontal="right"/>
    </xf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9" fillId="3" borderId="26" xfId="0" applyFont="1" applyFill="1" applyBorder="1" applyAlignment="1">
      <alignment horizontal="left" vertical="center" wrapText="1"/>
    </xf>
    <xf numFmtId="165" fontId="2" fillId="5" borderId="27" xfId="0" applyNumberFormat="1" applyFont="1" applyFill="1" applyBorder="1" applyAlignment="1">
      <alignment wrapText="1"/>
    </xf>
    <xf numFmtId="0" fontId="0" fillId="0" borderId="0" xfId="0" applyFont="1" applyBorder="1"/>
    <xf numFmtId="0" fontId="0" fillId="5" borderId="27" xfId="0" applyFill="1" applyBorder="1" applyAlignment="1">
      <alignment wrapText="1"/>
    </xf>
    <xf numFmtId="3" fontId="0" fillId="0" borderId="0" xfId="0" applyNumberFormat="1" applyFont="1" applyBorder="1" applyAlignment="1">
      <alignment horizontal="right"/>
    </xf>
    <xf numFmtId="0" fontId="2" fillId="5" borderId="7" xfId="0" applyFont="1" applyFill="1" applyBorder="1" applyAlignment="1">
      <alignment horizontal="left"/>
    </xf>
    <xf numFmtId="0" fontId="0" fillId="0" borderId="1" xfId="0" applyBorder="1" applyAlignment="1">
      <alignment wrapText="1"/>
    </xf>
    <xf numFmtId="0" fontId="47" fillId="0" borderId="0" xfId="0" applyFont="1"/>
    <xf numFmtId="0" fontId="0" fillId="0" borderId="1" xfId="0" applyFont="1" applyFill="1" applyBorder="1"/>
    <xf numFmtId="0" fontId="0" fillId="0" borderId="1" xfId="0" applyFont="1" applyBorder="1"/>
    <xf numFmtId="0" fontId="16" fillId="0" borderId="0" xfId="0" applyFont="1" applyAlignment="1">
      <alignment vertical="center" wrapText="1"/>
    </xf>
    <xf numFmtId="2" fontId="2" fillId="19" borderId="1" xfId="0" applyNumberFormat="1" applyFont="1" applyFill="1" applyBorder="1" applyAlignment="1">
      <alignment horizontal="center"/>
    </xf>
    <xf numFmtId="165" fontId="0" fillId="0" borderId="0" xfId="0" applyNumberFormat="1" applyFont="1"/>
    <xf numFmtId="0" fontId="2" fillId="5" borderId="7" xfId="0" applyFont="1" applyFill="1" applyBorder="1" applyAlignment="1">
      <alignment horizontal="left"/>
    </xf>
    <xf numFmtId="0" fontId="14" fillId="3" borderId="0" xfId="0" applyFont="1" applyFill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right" vertical="center" readingOrder="1"/>
    </xf>
    <xf numFmtId="0" fontId="0" fillId="0" borderId="0" xfId="0" applyFont="1" applyFill="1" applyBorder="1" applyAlignment="1">
      <alignment horizontal="left" vertical="center" wrapText="1"/>
    </xf>
    <xf numFmtId="0" fontId="30" fillId="11" borderId="13" xfId="0" applyFont="1" applyFill="1" applyBorder="1" applyAlignment="1" applyProtection="1">
      <alignment horizontal="center"/>
      <protection locked="0"/>
    </xf>
    <xf numFmtId="167" fontId="29" fillId="11" borderId="13" xfId="0" applyNumberFormat="1" applyFont="1" applyFill="1" applyBorder="1" applyAlignment="1" applyProtection="1">
      <alignment horizontal="center"/>
      <protection locked="0"/>
    </xf>
    <xf numFmtId="0" fontId="28" fillId="10" borderId="13" xfId="0" applyFont="1" applyFill="1" applyBorder="1" applyAlignment="1" applyProtection="1">
      <alignment horizontal="left" vertical="top"/>
      <protection locked="0"/>
    </xf>
    <xf numFmtId="0" fontId="25" fillId="10" borderId="13" xfId="0" applyFont="1" applyFill="1" applyBorder="1" applyAlignment="1" applyProtection="1">
      <alignment vertical="top"/>
      <protection locked="0"/>
    </xf>
    <xf numFmtId="0" fontId="26" fillId="10" borderId="13" xfId="0" applyFont="1" applyFill="1" applyBorder="1" applyAlignment="1" applyProtection="1">
      <alignment vertical="top"/>
      <protection locked="0"/>
    </xf>
    <xf numFmtId="165" fontId="25" fillId="10" borderId="14" xfId="0" applyNumberFormat="1" applyFont="1" applyFill="1" applyBorder="1" applyAlignment="1" applyProtection="1">
      <alignment vertical="top"/>
      <protection locked="0"/>
    </xf>
    <xf numFmtId="0" fontId="26" fillId="10" borderId="13" xfId="0" applyFont="1" applyFill="1" applyBorder="1" applyAlignment="1" applyProtection="1">
      <alignment horizontal="right" vertical="top"/>
      <protection locked="0"/>
    </xf>
    <xf numFmtId="165" fontId="26" fillId="10" borderId="12" xfId="0" applyNumberFormat="1" applyFont="1" applyFill="1" applyBorder="1" applyAlignment="1" applyProtection="1">
      <alignment horizontal="right" vertical="top"/>
      <protection locked="0"/>
    </xf>
    <xf numFmtId="0" fontId="0" fillId="0" borderId="0" xfId="0" applyProtection="1">
      <protection locked="0"/>
    </xf>
    <xf numFmtId="0" fontId="27" fillId="0" borderId="13" xfId="0" applyFont="1" applyBorder="1" applyAlignment="1" applyProtection="1">
      <alignment vertical="top"/>
      <protection locked="0"/>
    </xf>
    <xf numFmtId="165" fontId="27" fillId="0" borderId="14" xfId="0" applyNumberFormat="1" applyFont="1" applyBorder="1" applyAlignment="1" applyProtection="1">
      <alignment horizontal="right" vertical="top"/>
      <protection locked="0"/>
    </xf>
    <xf numFmtId="0" fontId="27" fillId="0" borderId="13" xfId="0" applyFont="1" applyBorder="1" applyAlignment="1" applyProtection="1">
      <alignment horizontal="right" vertical="top"/>
      <protection locked="0"/>
    </xf>
    <xf numFmtId="165" fontId="26" fillId="0" borderId="14" xfId="0" applyNumberFormat="1" applyFont="1" applyBorder="1" applyAlignment="1" applyProtection="1">
      <alignment horizontal="right" vertical="top"/>
      <protection locked="0"/>
    </xf>
    <xf numFmtId="0" fontId="25" fillId="0" borderId="15" xfId="0" applyFont="1" applyBorder="1" applyAlignment="1" applyProtection="1">
      <alignment vertical="top"/>
      <protection locked="0"/>
    </xf>
    <xf numFmtId="165" fontId="25" fillId="0" borderId="15" xfId="0" applyNumberFormat="1" applyFont="1" applyBorder="1" applyAlignment="1" applyProtection="1">
      <alignment vertical="top"/>
      <protection locked="0"/>
    </xf>
    <xf numFmtId="0" fontId="27" fillId="0" borderId="13" xfId="0" applyFont="1" applyBorder="1" applyAlignment="1" applyProtection="1">
      <alignment horizontal="left" vertical="top"/>
      <protection locked="0"/>
    </xf>
    <xf numFmtId="165" fontId="26" fillId="0" borderId="12" xfId="0" applyNumberFormat="1" applyFont="1" applyBorder="1" applyAlignment="1" applyProtection="1">
      <alignment horizontal="right" vertical="top"/>
      <protection locked="0"/>
    </xf>
    <xf numFmtId="165" fontId="0" fillId="0" borderId="0" xfId="0" applyNumberFormat="1" applyProtection="1">
      <protection locked="0"/>
    </xf>
    <xf numFmtId="0" fontId="50" fillId="0" borderId="0" xfId="0" applyFont="1" applyAlignment="1">
      <alignment vertical="top"/>
    </xf>
    <xf numFmtId="44" fontId="5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51" fillId="20" borderId="1" xfId="0" applyFont="1" applyFill="1" applyBorder="1" applyAlignment="1">
      <alignment horizontal="center" vertical="center" wrapText="1"/>
    </xf>
    <xf numFmtId="0" fontId="2" fillId="17" borderId="0" xfId="1" applyNumberFormat="1" applyFont="1" applyFill="1" applyBorder="1" applyAlignment="1">
      <alignment horizontal="center"/>
    </xf>
    <xf numFmtId="0" fontId="52" fillId="0" borderId="1" xfId="0" applyFont="1" applyBorder="1" applyAlignment="1">
      <alignment vertical="center"/>
    </xf>
    <xf numFmtId="0" fontId="52" fillId="0" borderId="1" xfId="0" applyFont="1" applyBorder="1" applyAlignment="1">
      <alignment horizontal="center" vertical="center"/>
    </xf>
    <xf numFmtId="17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45" fillId="0" borderId="1" xfId="1" applyFont="1" applyFill="1" applyBorder="1" applyAlignment="1">
      <alignment horizontal="right" vertical="center" shrinkToFit="1"/>
    </xf>
    <xf numFmtId="44" fontId="0" fillId="0" borderId="1" xfId="1" applyFont="1" applyBorder="1"/>
    <xf numFmtId="0" fontId="0" fillId="20" borderId="0" xfId="0" applyFill="1"/>
    <xf numFmtId="0" fontId="0" fillId="17" borderId="0" xfId="0" applyFont="1" applyFill="1" applyBorder="1"/>
    <xf numFmtId="0" fontId="51" fillId="21" borderId="1" xfId="0" applyFont="1" applyFill="1" applyBorder="1" applyAlignment="1">
      <alignment horizontal="center" vertical="center" wrapText="1"/>
    </xf>
    <xf numFmtId="44" fontId="0" fillId="17" borderId="1" xfId="1" applyFont="1" applyFill="1" applyBorder="1"/>
    <xf numFmtId="165" fontId="45" fillId="17" borderId="0" xfId="37" applyNumberFormat="1" applyFont="1" applyFill="1" applyBorder="1" applyAlignment="1">
      <alignment horizontal="right" vertical="center" shrinkToFit="1"/>
    </xf>
    <xf numFmtId="0" fontId="0" fillId="21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71" fontId="2" fillId="0" borderId="1" xfId="0" applyNumberFormat="1" applyFont="1" applyBorder="1" applyAlignment="1">
      <alignment horizontal="right"/>
    </xf>
    <xf numFmtId="44" fontId="0" fillId="20" borderId="1" xfId="1" applyFont="1" applyFill="1" applyBorder="1"/>
    <xf numFmtId="0" fontId="2" fillId="0" borderId="0" xfId="0" applyFont="1" applyBorder="1" applyAlignment="1">
      <alignment horizontal="left"/>
    </xf>
    <xf numFmtId="0" fontId="45" fillId="0" borderId="0" xfId="48" applyFont="1" applyFill="1" applyBorder="1" applyAlignment="1">
      <alignment horizontal="left" vertical="center" shrinkToFit="1"/>
    </xf>
    <xf numFmtId="0" fontId="45" fillId="0" borderId="0" xfId="50" applyFont="1" applyFill="1" applyBorder="1" applyAlignment="1">
      <alignment horizontal="center" vertical="center" shrinkToFit="1"/>
    </xf>
    <xf numFmtId="1" fontId="45" fillId="0" borderId="0" xfId="50" applyNumberFormat="1" applyFont="1" applyFill="1" applyBorder="1" applyAlignment="1">
      <alignment horizontal="center" vertical="center" shrinkToFit="1"/>
    </xf>
    <xf numFmtId="44" fontId="45" fillId="0" borderId="0" xfId="37" applyFont="1" applyFill="1" applyBorder="1" applyAlignment="1">
      <alignment horizontal="center" vertical="center" shrinkToFit="1"/>
    </xf>
    <xf numFmtId="169" fontId="45" fillId="0" borderId="0" xfId="37" applyNumberFormat="1" applyFont="1" applyFill="1" applyBorder="1" applyAlignment="1">
      <alignment horizontal="right" vertical="center" shrinkToFit="1"/>
    </xf>
    <xf numFmtId="165" fontId="45" fillId="0" borderId="0" xfId="37" applyNumberFormat="1" applyFont="1" applyFill="1" applyBorder="1" applyAlignment="1">
      <alignment horizontal="right" vertical="center" shrinkToFit="1"/>
    </xf>
    <xf numFmtId="0" fontId="45" fillId="0" borderId="0" xfId="49" applyFont="1" applyFill="1" applyBorder="1" applyAlignment="1">
      <alignment horizontal="left" vertical="center" shrinkToFit="1"/>
    </xf>
    <xf numFmtId="0" fontId="45" fillId="0" borderId="0" xfId="49" applyFont="1" applyFill="1" applyBorder="1" applyAlignment="1">
      <alignment horizontal="center" vertical="center" shrinkToFit="1"/>
    </xf>
    <xf numFmtId="1" fontId="45" fillId="0" borderId="0" xfId="49" applyNumberFormat="1" applyFont="1" applyFill="1" applyBorder="1" applyAlignment="1">
      <alignment horizontal="center" vertical="center" shrinkToFit="1"/>
    </xf>
    <xf numFmtId="169" fontId="45" fillId="0" borderId="0" xfId="37" quotePrefix="1" applyNumberFormat="1" applyFont="1" applyFill="1" applyBorder="1" applyAlignment="1">
      <alignment horizontal="right" vertical="center" shrinkToFit="1"/>
    </xf>
    <xf numFmtId="165" fontId="45" fillId="17" borderId="0" xfId="37" quotePrefix="1" applyNumberFormat="1" applyFont="1" applyFill="1" applyBorder="1" applyAlignment="1">
      <alignment horizontal="right" vertical="center" shrinkToFit="1"/>
    </xf>
    <xf numFmtId="0" fontId="45" fillId="0" borderId="0" xfId="51" applyFont="1" applyFill="1" applyBorder="1" applyAlignment="1">
      <alignment horizontal="left" vertical="center" shrinkToFit="1"/>
    </xf>
    <xf numFmtId="0" fontId="45" fillId="0" borderId="0" xfId="51" applyFont="1" applyFill="1" applyBorder="1" applyAlignment="1">
      <alignment horizontal="center" vertical="center" shrinkToFit="1"/>
    </xf>
    <xf numFmtId="1" fontId="45" fillId="0" borderId="0" xfId="51" applyNumberFormat="1" applyFont="1" applyFill="1" applyBorder="1" applyAlignment="1">
      <alignment horizontal="center" vertical="center" shrinkToFit="1"/>
    </xf>
    <xf numFmtId="169" fontId="0" fillId="0" borderId="0" xfId="1" applyNumberFormat="1" applyFont="1" applyBorder="1" applyAlignment="1">
      <alignment horizontal="right"/>
    </xf>
    <xf numFmtId="165" fontId="0" fillId="0" borderId="0" xfId="0" applyNumberFormat="1" applyFont="1" applyBorder="1" applyAlignment="1">
      <alignment horizontal="right"/>
    </xf>
    <xf numFmtId="165" fontId="0" fillId="17" borderId="0" xfId="0" applyNumberFormat="1" applyFont="1" applyFill="1" applyBorder="1" applyAlignment="1">
      <alignment horizontal="right"/>
    </xf>
    <xf numFmtId="0" fontId="0" fillId="0" borderId="0" xfId="0" applyAlignment="1">
      <alignment vertical="center"/>
    </xf>
    <xf numFmtId="171" fontId="2" fillId="0" borderId="0" xfId="0" applyNumberFormat="1" applyFont="1"/>
    <xf numFmtId="0" fontId="0" fillId="17" borderId="0" xfId="0" applyFill="1"/>
    <xf numFmtId="44" fontId="0" fillId="0" borderId="0" xfId="0" applyNumberFormat="1" applyFont="1" applyBorder="1"/>
    <xf numFmtId="4" fontId="6" fillId="17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Alignment="1">
      <alignment vertical="center"/>
    </xf>
    <xf numFmtId="2" fontId="2" fillId="5" borderId="7" xfId="0" applyNumberFormat="1" applyFont="1" applyFill="1" applyBorder="1" applyAlignment="1">
      <alignment horizontal="right"/>
    </xf>
    <xf numFmtId="0" fontId="9" fillId="17" borderId="2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 wrapText="1"/>
    </xf>
    <xf numFmtId="0" fontId="53" fillId="22" borderId="20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10" fontId="17" fillId="0" borderId="1" xfId="0" applyNumberFormat="1" applyFont="1" applyBorder="1" applyAlignment="1">
      <alignment horizontal="center" vertical="center" wrapText="1"/>
    </xf>
    <xf numFmtId="10" fontId="18" fillId="5" borderId="1" xfId="0" applyNumberFormat="1" applyFont="1" applyFill="1" applyBorder="1" applyAlignment="1">
      <alignment horizontal="center" vertical="center" wrapText="1"/>
    </xf>
    <xf numFmtId="165" fontId="26" fillId="10" borderId="14" xfId="0" applyNumberFormat="1" applyFont="1" applyFill="1" applyBorder="1" applyAlignment="1" applyProtection="1">
      <alignment vertical="top"/>
      <protection locked="0"/>
    </xf>
    <xf numFmtId="0" fontId="30" fillId="11" borderId="13" xfId="0" applyFont="1" applyFill="1" applyBorder="1" applyAlignment="1" applyProtection="1">
      <alignment horizontal="center" wrapText="1"/>
      <protection locked="0"/>
    </xf>
    <xf numFmtId="165" fontId="0" fillId="0" borderId="0" xfId="0" applyNumberFormat="1"/>
    <xf numFmtId="9" fontId="0" fillId="0" borderId="0" xfId="2" applyFont="1"/>
    <xf numFmtId="0" fontId="2" fillId="5" borderId="24" xfId="0" applyFont="1" applyFill="1" applyBorder="1" applyAlignment="1"/>
    <xf numFmtId="0" fontId="2" fillId="5" borderId="0" xfId="0" applyFont="1" applyFill="1" applyBorder="1" applyAlignment="1"/>
    <xf numFmtId="0" fontId="2" fillId="5" borderId="37" xfId="0" applyFont="1" applyFill="1" applyBorder="1" applyAlignment="1"/>
    <xf numFmtId="0" fontId="2" fillId="5" borderId="25" xfId="0" applyFont="1" applyFill="1" applyBorder="1" applyAlignment="1"/>
    <xf numFmtId="0" fontId="2" fillId="5" borderId="38" xfId="0" applyFont="1" applyFill="1" applyBorder="1" applyAlignment="1"/>
    <xf numFmtId="0" fontId="2" fillId="5" borderId="39" xfId="0" applyFont="1" applyFill="1" applyBorder="1" applyAlignment="1"/>
    <xf numFmtId="0" fontId="16" fillId="0" borderId="0" xfId="0" applyFont="1" applyAlignment="1">
      <alignment vertical="center"/>
    </xf>
    <xf numFmtId="8" fontId="16" fillId="0" borderId="0" xfId="0" applyNumberFormat="1" applyFont="1" applyAlignment="1">
      <alignment vertical="center"/>
    </xf>
    <xf numFmtId="0" fontId="16" fillId="8" borderId="1" xfId="0" applyFont="1" applyFill="1" applyBorder="1" applyAlignment="1">
      <alignment horizontal="right" vertical="center"/>
    </xf>
    <xf numFmtId="0" fontId="16" fillId="17" borderId="0" xfId="0" applyFont="1" applyFill="1" applyBorder="1" applyAlignment="1">
      <alignment horizontal="right"/>
    </xf>
    <xf numFmtId="0" fontId="16" fillId="17" borderId="0" xfId="0" applyFont="1" applyFill="1" applyBorder="1"/>
    <xf numFmtId="0" fontId="9" fillId="3" borderId="0" xfId="0" applyFont="1" applyFill="1" applyAlignment="1">
      <alignment horizontal="center" vertical="center" wrapText="1"/>
    </xf>
    <xf numFmtId="44" fontId="22" fillId="0" borderId="20" xfId="0" applyNumberFormat="1" applyFont="1" applyBorder="1" applyAlignment="1">
      <alignment horizontal="center" vertical="center" wrapText="1"/>
    </xf>
    <xf numFmtId="44" fontId="22" fillId="22" borderId="20" xfId="0" applyNumberFormat="1" applyFont="1" applyFill="1" applyBorder="1" applyAlignment="1">
      <alignment horizontal="center" vertical="center" wrapText="1"/>
    </xf>
    <xf numFmtId="44" fontId="53" fillId="0" borderId="20" xfId="0" applyNumberFormat="1" applyFont="1" applyBorder="1" applyAlignment="1">
      <alignment horizontal="center" vertical="center" wrapText="1"/>
    </xf>
    <xf numFmtId="44" fontId="22" fillId="0" borderId="20" xfId="0" applyNumberFormat="1" applyFont="1" applyBorder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8" fontId="1" fillId="0" borderId="0" xfId="0" applyNumberFormat="1" applyFont="1" applyAlignment="1" applyProtection="1">
      <alignment wrapText="1"/>
      <protection locked="0"/>
    </xf>
    <xf numFmtId="0" fontId="51" fillId="20" borderId="1" xfId="0" applyFont="1" applyFill="1" applyBorder="1" applyAlignment="1">
      <alignment horizontal="center" vertical="center" wrapText="1"/>
    </xf>
    <xf numFmtId="0" fontId="24" fillId="3" borderId="10" xfId="0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4" fontId="16" fillId="0" borderId="0" xfId="0" applyNumberFormat="1" applyFont="1" applyAlignment="1">
      <alignment vertical="center"/>
    </xf>
    <xf numFmtId="0" fontId="23" fillId="17" borderId="0" xfId="0" applyFont="1" applyFill="1" applyBorder="1" applyAlignment="1">
      <alignment horizontal="center" vertical="center" wrapText="1"/>
    </xf>
    <xf numFmtId="0" fontId="53" fillId="17" borderId="0" xfId="0" applyFont="1" applyFill="1" applyBorder="1" applyAlignment="1">
      <alignment horizontal="center" vertical="center" wrapText="1"/>
    </xf>
    <xf numFmtId="0" fontId="23" fillId="3" borderId="40" xfId="0" applyFont="1" applyFill="1" applyBorder="1" applyAlignment="1">
      <alignment horizontal="center" vertical="center" wrapText="1"/>
    </xf>
    <xf numFmtId="0" fontId="53" fillId="0" borderId="41" xfId="0" applyFont="1" applyBorder="1" applyAlignment="1">
      <alignment horizontal="center" vertical="center" wrapText="1"/>
    </xf>
    <xf numFmtId="0" fontId="53" fillId="22" borderId="41" xfId="0" applyFont="1" applyFill="1" applyBorder="1" applyAlignment="1">
      <alignment horizontal="center" vertical="center" wrapText="1"/>
    </xf>
    <xf numFmtId="0" fontId="53" fillId="0" borderId="42" xfId="0" applyFont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4" fontId="0" fillId="0" borderId="0" xfId="1" applyFont="1"/>
    <xf numFmtId="0" fontId="0" fillId="0" borderId="43" xfId="0" applyFont="1" applyBorder="1"/>
    <xf numFmtId="0" fontId="54" fillId="0" borderId="44" xfId="0" applyFont="1" applyBorder="1"/>
    <xf numFmtId="44" fontId="0" fillId="0" borderId="45" xfId="1" applyFont="1" applyBorder="1"/>
    <xf numFmtId="0" fontId="0" fillId="0" borderId="46" xfId="0" applyFont="1" applyBorder="1"/>
    <xf numFmtId="0" fontId="0" fillId="0" borderId="47" xfId="0" applyFont="1" applyBorder="1"/>
    <xf numFmtId="44" fontId="0" fillId="0" borderId="48" xfId="1" applyFont="1" applyBorder="1"/>
    <xf numFmtId="44" fontId="0" fillId="0" borderId="0" xfId="0" applyNumberFormat="1" applyFont="1"/>
    <xf numFmtId="44" fontId="3" fillId="0" borderId="0" xfId="1" applyFont="1" applyFill="1" applyBorder="1" applyAlignment="1">
      <alignment vertical="top" readingOrder="1"/>
    </xf>
    <xf numFmtId="0" fontId="9" fillId="3" borderId="0" xfId="0" applyFont="1" applyFill="1" applyAlignment="1">
      <alignment horizontal="center" vertical="center" wrapText="1"/>
    </xf>
    <xf numFmtId="9" fontId="16" fillId="0" borderId="1" xfId="2" applyFont="1" applyFill="1" applyBorder="1" applyAlignment="1">
      <alignment horizontal="center" vertical="center"/>
    </xf>
    <xf numFmtId="0" fontId="23" fillId="17" borderId="1" xfId="0" applyFont="1" applyFill="1" applyBorder="1" applyAlignment="1">
      <alignment horizontal="center" vertical="center" wrapText="1"/>
    </xf>
    <xf numFmtId="0" fontId="22" fillId="17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6" fillId="17" borderId="0" xfId="0" applyFont="1" applyFill="1" applyBorder="1" applyAlignment="1">
      <alignment horizontal="right" vertical="center"/>
    </xf>
    <xf numFmtId="8" fontId="17" fillId="17" borderId="0" xfId="0" applyNumberFormat="1" applyFont="1" applyFill="1" applyBorder="1" applyAlignment="1">
      <alignment horizontal="right" vertical="center"/>
    </xf>
    <xf numFmtId="0" fontId="0" fillId="5" borderId="0" xfId="0" applyFill="1"/>
    <xf numFmtId="0" fontId="21" fillId="5" borderId="1" xfId="0" applyFont="1" applyFill="1" applyBorder="1" applyAlignment="1">
      <alignment vertical="center" wrapText="1"/>
    </xf>
    <xf numFmtId="0" fontId="21" fillId="5" borderId="1" xfId="0" applyFont="1" applyFill="1" applyBorder="1" applyAlignment="1">
      <alignment horizontal="center" vertical="center" wrapText="1"/>
    </xf>
    <xf numFmtId="44" fontId="21" fillId="5" borderId="1" xfId="1" applyFont="1" applyFill="1" applyBorder="1" applyAlignment="1">
      <alignment vertical="center" wrapText="1"/>
    </xf>
    <xf numFmtId="44" fontId="0" fillId="0" borderId="0" xfId="0" applyNumberFormat="1"/>
    <xf numFmtId="165" fontId="55" fillId="0" borderId="0" xfId="0" applyNumberFormat="1" applyFont="1"/>
    <xf numFmtId="165" fontId="56" fillId="5" borderId="1" xfId="0" applyNumberFormat="1" applyFont="1" applyFill="1" applyBorder="1" applyAlignment="1">
      <alignment horizontal="right" vertical="center"/>
    </xf>
    <xf numFmtId="0" fontId="20" fillId="17" borderId="10" xfId="0" applyFont="1" applyFill="1" applyBorder="1" applyAlignment="1">
      <alignment horizontal="center" vertical="center"/>
    </xf>
    <xf numFmtId="10" fontId="16" fillId="0" borderId="1" xfId="2" applyNumberFormat="1" applyFont="1" applyFill="1" applyBorder="1" applyAlignment="1">
      <alignment horizontal="center" vertical="center"/>
    </xf>
    <xf numFmtId="0" fontId="23" fillId="23" borderId="49" xfId="0" applyFont="1" applyFill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58" fillId="0" borderId="51" xfId="0" applyFont="1" applyBorder="1" applyAlignment="1">
      <alignment horizontal="left" vertical="center" wrapText="1"/>
    </xf>
    <xf numFmtId="0" fontId="57" fillId="0" borderId="52" xfId="0" applyFont="1" applyBorder="1" applyAlignment="1">
      <alignment horizontal="center" vertical="center" wrapText="1"/>
    </xf>
    <xf numFmtId="0" fontId="58" fillId="0" borderId="53" xfId="0" applyFont="1" applyBorder="1" applyAlignment="1">
      <alignment horizontal="left" vertical="center" wrapText="1"/>
    </xf>
    <xf numFmtId="0" fontId="57" fillId="0" borderId="54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right" vertical="center" wrapText="1"/>
    </xf>
    <xf numFmtId="8" fontId="0" fillId="0" borderId="0" xfId="0" applyNumberFormat="1"/>
    <xf numFmtId="0" fontId="9" fillId="3" borderId="34" xfId="0" applyFont="1" applyFill="1" applyBorder="1" applyAlignment="1">
      <alignment horizontal="center" vertical="center" wrapText="1"/>
    </xf>
    <xf numFmtId="165" fontId="0" fillId="5" borderId="0" xfId="0" applyNumberFormat="1" applyFill="1"/>
    <xf numFmtId="8" fontId="0" fillId="5" borderId="0" xfId="0" applyNumberFormat="1" applyFill="1"/>
    <xf numFmtId="44" fontId="0" fillId="0" borderId="0" xfId="0" applyNumberFormat="1" applyAlignment="1"/>
    <xf numFmtId="0" fontId="0" fillId="0" borderId="0" xfId="0" applyAlignment="1"/>
    <xf numFmtId="0" fontId="20" fillId="3" borderId="10" xfId="0" applyFont="1" applyFill="1" applyBorder="1" applyAlignment="1">
      <alignment wrapText="1"/>
    </xf>
    <xf numFmtId="0" fontId="21" fillId="0" borderId="1" xfId="0" applyFont="1" applyFill="1" applyBorder="1" applyAlignment="1"/>
    <xf numFmtId="44" fontId="16" fillId="0" borderId="1" xfId="0" applyNumberFormat="1" applyFont="1" applyFill="1" applyBorder="1" applyAlignment="1"/>
    <xf numFmtId="0" fontId="0" fillId="0" borderId="0" xfId="0" applyFont="1" applyFill="1" applyBorder="1" applyAlignment="1">
      <alignment horizontal="left" vertical="center" wrapText="1"/>
    </xf>
    <xf numFmtId="165" fontId="3" fillId="0" borderId="0" xfId="0" applyNumberFormat="1" applyFont="1" applyFill="1" applyBorder="1" applyAlignment="1">
      <alignment horizontal="right" vertical="center" readingOrder="1"/>
    </xf>
    <xf numFmtId="0" fontId="0" fillId="0" borderId="0" xfId="0" applyFont="1" applyBorder="1" applyAlignment="1">
      <alignment horizontal="center" vertical="center" wrapText="1"/>
    </xf>
    <xf numFmtId="0" fontId="51" fillId="2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3" fillId="20" borderId="1" xfId="0" applyFont="1" applyFill="1" applyBorder="1" applyAlignment="1">
      <alignment horizontal="center" vertical="center" wrapText="1"/>
    </xf>
    <xf numFmtId="44" fontId="3" fillId="20" borderId="1" xfId="1" applyFont="1" applyFill="1" applyBorder="1" applyAlignment="1">
      <alignment horizontal="center" vertical="center" wrapText="1"/>
    </xf>
    <xf numFmtId="10" fontId="16" fillId="5" borderId="1" xfId="2" applyNumberFormat="1" applyFont="1" applyFill="1" applyBorder="1" applyAlignment="1">
      <alignment horizontal="center"/>
    </xf>
    <xf numFmtId="44" fontId="16" fillId="5" borderId="1" xfId="0" applyNumberFormat="1" applyFont="1" applyFill="1" applyBorder="1"/>
    <xf numFmtId="0" fontId="21" fillId="5" borderId="1" xfId="0" applyFont="1" applyFill="1" applyBorder="1" applyAlignment="1">
      <alignment horizontal="left" vertical="center"/>
    </xf>
    <xf numFmtId="0" fontId="0" fillId="5" borderId="1" xfId="0" applyFill="1" applyBorder="1"/>
    <xf numFmtId="44" fontId="0" fillId="0" borderId="1" xfId="0" applyNumberFormat="1" applyBorder="1"/>
    <xf numFmtId="165" fontId="55" fillId="0" borderId="1" xfId="0" applyNumberFormat="1" applyFont="1" applyBorder="1"/>
    <xf numFmtId="0" fontId="2" fillId="5" borderId="1" xfId="0" applyFont="1" applyFill="1" applyBorder="1" applyAlignment="1">
      <alignment horizontal="center" vertical="center"/>
    </xf>
    <xf numFmtId="165" fontId="0" fillId="20" borderId="1" xfId="0" applyNumberFormat="1" applyFill="1" applyBorder="1"/>
    <xf numFmtId="0" fontId="54" fillId="0" borderId="1" xfId="0" applyFont="1" applyBorder="1"/>
    <xf numFmtId="44" fontId="0" fillId="0" borderId="1" xfId="0" applyNumberFormat="1" applyFont="1" applyBorder="1"/>
    <xf numFmtId="165" fontId="0" fillId="0" borderId="1" xfId="0" applyNumberFormat="1" applyFont="1" applyBorder="1"/>
    <xf numFmtId="0" fontId="14" fillId="3" borderId="0" xfId="0" applyFont="1" applyFill="1" applyAlignment="1">
      <alignment horizontal="center" vertical="center" wrapText="1"/>
    </xf>
    <xf numFmtId="0" fontId="0" fillId="0" borderId="0" xfId="0" applyFont="1" applyAlignment="1" applyProtection="1">
      <alignment horizontal="center"/>
      <protection locked="0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51" fillId="21" borderId="1" xfId="0" applyFont="1" applyFill="1" applyBorder="1" applyAlignment="1">
      <alignment horizontal="center" vertical="center" wrapText="1"/>
    </xf>
    <xf numFmtId="44" fontId="0" fillId="0" borderId="4" xfId="0" applyNumberFormat="1" applyFont="1" applyFill="1" applyBorder="1" applyAlignment="1">
      <alignment horizontal="center" vertical="center"/>
    </xf>
    <xf numFmtId="44" fontId="0" fillId="0" borderId="0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right" vertical="center" readingOrder="1"/>
    </xf>
    <xf numFmtId="165" fontId="3" fillId="0" borderId="0" xfId="0" applyNumberFormat="1" applyFont="1" applyFill="1" applyBorder="1" applyAlignment="1">
      <alignment horizontal="right" vertical="center" readingOrder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44" fillId="20" borderId="1" xfId="10" applyFont="1" applyFill="1" applyBorder="1" applyAlignment="1">
      <alignment horizontal="center" vertical="center" wrapText="1"/>
    </xf>
    <xf numFmtId="0" fontId="51" fillId="20" borderId="1" xfId="0" applyFont="1" applyFill="1" applyBorder="1" applyAlignment="1">
      <alignment horizontal="center" vertical="center" wrapText="1"/>
    </xf>
    <xf numFmtId="1" fontId="44" fillId="20" borderId="1" xfId="1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readingOrder="1"/>
    </xf>
    <xf numFmtId="0" fontId="0" fillId="5" borderId="27" xfId="0" applyFill="1" applyBorder="1" applyAlignment="1">
      <alignment horizontal="center" wrapText="1"/>
    </xf>
    <xf numFmtId="0" fontId="0" fillId="5" borderId="35" xfId="0" applyFill="1" applyBorder="1" applyAlignment="1">
      <alignment horizontal="center" wrapText="1"/>
    </xf>
    <xf numFmtId="0" fontId="0" fillId="5" borderId="36" xfId="0" applyFill="1" applyBorder="1" applyAlignment="1">
      <alignment horizontal="center" wrapText="1"/>
    </xf>
    <xf numFmtId="0" fontId="44" fillId="17" borderId="0" xfId="1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2" fillId="18" borderId="0" xfId="1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readingOrder="1"/>
    </xf>
    <xf numFmtId="0" fontId="3" fillId="0" borderId="0" xfId="0" applyFont="1" applyFill="1" applyBorder="1" applyAlignment="1">
      <alignment horizontal="left" vertical="top" readingOrder="1"/>
    </xf>
    <xf numFmtId="0" fontId="0" fillId="0" borderId="4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30" fillId="0" borderId="30" xfId="0" applyFont="1" applyBorder="1" applyAlignment="1" applyProtection="1">
      <alignment horizontal="center"/>
      <protection locked="0"/>
    </xf>
    <xf numFmtId="0" fontId="30" fillId="0" borderId="12" xfId="0" applyFont="1" applyBorder="1" applyAlignment="1" applyProtection="1">
      <alignment horizontal="center"/>
      <protection locked="0"/>
    </xf>
    <xf numFmtId="165" fontId="6" fillId="0" borderId="0" xfId="0" applyNumberFormat="1" applyFont="1" applyBorder="1" applyAlignment="1">
      <alignment horizontal="center" vertical="center"/>
    </xf>
  </cellXfs>
  <cellStyles count="52">
    <cellStyle name="0,0_x000a__x000a_NA_x000a__x000a_" xfId="12"/>
    <cellStyle name="0,0_x000d__x000a_NA_x000d__x000a_" xfId="13"/>
    <cellStyle name="1R" xfId="14"/>
    <cellStyle name="2R" xfId="15"/>
    <cellStyle name="Coma 2" xfId="3"/>
    <cellStyle name="Diseño" xfId="16"/>
    <cellStyle name="Estilo 1" xfId="11"/>
    <cellStyle name="Euro" xfId="17"/>
    <cellStyle name="Grey" xfId="18"/>
    <cellStyle name="Header1" xfId="19"/>
    <cellStyle name="Header2" xfId="20"/>
    <cellStyle name="Hyperlink" xfId="21"/>
    <cellStyle name="Hyperlink seguido" xfId="22"/>
    <cellStyle name="Input [yellow]" xfId="23"/>
    <cellStyle name="Input 0" xfId="24"/>
    <cellStyle name="Jun" xfId="25"/>
    <cellStyle name="Millares 2" xfId="4"/>
    <cellStyle name="Moneda" xfId="1" builtinId="4"/>
    <cellStyle name="Moneda 2" xfId="5"/>
    <cellStyle name="Moneda 3" xfId="37"/>
    <cellStyle name="Normal" xfId="0" builtinId="0"/>
    <cellStyle name="Normal - Style1" xfId="26"/>
    <cellStyle name="Normal 10" xfId="46"/>
    <cellStyle name="Normal 11" xfId="41"/>
    <cellStyle name="Normal 12" xfId="45"/>
    <cellStyle name="Normal 13" xfId="42"/>
    <cellStyle name="Normal 14" xfId="44"/>
    <cellStyle name="Normal 15" xfId="43"/>
    <cellStyle name="Normal 16" xfId="48"/>
    <cellStyle name="Normal 17" xfId="50"/>
    <cellStyle name="Normal 18" xfId="49"/>
    <cellStyle name="Normal 19" xfId="51"/>
    <cellStyle name="Normal 2" xfId="6"/>
    <cellStyle name="Normal 3" xfId="7"/>
    <cellStyle name="Normal 4" xfId="8"/>
    <cellStyle name="Normal 5" xfId="9"/>
    <cellStyle name="Normal 6" xfId="10"/>
    <cellStyle name="Normal 7" xfId="39"/>
    <cellStyle name="Normal 8" xfId="47"/>
    <cellStyle name="Normal 9" xfId="40"/>
    <cellStyle name="Option" xfId="27"/>
    <cellStyle name="PATXI" xfId="28"/>
    <cellStyle name="Percent [2]" xfId="29"/>
    <cellStyle name="Percentatge" xfId="2" builtinId="5"/>
    <cellStyle name="Percentatge 2" xfId="38"/>
    <cellStyle name="PSChar" xfId="30"/>
    <cellStyle name="PSDate" xfId="31"/>
    <cellStyle name="PSDec" xfId="32"/>
    <cellStyle name="PSHeading" xfId="33"/>
    <cellStyle name="PSInt" xfId="34"/>
    <cellStyle name="PSSpacer" xfId="35"/>
    <cellStyle name="Unit" xfId="36"/>
  </cellStyles>
  <dxfs count="0"/>
  <tableStyles count="0" defaultTableStyle="TableStyleMedium2" defaultPivotStyle="PivotStyleLight16"/>
  <colors>
    <mruColors>
      <color rgb="FF8B8949"/>
      <color rgb="FF8A8048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21</xdr:row>
          <xdr:rowOff>182880</xdr:rowOff>
        </xdr:from>
        <xdr:to>
          <xdr:col>0</xdr:col>
          <xdr:colOff>1089660</xdr:colOff>
          <xdr:row>22</xdr:row>
          <xdr:rowOff>213360</xdr:rowOff>
        </xdr:to>
        <xdr:sp macro="" textlink="">
          <xdr:nvSpPr>
            <xdr:cNvPr id="4097" name="Control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21</xdr:row>
          <xdr:rowOff>182880</xdr:rowOff>
        </xdr:from>
        <xdr:to>
          <xdr:col>0</xdr:col>
          <xdr:colOff>1089660</xdr:colOff>
          <xdr:row>22</xdr:row>
          <xdr:rowOff>213360</xdr:rowOff>
        </xdr:to>
        <xdr:sp macro="" textlink="">
          <xdr:nvSpPr>
            <xdr:cNvPr id="4098" name="Control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21</xdr:row>
          <xdr:rowOff>182880</xdr:rowOff>
        </xdr:from>
        <xdr:to>
          <xdr:col>0</xdr:col>
          <xdr:colOff>1089660</xdr:colOff>
          <xdr:row>22</xdr:row>
          <xdr:rowOff>213360</xdr:rowOff>
        </xdr:to>
        <xdr:sp macro="" textlink="">
          <xdr:nvSpPr>
            <xdr:cNvPr id="4099" name="Control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21</xdr:row>
          <xdr:rowOff>182880</xdr:rowOff>
        </xdr:from>
        <xdr:to>
          <xdr:col>0</xdr:col>
          <xdr:colOff>1089660</xdr:colOff>
          <xdr:row>22</xdr:row>
          <xdr:rowOff>213360</xdr:rowOff>
        </xdr:to>
        <xdr:sp macro="" textlink="">
          <xdr:nvSpPr>
            <xdr:cNvPr id="4100" name="Contro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21</xdr:row>
          <xdr:rowOff>182880</xdr:rowOff>
        </xdr:from>
        <xdr:to>
          <xdr:col>0</xdr:col>
          <xdr:colOff>1089660</xdr:colOff>
          <xdr:row>22</xdr:row>
          <xdr:rowOff>213360</xdr:rowOff>
        </xdr:to>
        <xdr:sp macro="" textlink="">
          <xdr:nvSpPr>
            <xdr:cNvPr id="4101" name="Contro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D28"/>
  <sheetViews>
    <sheetView tabSelected="1" zoomScaleNormal="100" workbookViewId="0">
      <selection activeCell="A9" sqref="A9"/>
    </sheetView>
  </sheetViews>
  <sheetFormatPr defaultColWidth="11.44140625" defaultRowHeight="14.4"/>
  <cols>
    <col min="1" max="1" width="19.21875" style="21" bestFit="1" customWidth="1"/>
    <col min="2" max="2" width="21.77734375" style="24" bestFit="1" customWidth="1"/>
    <col min="3" max="3" width="32.21875" style="23" bestFit="1" customWidth="1"/>
    <col min="4" max="4" width="24.44140625" style="24" customWidth="1"/>
    <col min="5" max="5" width="9.77734375" style="24" customWidth="1"/>
    <col min="6" max="6" width="17.5546875" style="23" customWidth="1"/>
    <col min="7" max="7" width="17.77734375" style="23" customWidth="1"/>
    <col min="8" max="8" width="16.5546875" style="21" customWidth="1"/>
    <col min="9" max="9" width="18.44140625" style="21" bestFit="1" customWidth="1"/>
    <col min="10" max="12" width="18.44140625" style="21" customWidth="1"/>
    <col min="13" max="13" width="13.44140625" style="21" bestFit="1" customWidth="1"/>
    <col min="14" max="14" width="20" style="21" customWidth="1"/>
    <col min="15" max="15" width="18.5546875" style="21" bestFit="1" customWidth="1"/>
    <col min="16" max="16" width="15.44140625" style="21" customWidth="1"/>
    <col min="17" max="17" width="15.5546875" style="21" customWidth="1"/>
    <col min="18" max="18" width="12.44140625" style="21" customWidth="1"/>
    <col min="19" max="19" width="16.5546875" style="21" customWidth="1"/>
    <col min="20" max="20" width="12.44140625" style="21" customWidth="1"/>
    <col min="21" max="21" width="16.21875" style="21" customWidth="1"/>
    <col min="22" max="22" width="11.5546875" style="21" customWidth="1"/>
    <col min="23" max="24" width="14.44140625" style="21" customWidth="1"/>
    <col min="25" max="26" width="17.77734375" style="22" bestFit="1" customWidth="1"/>
    <col min="27" max="27" width="14.44140625" style="21" customWidth="1"/>
    <col min="28" max="28" width="11.5546875" style="22" bestFit="1" customWidth="1"/>
    <col min="29" max="29" width="18.44140625" style="22" bestFit="1" customWidth="1"/>
    <col min="30" max="30" width="17.44140625" style="22" customWidth="1"/>
    <col min="31" max="31" width="14" style="21" customWidth="1"/>
    <col min="32" max="33" width="11.44140625" style="21"/>
    <col min="34" max="34" width="12.5546875" style="21" bestFit="1" customWidth="1"/>
    <col min="35" max="16384" width="11.44140625" style="21"/>
  </cols>
  <sheetData>
    <row r="1" spans="1:30" ht="31.5" customHeight="1">
      <c r="A1" s="61" t="s">
        <v>98</v>
      </c>
      <c r="B1" s="63"/>
      <c r="C1" s="62"/>
      <c r="D1" s="61"/>
      <c r="E1" s="60"/>
      <c r="F1" s="21"/>
      <c r="G1" s="21"/>
      <c r="Y1" s="21"/>
      <c r="Z1" s="21"/>
      <c r="AA1" s="22"/>
      <c r="AB1" s="21"/>
      <c r="AC1" s="21"/>
      <c r="AD1" s="21"/>
    </row>
    <row r="2" spans="1:30">
      <c r="A2" s="56" t="s">
        <v>24</v>
      </c>
      <c r="B2" s="58">
        <v>45748</v>
      </c>
      <c r="C2" s="57"/>
      <c r="D2" s="59"/>
      <c r="E2" s="59"/>
      <c r="F2" s="89"/>
      <c r="G2" s="90">
        <f>B2</f>
        <v>45748</v>
      </c>
      <c r="H2" s="90"/>
      <c r="Y2" s="21"/>
      <c r="Z2" s="21"/>
      <c r="AB2" s="21"/>
      <c r="AC2" s="21"/>
      <c r="AD2" s="21"/>
    </row>
    <row r="3" spans="1:30">
      <c r="A3" s="2" t="s">
        <v>13</v>
      </c>
      <c r="B3" s="58">
        <v>45748</v>
      </c>
      <c r="C3" s="57"/>
      <c r="D3" s="59"/>
      <c r="E3" s="59"/>
      <c r="F3" s="89"/>
      <c r="G3" s="90">
        <f>+B4</f>
        <v>46387</v>
      </c>
      <c r="H3" s="88"/>
      <c r="Y3" s="21"/>
      <c r="Z3" s="21"/>
      <c r="AB3" s="21"/>
      <c r="AC3" s="21"/>
      <c r="AD3" s="21"/>
    </row>
    <row r="4" spans="1:30">
      <c r="A4" s="56" t="s">
        <v>23</v>
      </c>
      <c r="B4" s="58">
        <v>46387</v>
      </c>
      <c r="C4" s="57"/>
      <c r="D4" s="25"/>
      <c r="E4" s="25"/>
      <c r="F4" s="89"/>
      <c r="G4" s="91">
        <f>G3-G2+1</f>
        <v>640</v>
      </c>
      <c r="H4" s="91"/>
      <c r="M4" s="46"/>
      <c r="W4" s="22"/>
      <c r="Y4" s="21"/>
      <c r="Z4" s="21"/>
      <c r="AB4" s="21"/>
      <c r="AC4" s="21"/>
      <c r="AD4" s="21"/>
    </row>
    <row r="5" spans="1:30" ht="28.8">
      <c r="A5" s="56"/>
      <c r="B5" s="55"/>
      <c r="C5" s="260" t="s">
        <v>19</v>
      </c>
      <c r="D5" s="237"/>
      <c r="E5" s="208" t="s">
        <v>142</v>
      </c>
      <c r="F5" s="208" t="s">
        <v>143</v>
      </c>
      <c r="G5" s="208" t="s">
        <v>144</v>
      </c>
      <c r="H5" s="54" t="s">
        <v>22</v>
      </c>
      <c r="I5" s="54" t="s">
        <v>21</v>
      </c>
      <c r="J5" s="50"/>
      <c r="K5" s="50"/>
      <c r="L5" s="50"/>
      <c r="M5" s="46"/>
      <c r="N5" s="46"/>
      <c r="Y5" s="21"/>
      <c r="Z5" s="21"/>
      <c r="AB5" s="21"/>
      <c r="AC5" s="21"/>
      <c r="AD5" s="21"/>
    </row>
    <row r="6" spans="1:30">
      <c r="A6" s="53"/>
      <c r="B6" s="53"/>
      <c r="C6" s="289" t="s">
        <v>125</v>
      </c>
      <c r="D6" s="289"/>
      <c r="E6" s="213" t="s">
        <v>95</v>
      </c>
      <c r="F6" s="50">
        <f>F19</f>
        <v>297361.5</v>
      </c>
      <c r="G6" s="50">
        <f>F27</f>
        <v>458174.27</v>
      </c>
      <c r="H6" s="50">
        <f t="shared" ref="H6:H11" si="0">SUM(F6:G6)</f>
        <v>755535.77</v>
      </c>
      <c r="I6" s="50">
        <f t="shared" ref="I6:I11" si="1">+ROUND(H6/1.21,2)</f>
        <v>624409.73</v>
      </c>
      <c r="J6" s="50"/>
      <c r="K6" s="50"/>
      <c r="L6" s="50"/>
      <c r="M6" s="46"/>
      <c r="N6" s="46"/>
      <c r="X6" s="52"/>
      <c r="Y6" s="52"/>
      <c r="Z6" s="21"/>
      <c r="AB6" s="21"/>
      <c r="AC6" s="21"/>
      <c r="AD6" s="21"/>
    </row>
    <row r="7" spans="1:30">
      <c r="A7" s="53"/>
      <c r="B7" s="53"/>
      <c r="C7" s="289" t="s">
        <v>126</v>
      </c>
      <c r="D7" s="289"/>
      <c r="E7" s="213" t="s">
        <v>95</v>
      </c>
      <c r="F7" s="50">
        <f>I19</f>
        <v>40362</v>
      </c>
      <c r="G7" s="50">
        <f>I27</f>
        <v>52134.25</v>
      </c>
      <c r="H7" s="50">
        <f t="shared" si="0"/>
        <v>92496.25</v>
      </c>
      <c r="I7" s="50">
        <f t="shared" si="1"/>
        <v>76443.179999999993</v>
      </c>
      <c r="J7" s="50"/>
      <c r="K7" s="50"/>
      <c r="L7" s="50"/>
      <c r="M7" s="46"/>
      <c r="N7" s="46"/>
      <c r="X7" s="52"/>
      <c r="Y7" s="52"/>
      <c r="Z7" s="21"/>
      <c r="AB7" s="21"/>
      <c r="AC7" s="21"/>
      <c r="AD7" s="21"/>
    </row>
    <row r="8" spans="1:30">
      <c r="A8" s="53"/>
      <c r="B8" s="53"/>
      <c r="C8" s="289" t="s">
        <v>146</v>
      </c>
      <c r="D8" s="289"/>
      <c r="E8" s="213" t="s">
        <v>132</v>
      </c>
      <c r="F8" s="184">
        <f>L19</f>
        <v>271321.59999999998</v>
      </c>
      <c r="G8" s="50">
        <f>L27</f>
        <v>271321.59999999998</v>
      </c>
      <c r="H8" s="50">
        <f t="shared" si="0"/>
        <v>542643.19999999995</v>
      </c>
      <c r="I8" s="50">
        <f t="shared" si="1"/>
        <v>448465.45</v>
      </c>
      <c r="J8" s="50"/>
      <c r="K8" s="50"/>
      <c r="L8" s="50"/>
      <c r="M8" s="46"/>
      <c r="N8" s="46"/>
      <c r="X8" s="52"/>
      <c r="Y8" s="52"/>
      <c r="Z8" s="21"/>
      <c r="AB8" s="21"/>
      <c r="AC8" s="21"/>
      <c r="AD8" s="21"/>
    </row>
    <row r="9" spans="1:30">
      <c r="A9" s="53"/>
      <c r="B9" s="53"/>
      <c r="C9" s="289" t="s">
        <v>127</v>
      </c>
      <c r="D9" s="289"/>
      <c r="E9" s="213" t="s">
        <v>95</v>
      </c>
      <c r="F9" s="50">
        <f>+O19</f>
        <v>127215</v>
      </c>
      <c r="G9" s="50">
        <f>O27</f>
        <v>169620</v>
      </c>
      <c r="H9" s="50">
        <f t="shared" si="0"/>
        <v>296835</v>
      </c>
      <c r="I9" s="50">
        <f t="shared" si="1"/>
        <v>245318.18</v>
      </c>
      <c r="J9" s="50"/>
      <c r="K9" s="50"/>
      <c r="L9" s="50"/>
      <c r="M9" s="46"/>
      <c r="N9" s="46"/>
      <c r="X9" s="51"/>
      <c r="Y9" s="51"/>
      <c r="Z9" s="21"/>
      <c r="AB9" s="21"/>
      <c r="AC9" s="21"/>
      <c r="AD9" s="21"/>
    </row>
    <row r="10" spans="1:30">
      <c r="A10" s="53"/>
      <c r="B10" s="53"/>
      <c r="C10" s="289" t="s">
        <v>128</v>
      </c>
      <c r="D10" s="289"/>
      <c r="E10" s="213" t="s">
        <v>95</v>
      </c>
      <c r="F10" s="50">
        <f>R19</f>
        <v>37692</v>
      </c>
      <c r="G10" s="50">
        <f>R27</f>
        <v>50256</v>
      </c>
      <c r="H10" s="50">
        <f t="shared" si="0"/>
        <v>87948</v>
      </c>
      <c r="I10" s="50">
        <f t="shared" si="1"/>
        <v>72684.3</v>
      </c>
      <c r="J10" s="50"/>
      <c r="K10" s="50"/>
      <c r="L10" s="50"/>
      <c r="M10" s="46"/>
      <c r="N10" s="46"/>
      <c r="X10" s="51"/>
      <c r="Y10" s="51"/>
      <c r="Z10" s="21"/>
      <c r="AB10" s="21"/>
      <c r="AC10" s="21"/>
      <c r="AD10" s="21"/>
    </row>
    <row r="11" spans="1:30">
      <c r="A11" s="24"/>
      <c r="C11" s="289" t="s">
        <v>188</v>
      </c>
      <c r="D11" s="289"/>
      <c r="E11" s="213" t="s">
        <v>95</v>
      </c>
      <c r="F11" s="50"/>
      <c r="G11" s="50">
        <f>U27</f>
        <v>17424</v>
      </c>
      <c r="H11" s="50">
        <f t="shared" si="0"/>
        <v>17424</v>
      </c>
      <c r="I11" s="50">
        <f t="shared" si="1"/>
        <v>14400</v>
      </c>
      <c r="J11" s="50"/>
      <c r="K11" s="50"/>
      <c r="L11" s="50"/>
      <c r="M11" s="46"/>
      <c r="N11" s="46"/>
      <c r="Y11" s="21"/>
      <c r="Z11" s="21"/>
      <c r="AB11" s="21"/>
      <c r="AC11" s="21"/>
      <c r="AD11" s="21"/>
    </row>
    <row r="12" spans="1:30">
      <c r="A12" s="214"/>
      <c r="B12" s="214"/>
      <c r="D12" s="49" t="s">
        <v>20</v>
      </c>
      <c r="E12" s="49"/>
      <c r="F12" s="48">
        <f t="shared" ref="F12:G12" si="2">SUM(F6:F11)</f>
        <v>773952.1</v>
      </c>
      <c r="G12" s="48">
        <f t="shared" si="2"/>
        <v>1018930.12</v>
      </c>
      <c r="H12" s="35">
        <f>SUM(H6:H11)</f>
        <v>1792882.22</v>
      </c>
      <c r="I12" s="35">
        <f>SUM(I6:I11)</f>
        <v>1481720.8399999999</v>
      </c>
      <c r="J12" s="50"/>
      <c r="K12" s="50"/>
      <c r="L12" s="50"/>
      <c r="M12" s="46"/>
      <c r="N12" s="46"/>
      <c r="Y12" s="21"/>
      <c r="Z12" s="21"/>
      <c r="AB12" s="21"/>
      <c r="AC12" s="21"/>
      <c r="AD12" s="21"/>
    </row>
    <row r="13" spans="1:30">
      <c r="B13" s="25"/>
      <c r="C13" s="21"/>
      <c r="D13" s="25"/>
      <c r="E13" s="25"/>
      <c r="F13" s="21"/>
      <c r="G13" s="21"/>
      <c r="H13" s="47">
        <f>H12-I12</f>
        <v>311161.38000000012</v>
      </c>
      <c r="I13" s="47"/>
      <c r="M13" s="46"/>
      <c r="N13" s="46"/>
      <c r="Y13" s="21"/>
      <c r="Z13" s="21"/>
      <c r="AB13" s="21"/>
      <c r="AC13" s="21"/>
      <c r="AD13" s="21"/>
    </row>
    <row r="14" spans="1:30" ht="15.6">
      <c r="A14" s="288">
        <v>2025</v>
      </c>
      <c r="B14" s="288"/>
      <c r="C14" s="288"/>
      <c r="D14" s="288"/>
      <c r="E14" s="288"/>
      <c r="F14" s="288"/>
      <c r="H14" s="92"/>
      <c r="V14" s="45"/>
      <c r="W14" s="45"/>
      <c r="Y14" s="2"/>
      <c r="Z14" s="2"/>
      <c r="AA14" s="22"/>
      <c r="AB14" s="21"/>
      <c r="AC14" s="21"/>
      <c r="AD14" s="21"/>
    </row>
    <row r="15" spans="1:30" s="2" customFormat="1" ht="45" customHeight="1">
      <c r="A15" s="41" t="s">
        <v>19</v>
      </c>
      <c r="B15" s="41" t="s">
        <v>18</v>
      </c>
      <c r="C15" s="41" t="s">
        <v>17</v>
      </c>
      <c r="D15" s="41" t="s">
        <v>16</v>
      </c>
      <c r="E15" s="41" t="s">
        <v>15</v>
      </c>
      <c r="F15" s="44" t="s">
        <v>60</v>
      </c>
      <c r="G15" s="44" t="str">
        <f>$C$7</f>
        <v>Administració, Manteniment i Operació</v>
      </c>
      <c r="H15" s="44" t="s">
        <v>59</v>
      </c>
      <c r="I15" s="44" t="s">
        <v>131</v>
      </c>
      <c r="J15" s="120" t="str">
        <f>$C$8</f>
        <v>Desenvolupament casos d’us i processos comuns</v>
      </c>
      <c r="K15" s="120" t="s">
        <v>59</v>
      </c>
      <c r="L15" s="120" t="s">
        <v>131</v>
      </c>
      <c r="M15" s="120" t="str">
        <f>$C$9</f>
        <v>Oficina de Gestió del servei CityOS</v>
      </c>
      <c r="N15" s="120" t="s">
        <v>59</v>
      </c>
      <c r="O15" s="120" t="s">
        <v>131</v>
      </c>
      <c r="P15" s="120" t="str">
        <f>$C$10</f>
        <v>Servei 24x7</v>
      </c>
      <c r="Q15" s="120" t="s">
        <v>59</v>
      </c>
      <c r="R15" s="120" t="s">
        <v>131</v>
      </c>
      <c r="S15" s="120" t="str">
        <f>$C$11</f>
        <v>Devolució servei</v>
      </c>
      <c r="T15" s="120" t="s">
        <v>59</v>
      </c>
      <c r="U15" s="120" t="s">
        <v>131</v>
      </c>
      <c r="V15" s="41" t="s">
        <v>14</v>
      </c>
      <c r="W15" s="41" t="s">
        <v>13</v>
      </c>
      <c r="X15" s="21"/>
      <c r="Z15" s="43"/>
    </row>
    <row r="16" spans="1:30" s="2" customFormat="1">
      <c r="A16" s="114" t="s">
        <v>75</v>
      </c>
      <c r="B16" s="3" t="s">
        <v>57</v>
      </c>
      <c r="C16" s="3" t="s">
        <v>76</v>
      </c>
      <c r="D16" s="3" t="s">
        <v>57</v>
      </c>
      <c r="E16" s="3">
        <v>1</v>
      </c>
      <c r="F16" s="29">
        <f>ROUND(Infraestr2!G9,2)</f>
        <v>297361.5</v>
      </c>
      <c r="G16" s="98">
        <v>600</v>
      </c>
      <c r="H16" s="29">
        <f>+Perfils!G5</f>
        <v>67.27</v>
      </c>
      <c r="I16" s="27">
        <f>ROUND(H16*G16,2)</f>
        <v>40362</v>
      </c>
      <c r="J16" s="29"/>
      <c r="K16" s="29"/>
      <c r="L16" s="27"/>
      <c r="M16" s="29"/>
      <c r="N16" s="28"/>
      <c r="O16" s="27"/>
      <c r="P16" s="98">
        <f>ROUND(600*9/12,2)</f>
        <v>450</v>
      </c>
      <c r="Q16" s="28">
        <f>+Perfils!G18</f>
        <v>83.759999999999991</v>
      </c>
      <c r="R16" s="27">
        <f>ROUND(Q16*P16,2)</f>
        <v>37692</v>
      </c>
      <c r="S16" s="28"/>
      <c r="T16" s="27"/>
      <c r="U16" s="27"/>
      <c r="V16" s="26">
        <f>+$B$2</f>
        <v>45748</v>
      </c>
      <c r="W16" s="26">
        <f>+$B$3</f>
        <v>45748</v>
      </c>
      <c r="X16" s="21"/>
      <c r="Z16" s="43"/>
    </row>
    <row r="17" spans="1:30" s="2" customFormat="1">
      <c r="A17" s="1" t="s">
        <v>74</v>
      </c>
      <c r="B17" s="3" t="s">
        <v>58</v>
      </c>
      <c r="C17" s="3" t="s">
        <v>76</v>
      </c>
      <c r="D17" s="3" t="s">
        <v>58</v>
      </c>
      <c r="E17" s="3">
        <v>1</v>
      </c>
      <c r="F17" s="29"/>
      <c r="G17" s="29"/>
      <c r="H17" s="29"/>
      <c r="I17" s="27"/>
      <c r="J17" s="27"/>
      <c r="K17" s="27"/>
      <c r="L17" s="27"/>
      <c r="M17" s="98">
        <f>ROUND(2000*9/12,2)</f>
        <v>1500</v>
      </c>
      <c r="N17" s="28">
        <f>+Perfils!G13</f>
        <v>84.81</v>
      </c>
      <c r="O17" s="27">
        <f>ROUND(N17*M17,2)</f>
        <v>127215</v>
      </c>
      <c r="P17" s="29"/>
      <c r="Q17" s="28"/>
      <c r="R17" s="27"/>
      <c r="S17" s="28"/>
      <c r="T17" s="27"/>
      <c r="U17" s="27"/>
      <c r="V17" s="26">
        <f>+$B$2</f>
        <v>45748</v>
      </c>
      <c r="W17" s="26">
        <f>+$B$3</f>
        <v>45748</v>
      </c>
      <c r="X17" s="21"/>
    </row>
    <row r="18" spans="1:30" s="2" customFormat="1">
      <c r="A18" s="115"/>
      <c r="B18" s="112" t="s">
        <v>130</v>
      </c>
      <c r="C18" s="3"/>
      <c r="D18" s="112"/>
      <c r="E18" s="3"/>
      <c r="F18" s="29"/>
      <c r="G18" s="29"/>
      <c r="H18" s="29"/>
      <c r="I18" s="27"/>
      <c r="J18" s="98">
        <v>3280</v>
      </c>
      <c r="K18" s="329">
        <f>+Perfils!G9</f>
        <v>82.72</v>
      </c>
      <c r="L18" s="27">
        <f>ROUND(K18*J18,2)</f>
        <v>271321.59999999998</v>
      </c>
      <c r="M18" s="27"/>
      <c r="N18" s="28"/>
      <c r="O18" s="27"/>
      <c r="P18" s="29"/>
      <c r="Q18" s="28"/>
      <c r="R18" s="27"/>
      <c r="S18" s="183"/>
      <c r="T18" s="29"/>
      <c r="U18" s="27"/>
      <c r="V18" s="26">
        <f>+$B$2</f>
        <v>45748</v>
      </c>
      <c r="W18" s="26">
        <f>+$B$3</f>
        <v>45748</v>
      </c>
      <c r="X18" s="21"/>
    </row>
    <row r="19" spans="1:30" s="2" customFormat="1" ht="15.6">
      <c r="A19" s="41" t="s">
        <v>12</v>
      </c>
      <c r="B19" s="40"/>
      <c r="C19" s="39"/>
      <c r="D19" s="38"/>
      <c r="E19" s="37"/>
      <c r="F19" s="36">
        <f>SUM(F16:F17)</f>
        <v>297361.5</v>
      </c>
      <c r="G19" s="36">
        <f>SUM(G16:G17)</f>
        <v>600</v>
      </c>
      <c r="H19" s="36"/>
      <c r="I19" s="35">
        <f>SUM(I16:I17)</f>
        <v>40362</v>
      </c>
      <c r="J19" s="36">
        <f>SUM(J16:J18)</f>
        <v>3280</v>
      </c>
      <c r="K19" s="36"/>
      <c r="L19" s="35">
        <f>SUM(L16:L18)</f>
        <v>271321.59999999998</v>
      </c>
      <c r="M19" s="36">
        <f>SUM(M16:M17)</f>
        <v>1500</v>
      </c>
      <c r="N19" s="36"/>
      <c r="O19" s="35">
        <f>SUM(O16:O17)</f>
        <v>127215</v>
      </c>
      <c r="P19" s="36">
        <f>SUM(P16:P17)</f>
        <v>450</v>
      </c>
      <c r="Q19" s="36"/>
      <c r="R19" s="35">
        <f>SUM(R16:R17)</f>
        <v>37692</v>
      </c>
      <c r="S19" s="36">
        <f>SUM(S16:S18)</f>
        <v>0</v>
      </c>
      <c r="T19" s="35"/>
      <c r="U19" s="35"/>
      <c r="V19" s="36"/>
      <c r="W19" s="36"/>
      <c r="X19" s="21"/>
    </row>
    <row r="20" spans="1:30" s="2" customFormat="1">
      <c r="A20" s="34"/>
      <c r="B20" s="33"/>
      <c r="C20" s="32"/>
      <c r="D20" s="31"/>
      <c r="E20" s="30"/>
      <c r="F20" s="29"/>
      <c r="G20" s="29"/>
      <c r="H20" s="29"/>
      <c r="I20" s="27"/>
      <c r="J20" s="27"/>
      <c r="K20" s="27"/>
      <c r="L20" s="27"/>
      <c r="M20" s="29"/>
      <c r="N20" s="28"/>
      <c r="O20" s="27"/>
      <c r="P20" s="29"/>
      <c r="Q20" s="28"/>
      <c r="R20" s="27"/>
      <c r="S20" s="27"/>
      <c r="T20" s="27"/>
      <c r="U20" s="27"/>
      <c r="V20" s="26"/>
      <c r="W20" s="26"/>
      <c r="X20" s="21"/>
    </row>
    <row r="21" spans="1:30" s="2" customFormat="1">
      <c r="A21" s="34"/>
      <c r="B21" s="33"/>
      <c r="C21" s="32"/>
      <c r="D21" s="31"/>
      <c r="E21" s="30"/>
      <c r="F21" s="29"/>
      <c r="G21" s="29"/>
      <c r="H21" s="29"/>
      <c r="I21" s="29"/>
      <c r="J21" s="29"/>
      <c r="K21" s="29"/>
      <c r="L21" s="29"/>
      <c r="M21" s="29"/>
      <c r="N21" s="28"/>
      <c r="O21" s="27"/>
      <c r="P21" s="29"/>
      <c r="Q21" s="28"/>
      <c r="R21" s="29"/>
      <c r="S21" s="29"/>
      <c r="T21" s="29"/>
      <c r="U21" s="29"/>
      <c r="V21" s="26"/>
      <c r="W21" s="26"/>
      <c r="X21" s="29"/>
    </row>
    <row r="22" spans="1:30" ht="15.6">
      <c r="A22" s="288">
        <v>2026</v>
      </c>
      <c r="B22" s="288"/>
      <c r="C22" s="288"/>
      <c r="D22" s="288"/>
      <c r="E22" s="288"/>
      <c r="F22" s="288"/>
      <c r="H22" s="92"/>
      <c r="V22" s="45"/>
      <c r="W22" s="45"/>
      <c r="Y22" s="2"/>
      <c r="Z22" s="2"/>
      <c r="AA22" s="22"/>
      <c r="AB22" s="21"/>
      <c r="AC22" s="21"/>
      <c r="AD22" s="21"/>
    </row>
    <row r="23" spans="1:30" s="2" customFormat="1" ht="45" customHeight="1">
      <c r="A23" s="41" t="s">
        <v>19</v>
      </c>
      <c r="B23" s="41" t="s">
        <v>18</v>
      </c>
      <c r="C23" s="41" t="s">
        <v>17</v>
      </c>
      <c r="D23" s="41" t="s">
        <v>16</v>
      </c>
      <c r="E23" s="41" t="s">
        <v>15</v>
      </c>
      <c r="F23" s="44" t="s">
        <v>60</v>
      </c>
      <c r="G23" s="120" t="str">
        <f>$C$7</f>
        <v>Administració, Manteniment i Operació</v>
      </c>
      <c r="H23" s="120" t="s">
        <v>59</v>
      </c>
      <c r="I23" s="120" t="s">
        <v>131</v>
      </c>
      <c r="J23" s="120" t="str">
        <f>$C$8</f>
        <v>Desenvolupament casos d’us i processos comuns</v>
      </c>
      <c r="K23" s="120" t="s">
        <v>59</v>
      </c>
      <c r="L23" s="120" t="s">
        <v>131</v>
      </c>
      <c r="M23" s="120" t="str">
        <f>$C$9</f>
        <v>Oficina de Gestió del servei CityOS</v>
      </c>
      <c r="N23" s="120" t="s">
        <v>59</v>
      </c>
      <c r="O23" s="120" t="s">
        <v>131</v>
      </c>
      <c r="P23" s="120" t="str">
        <f>$C$10</f>
        <v>Servei 24x7</v>
      </c>
      <c r="Q23" s="120" t="s">
        <v>59</v>
      </c>
      <c r="R23" s="120" t="s">
        <v>131</v>
      </c>
      <c r="S23" s="120" t="str">
        <f>$C$11</f>
        <v>Devolució servei</v>
      </c>
      <c r="T23" s="120" t="s">
        <v>59</v>
      </c>
      <c r="U23" s="120" t="s">
        <v>131</v>
      </c>
      <c r="V23" s="41" t="s">
        <v>14</v>
      </c>
      <c r="W23" s="41" t="s">
        <v>13</v>
      </c>
      <c r="X23" s="21"/>
      <c r="Z23" s="43"/>
    </row>
    <row r="24" spans="1:30" s="2" customFormat="1">
      <c r="A24" s="42" t="s">
        <v>75</v>
      </c>
      <c r="B24" s="3" t="s">
        <v>57</v>
      </c>
      <c r="C24" s="3" t="s">
        <v>76</v>
      </c>
      <c r="D24" s="3" t="s">
        <v>57</v>
      </c>
      <c r="E24" s="3">
        <v>1</v>
      </c>
      <c r="F24" s="29">
        <f>+Infraestr2!I9</f>
        <v>458174.27</v>
      </c>
      <c r="G24" s="98">
        <v>775</v>
      </c>
      <c r="H24" s="29">
        <f>+Perfils!G5</f>
        <v>67.27</v>
      </c>
      <c r="I24" s="27">
        <f>ROUND(H24*G24,2)</f>
        <v>52134.25</v>
      </c>
      <c r="J24" s="27"/>
      <c r="K24" s="29"/>
      <c r="L24" s="27"/>
      <c r="M24" s="29"/>
      <c r="N24" s="28"/>
      <c r="O24" s="27"/>
      <c r="P24" s="98">
        <v>600</v>
      </c>
      <c r="Q24" s="28">
        <f>+Perfils!G18</f>
        <v>83.759999999999991</v>
      </c>
      <c r="R24" s="27">
        <f>ROUND(Q24*P24,2)</f>
        <v>50256</v>
      </c>
      <c r="S24" s="98">
        <v>200</v>
      </c>
      <c r="T24" s="29">
        <f>Perfils!G23</f>
        <v>87.12</v>
      </c>
      <c r="U24" s="27">
        <f>ROUND(T24*S24,2)</f>
        <v>17424</v>
      </c>
      <c r="V24" s="26">
        <f>+$B$2</f>
        <v>45748</v>
      </c>
      <c r="W24" s="26">
        <f>+$B$3</f>
        <v>45748</v>
      </c>
      <c r="X24" s="21"/>
      <c r="Z24" s="43"/>
    </row>
    <row r="25" spans="1:30" s="2" customFormat="1">
      <c r="A25" s="1" t="s">
        <v>74</v>
      </c>
      <c r="B25" s="3" t="s">
        <v>58</v>
      </c>
      <c r="C25" s="3" t="s">
        <v>76</v>
      </c>
      <c r="D25" s="3" t="s">
        <v>58</v>
      </c>
      <c r="E25" s="3">
        <v>1</v>
      </c>
      <c r="F25" s="29"/>
      <c r="G25" s="29"/>
      <c r="H25" s="29"/>
      <c r="I25" s="27"/>
      <c r="J25" s="27"/>
      <c r="K25" s="27"/>
      <c r="L25" s="27"/>
      <c r="M25" s="98">
        <v>2000</v>
      </c>
      <c r="N25" s="28">
        <f>+Perfils!G13</f>
        <v>84.81</v>
      </c>
      <c r="O25" s="27">
        <f>ROUND(N25*M25,2)</f>
        <v>169620</v>
      </c>
      <c r="P25" s="29"/>
      <c r="Q25" s="28"/>
      <c r="R25" s="27"/>
      <c r="S25" s="28"/>
      <c r="T25" s="27"/>
      <c r="U25" s="27"/>
      <c r="V25" s="26">
        <f>+$B$2</f>
        <v>45748</v>
      </c>
      <c r="W25" s="26">
        <f>+$B$3</f>
        <v>45748</v>
      </c>
      <c r="X25" s="21"/>
    </row>
    <row r="26" spans="1:30" s="2" customFormat="1">
      <c r="A26" s="115"/>
      <c r="B26" s="112" t="s">
        <v>130</v>
      </c>
      <c r="C26" s="3"/>
      <c r="D26" s="112"/>
      <c r="E26" s="3"/>
      <c r="F26" s="29"/>
      <c r="G26" s="29"/>
      <c r="H26" s="29"/>
      <c r="I26" s="27"/>
      <c r="J26" s="98">
        <v>3280</v>
      </c>
      <c r="K26" s="329">
        <f>+Perfils!G9</f>
        <v>82.72</v>
      </c>
      <c r="L26" s="27">
        <f>ROUND(K26*J26,2)</f>
        <v>271321.59999999998</v>
      </c>
      <c r="M26" s="27"/>
      <c r="N26" s="28"/>
      <c r="O26" s="27"/>
      <c r="P26" s="29"/>
      <c r="Q26" s="28"/>
      <c r="R26" s="27"/>
      <c r="S26" s="183"/>
      <c r="T26" s="29"/>
      <c r="U26" s="27"/>
      <c r="V26" s="26">
        <f>+$B$2</f>
        <v>45748</v>
      </c>
      <c r="W26" s="26">
        <f>+$B$3</f>
        <v>45748</v>
      </c>
      <c r="X26" s="21"/>
    </row>
    <row r="27" spans="1:30" s="2" customFormat="1" ht="15.6">
      <c r="A27" s="41" t="s">
        <v>12</v>
      </c>
      <c r="B27" s="40"/>
      <c r="C27" s="39"/>
      <c r="D27" s="38"/>
      <c r="E27" s="37"/>
      <c r="F27" s="36">
        <f>SUM(F24:F25)</f>
        <v>458174.27</v>
      </c>
      <c r="G27" s="36">
        <f>SUM(G24:G25)</f>
        <v>775</v>
      </c>
      <c r="H27" s="36"/>
      <c r="I27" s="35">
        <f>SUM(I24:I25)</f>
        <v>52134.25</v>
      </c>
      <c r="J27" s="36">
        <f>SUM(J24:J26)</f>
        <v>3280</v>
      </c>
      <c r="K27" s="36"/>
      <c r="L27" s="35">
        <f>SUM(L24:L26)</f>
        <v>271321.59999999998</v>
      </c>
      <c r="M27" s="36">
        <f>SUM(M24:M25)</f>
        <v>2000</v>
      </c>
      <c r="N27" s="36"/>
      <c r="O27" s="35">
        <f>SUM(O24:O25)</f>
        <v>169620</v>
      </c>
      <c r="P27" s="36">
        <f>SUM(P24:P25)</f>
        <v>600</v>
      </c>
      <c r="Q27" s="36"/>
      <c r="R27" s="35">
        <f>SUM(R24:R25)</f>
        <v>50256</v>
      </c>
      <c r="S27" s="36">
        <f>SUM(S24:S26)</f>
        <v>200</v>
      </c>
      <c r="T27" s="35"/>
      <c r="U27" s="35">
        <f>SUM(U24:U25)</f>
        <v>17424</v>
      </c>
      <c r="V27" s="36"/>
      <c r="W27" s="36"/>
      <c r="X27" s="21"/>
    </row>
    <row r="28" spans="1:30">
      <c r="M28" s="23"/>
      <c r="P28" s="23"/>
      <c r="S28" s="23"/>
    </row>
  </sheetData>
  <sheetProtection insertColumns="0" insertRows="0" sort="0" pivotTables="0"/>
  <mergeCells count="8">
    <mergeCell ref="A14:F14"/>
    <mergeCell ref="A22:F22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ntrol 1">
          <controlPr defaultSize="0" r:id="rId5">
            <anchor moveWithCells="1">
              <from>
                <xdr:col>0</xdr:col>
                <xdr:colOff>175260</xdr:colOff>
                <xdr:row>21</xdr:row>
                <xdr:rowOff>182880</xdr:rowOff>
              </from>
              <to>
                <xdr:col>0</xdr:col>
                <xdr:colOff>1089660</xdr:colOff>
                <xdr:row>22</xdr:row>
                <xdr:rowOff>213360</xdr:rowOff>
              </to>
            </anchor>
          </controlPr>
        </control>
      </mc:Choice>
      <mc:Fallback>
        <control shapeId="4097" r:id="rId4" name="Control 1"/>
      </mc:Fallback>
    </mc:AlternateContent>
    <mc:AlternateContent xmlns:mc="http://schemas.openxmlformats.org/markup-compatibility/2006">
      <mc:Choice Requires="x14">
        <control shapeId="4098" r:id="rId6" name="Control 2">
          <controlPr defaultSize="0" r:id="rId7">
            <anchor moveWithCells="1">
              <from>
                <xdr:col>0</xdr:col>
                <xdr:colOff>175260</xdr:colOff>
                <xdr:row>21</xdr:row>
                <xdr:rowOff>182880</xdr:rowOff>
              </from>
              <to>
                <xdr:col>0</xdr:col>
                <xdr:colOff>1089660</xdr:colOff>
                <xdr:row>22</xdr:row>
                <xdr:rowOff>213360</xdr:rowOff>
              </to>
            </anchor>
          </controlPr>
        </control>
      </mc:Choice>
      <mc:Fallback>
        <control shapeId="4098" r:id="rId6" name="Control 2"/>
      </mc:Fallback>
    </mc:AlternateContent>
    <mc:AlternateContent xmlns:mc="http://schemas.openxmlformats.org/markup-compatibility/2006">
      <mc:Choice Requires="x14">
        <control shapeId="4099" r:id="rId8" name="Control 3">
          <controlPr defaultSize="0" r:id="rId9">
            <anchor moveWithCells="1">
              <from>
                <xdr:col>0</xdr:col>
                <xdr:colOff>175260</xdr:colOff>
                <xdr:row>21</xdr:row>
                <xdr:rowOff>182880</xdr:rowOff>
              </from>
              <to>
                <xdr:col>0</xdr:col>
                <xdr:colOff>1089660</xdr:colOff>
                <xdr:row>22</xdr:row>
                <xdr:rowOff>213360</xdr:rowOff>
              </to>
            </anchor>
          </controlPr>
        </control>
      </mc:Choice>
      <mc:Fallback>
        <control shapeId="4099" r:id="rId8" name="Control 3"/>
      </mc:Fallback>
    </mc:AlternateContent>
    <mc:AlternateContent xmlns:mc="http://schemas.openxmlformats.org/markup-compatibility/2006">
      <mc:Choice Requires="x14">
        <control shapeId="4100" r:id="rId10" name="Control 4">
          <controlPr defaultSize="0" r:id="rId11">
            <anchor moveWithCells="1">
              <from>
                <xdr:col>0</xdr:col>
                <xdr:colOff>175260</xdr:colOff>
                <xdr:row>21</xdr:row>
                <xdr:rowOff>182880</xdr:rowOff>
              </from>
              <to>
                <xdr:col>0</xdr:col>
                <xdr:colOff>1089660</xdr:colOff>
                <xdr:row>22</xdr:row>
                <xdr:rowOff>213360</xdr:rowOff>
              </to>
            </anchor>
          </controlPr>
        </control>
      </mc:Choice>
      <mc:Fallback>
        <control shapeId="4100" r:id="rId10" name="Control 4"/>
      </mc:Fallback>
    </mc:AlternateContent>
    <mc:AlternateContent xmlns:mc="http://schemas.openxmlformats.org/markup-compatibility/2006">
      <mc:Choice Requires="x14">
        <control shapeId="4101" r:id="rId12" name="Control 5">
          <controlPr defaultSize="0" r:id="rId13">
            <anchor moveWithCells="1">
              <from>
                <xdr:col>0</xdr:col>
                <xdr:colOff>175260</xdr:colOff>
                <xdr:row>21</xdr:row>
                <xdr:rowOff>182880</xdr:rowOff>
              </from>
              <to>
                <xdr:col>0</xdr:col>
                <xdr:colOff>1089660</xdr:colOff>
                <xdr:row>22</xdr:row>
                <xdr:rowOff>213360</xdr:rowOff>
              </to>
            </anchor>
          </controlPr>
        </control>
      </mc:Choice>
      <mc:Fallback>
        <control shapeId="4101" r:id="rId12" name="Control 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topLeftCell="D25" zoomScale="164" zoomScaleNormal="164" workbookViewId="0">
      <selection activeCell="C20" sqref="C20"/>
    </sheetView>
  </sheetViews>
  <sheetFormatPr defaultColWidth="11.44140625" defaultRowHeight="14.4"/>
  <cols>
    <col min="1" max="1" width="16.5546875" customWidth="1"/>
    <col min="2" max="2" width="49" customWidth="1"/>
    <col min="3" max="3" width="45.77734375" customWidth="1"/>
    <col min="4" max="4" width="12" customWidth="1"/>
    <col min="5" max="6" width="12.44140625" customWidth="1"/>
    <col min="7" max="7" width="11.5546875" customWidth="1"/>
    <col min="8" max="8" width="15.44140625" bestFit="1" customWidth="1"/>
    <col min="10" max="10" width="16" customWidth="1"/>
    <col min="11" max="11" width="30.5546875" bestFit="1" customWidth="1"/>
  </cols>
  <sheetData>
    <row r="1" spans="2:8" ht="12" customHeight="1">
      <c r="B1" s="5"/>
    </row>
    <row r="2" spans="2:8" ht="43.2">
      <c r="B2" s="6" t="s">
        <v>4</v>
      </c>
      <c r="C2" s="6" t="s">
        <v>5</v>
      </c>
      <c r="D2" s="6" t="s">
        <v>6</v>
      </c>
      <c r="E2" s="7" t="s">
        <v>7</v>
      </c>
      <c r="F2" s="7" t="s">
        <v>8</v>
      </c>
      <c r="G2" s="7" t="s">
        <v>140</v>
      </c>
      <c r="H2" s="4"/>
    </row>
    <row r="3" spans="2:8" s="102" customFormat="1">
      <c r="B3" s="290" t="str">
        <f>'Càlcul pressupost '!C7</f>
        <v>Administració, Manteniment i Operació</v>
      </c>
      <c r="C3" s="8" t="s">
        <v>64</v>
      </c>
      <c r="D3" s="9">
        <v>0.05</v>
      </c>
      <c r="E3" s="10">
        <f>+$C$28</f>
        <v>106</v>
      </c>
      <c r="F3" s="11">
        <f>+ROUND(E3/1.21,2)</f>
        <v>87.6</v>
      </c>
      <c r="G3" s="11">
        <f>ROUND(E3*D3,2)</f>
        <v>5.3</v>
      </c>
    </row>
    <row r="4" spans="2:8" s="102" customFormat="1">
      <c r="B4" s="291"/>
      <c r="C4" s="8" t="s">
        <v>67</v>
      </c>
      <c r="D4" s="9">
        <v>0.95</v>
      </c>
      <c r="E4" s="10">
        <f>+$C$31</f>
        <v>65.23</v>
      </c>
      <c r="F4" s="11">
        <f>+ROUND(E4/1.21,2)</f>
        <v>53.91</v>
      </c>
      <c r="G4" s="11">
        <f>ROUND(E4*D4,2)</f>
        <v>61.97</v>
      </c>
      <c r="H4" s="4"/>
    </row>
    <row r="5" spans="2:8" s="102" customFormat="1">
      <c r="B5" s="292"/>
      <c r="C5" s="197" t="s">
        <v>9</v>
      </c>
      <c r="D5" s="198"/>
      <c r="E5" s="199"/>
      <c r="F5" s="119"/>
      <c r="G5" s="185">
        <f>SUM(G3:G4)</f>
        <v>67.27</v>
      </c>
      <c r="H5" s="13">
        <f>SUM(D3:D4)</f>
        <v>1</v>
      </c>
    </row>
    <row r="6" spans="2:8" ht="15" customHeight="1">
      <c r="B6" s="290" t="str">
        <f>'Càlcul pressupost '!C8</f>
        <v>Desenvolupament casos d’us i processos comuns</v>
      </c>
      <c r="C6" s="8" t="s">
        <v>64</v>
      </c>
      <c r="D6" s="9">
        <v>0.05</v>
      </c>
      <c r="E6" s="10">
        <f>$C$28</f>
        <v>106</v>
      </c>
      <c r="F6" s="11">
        <f>+ROUND(E6/1.21,2)</f>
        <v>87.6</v>
      </c>
      <c r="G6" s="11">
        <f>ROUND(E6*D6,2)</f>
        <v>5.3</v>
      </c>
    </row>
    <row r="7" spans="2:8">
      <c r="B7" s="291"/>
      <c r="C7" s="8" t="s">
        <v>68</v>
      </c>
      <c r="D7" s="93">
        <v>0.15</v>
      </c>
      <c r="E7" s="10">
        <f>$C$29</f>
        <v>114.15</v>
      </c>
      <c r="F7" s="11">
        <f t="shared" ref="F7:F8" si="0">+ROUND(E7/1.21,2)</f>
        <v>94.34</v>
      </c>
      <c r="G7" s="11">
        <f>ROUND(E7*D7,2)</f>
        <v>17.12</v>
      </c>
      <c r="H7" s="4"/>
    </row>
    <row r="8" spans="2:8">
      <c r="B8" s="291"/>
      <c r="C8" s="8" t="s">
        <v>66</v>
      </c>
      <c r="D8" s="93">
        <v>0.8</v>
      </c>
      <c r="E8" s="10">
        <f>+$C$32</f>
        <v>75.38</v>
      </c>
      <c r="F8" s="11">
        <f t="shared" si="0"/>
        <v>62.3</v>
      </c>
      <c r="G8" s="11">
        <f>ROUND(E8*D8,2)</f>
        <v>60.3</v>
      </c>
      <c r="H8" s="4"/>
    </row>
    <row r="9" spans="2:8">
      <c r="B9" s="292"/>
      <c r="C9" s="197" t="s">
        <v>9</v>
      </c>
      <c r="D9" s="198"/>
      <c r="E9" s="199"/>
      <c r="F9" s="12"/>
      <c r="G9" s="185">
        <f>SUM(G6:G8)</f>
        <v>82.72</v>
      </c>
      <c r="H9" s="13">
        <f>SUM(D6:D8)</f>
        <v>1</v>
      </c>
    </row>
    <row r="10" spans="2:8" s="102" customFormat="1">
      <c r="B10" s="296" t="str">
        <f>'Càlcul pressupost '!C9</f>
        <v>Oficina de Gestió del servei CityOS</v>
      </c>
      <c r="C10" s="8" t="s">
        <v>64</v>
      </c>
      <c r="D10" s="9">
        <v>0.15</v>
      </c>
      <c r="E10" s="10">
        <f>+$C$28</f>
        <v>106</v>
      </c>
      <c r="F10" s="11">
        <f>+ROUND(E10/1.21,2)</f>
        <v>87.6</v>
      </c>
      <c r="G10" s="11">
        <f>ROUND(E10*D10,2)</f>
        <v>15.9</v>
      </c>
      <c r="H10" s="13"/>
    </row>
    <row r="11" spans="2:8">
      <c r="B11" s="297"/>
      <c r="C11" s="8" t="s">
        <v>61</v>
      </c>
      <c r="D11" s="93">
        <v>0.3</v>
      </c>
      <c r="E11" s="10">
        <f>+$C$31</f>
        <v>65.23</v>
      </c>
      <c r="F11" s="11">
        <f>+ROUND(E11/1.21,2)</f>
        <v>53.91</v>
      </c>
      <c r="G11" s="11">
        <f>ROUND(E11*D11,2)</f>
        <v>19.57</v>
      </c>
    </row>
    <row r="12" spans="2:8">
      <c r="B12" s="297"/>
      <c r="C12" s="3" t="s">
        <v>93</v>
      </c>
      <c r="D12" s="9">
        <v>0.55000000000000004</v>
      </c>
      <c r="E12" s="10">
        <f>+$C$34</f>
        <v>89.7</v>
      </c>
      <c r="F12" s="11">
        <f>+ROUND(E12/1.21,2)</f>
        <v>74.13</v>
      </c>
      <c r="G12" s="11">
        <f>ROUND(E12*D12,2)</f>
        <v>49.34</v>
      </c>
    </row>
    <row r="13" spans="2:8">
      <c r="B13" s="298"/>
      <c r="C13" s="197" t="s">
        <v>9</v>
      </c>
      <c r="D13" s="198"/>
      <c r="E13" s="199"/>
      <c r="F13" s="12"/>
      <c r="G13" s="185">
        <f>SUM(G10:G12)</f>
        <v>84.81</v>
      </c>
      <c r="H13" s="13">
        <f>SUM(D10:D12)</f>
        <v>1</v>
      </c>
    </row>
    <row r="14" spans="2:8">
      <c r="B14" s="295" t="str">
        <f>'Càlcul pressupost '!C10</f>
        <v>Servei 24x7</v>
      </c>
      <c r="C14" s="8" t="s">
        <v>64</v>
      </c>
      <c r="D14" s="9">
        <v>0.1</v>
      </c>
      <c r="E14" s="10">
        <f>$C$28</f>
        <v>106</v>
      </c>
      <c r="F14" s="11">
        <f t="shared" ref="F14:F17" si="1">+ROUND(E14/1.21,2)</f>
        <v>87.6</v>
      </c>
      <c r="G14" s="11">
        <f>ROUND(E14*D14,2)</f>
        <v>10.6</v>
      </c>
    </row>
    <row r="15" spans="2:8" s="102" customFormat="1">
      <c r="B15" s="295"/>
      <c r="C15" s="8" t="s">
        <v>61</v>
      </c>
      <c r="D15" s="9">
        <v>0.31</v>
      </c>
      <c r="E15" s="10">
        <f>+$C$33</f>
        <v>65.260000000000005</v>
      </c>
      <c r="F15" s="11">
        <f t="shared" ref="F15" si="2">+ROUND(E15/1.21,2)</f>
        <v>53.93</v>
      </c>
      <c r="G15" s="11">
        <f>ROUND(E15*D15,2)</f>
        <v>20.23</v>
      </c>
    </row>
    <row r="16" spans="2:8">
      <c r="B16" s="295"/>
      <c r="C16" s="3" t="s">
        <v>93</v>
      </c>
      <c r="D16" s="9">
        <v>0.44</v>
      </c>
      <c r="E16" s="10">
        <f>+$C$34</f>
        <v>89.7</v>
      </c>
      <c r="F16" s="11">
        <f t="shared" si="1"/>
        <v>74.13</v>
      </c>
      <c r="G16" s="11">
        <f>ROUND(E16*D16,2)</f>
        <v>39.47</v>
      </c>
    </row>
    <row r="17" spans="1:8">
      <c r="B17" s="295"/>
      <c r="C17" s="3" t="s">
        <v>63</v>
      </c>
      <c r="D17" s="9">
        <v>0.15</v>
      </c>
      <c r="E17" s="10">
        <f>+$C$35</f>
        <v>89.7</v>
      </c>
      <c r="F17" s="11">
        <f t="shared" si="1"/>
        <v>74.13</v>
      </c>
      <c r="G17" s="11">
        <f>ROUND(E17*D17,2)</f>
        <v>13.46</v>
      </c>
    </row>
    <row r="18" spans="1:8">
      <c r="B18" s="295"/>
      <c r="C18" s="197" t="s">
        <v>9</v>
      </c>
      <c r="D18" s="198"/>
      <c r="E18" s="199"/>
      <c r="F18" s="12"/>
      <c r="G18" s="185">
        <f>SUM(G14:G17)</f>
        <v>83.759999999999991</v>
      </c>
      <c r="H18" s="13">
        <f>SUM(D14:D17)</f>
        <v>1</v>
      </c>
    </row>
    <row r="19" spans="1:8" s="102" customFormat="1">
      <c r="B19" s="293" t="str">
        <f>'Càlcul pressupost '!C11</f>
        <v>Devolució servei</v>
      </c>
      <c r="C19" s="8" t="s">
        <v>64</v>
      </c>
      <c r="D19" s="9">
        <v>0.1</v>
      </c>
      <c r="E19" s="10">
        <f>$C$28</f>
        <v>106</v>
      </c>
      <c r="F19" s="11">
        <f>+ROUND(E19/1.21,2)</f>
        <v>87.6</v>
      </c>
      <c r="G19" s="11">
        <f>ROUND(E19*D19,2)</f>
        <v>10.6</v>
      </c>
      <c r="H19" s="13"/>
    </row>
    <row r="20" spans="1:8" s="102" customFormat="1">
      <c r="B20" s="294"/>
      <c r="C20" s="8" t="str">
        <f>B32</f>
        <v xml:space="preserve">Programador senior / Analista programador </v>
      </c>
      <c r="D20" s="93">
        <v>0.55000000000000004</v>
      </c>
      <c r="E20" s="10">
        <f>$C$32</f>
        <v>75.38</v>
      </c>
      <c r="F20" s="11">
        <f>D32</f>
        <v>62.3</v>
      </c>
      <c r="G20" s="11">
        <f>ROUND(E20*D20,2)</f>
        <v>41.46</v>
      </c>
    </row>
    <row r="21" spans="1:8" s="102" customFormat="1">
      <c r="B21" s="294"/>
      <c r="C21" s="3" t="s">
        <v>93</v>
      </c>
      <c r="D21" s="9">
        <v>0.2</v>
      </c>
      <c r="E21" s="10">
        <f>+$C$34</f>
        <v>89.7</v>
      </c>
      <c r="F21" s="11">
        <f>D33</f>
        <v>53.93</v>
      </c>
      <c r="G21" s="11">
        <f>ROUND(E21*D21,2)</f>
        <v>17.940000000000001</v>
      </c>
    </row>
    <row r="22" spans="1:8" s="102" customFormat="1">
      <c r="B22" s="294"/>
      <c r="C22" s="8" t="str">
        <f>B29</f>
        <v>Arquitecte / enginyer de dades</v>
      </c>
      <c r="D22" s="9">
        <v>0.15</v>
      </c>
      <c r="E22" s="10">
        <f>$C$29</f>
        <v>114.15</v>
      </c>
      <c r="F22" s="11">
        <f>D29</f>
        <v>94.34</v>
      </c>
      <c r="G22" s="11">
        <f>ROUND(E22*D22,2)</f>
        <v>17.12</v>
      </c>
    </row>
    <row r="23" spans="1:8" s="102" customFormat="1">
      <c r="B23" s="294"/>
      <c r="C23" s="200" t="s">
        <v>9</v>
      </c>
      <c r="D23" s="201"/>
      <c r="E23" s="202"/>
      <c r="F23" s="111"/>
      <c r="G23" s="185">
        <f>SUM(G19:G22)</f>
        <v>87.12</v>
      </c>
      <c r="H23" s="13">
        <f>SUM(D19:D22)</f>
        <v>1</v>
      </c>
    </row>
    <row r="24" spans="1:8">
      <c r="A24" s="102"/>
    </row>
    <row r="26" spans="1:8" ht="15" thickBot="1">
      <c r="E26" s="95"/>
      <c r="F26" s="96"/>
    </row>
    <row r="27" spans="1:8" ht="28.8">
      <c r="B27" s="14" t="s">
        <v>145</v>
      </c>
      <c r="C27" s="14" t="s">
        <v>10</v>
      </c>
      <c r="D27" s="14" t="s">
        <v>11</v>
      </c>
      <c r="E27" s="186"/>
      <c r="F27" s="97"/>
    </row>
    <row r="28" spans="1:8">
      <c r="B28" s="8" t="s">
        <v>64</v>
      </c>
      <c r="C28" s="18">
        <f>ROUND(D28*1.21,2)</f>
        <v>106</v>
      </c>
      <c r="D28" s="117">
        <v>87.6</v>
      </c>
      <c r="E28" s="97"/>
      <c r="F28" s="17"/>
    </row>
    <row r="29" spans="1:8">
      <c r="B29" s="20" t="s">
        <v>68</v>
      </c>
      <c r="C29" s="18">
        <f>ROUND(D29*1.21,2)</f>
        <v>114.15</v>
      </c>
      <c r="D29" s="117">
        <v>94.34</v>
      </c>
      <c r="E29" s="97"/>
      <c r="F29" s="17"/>
      <c r="G29" s="102"/>
    </row>
    <row r="30" spans="1:8">
      <c r="B30" s="8" t="s">
        <v>65</v>
      </c>
      <c r="C30" s="18">
        <f>ROUND(D30*1.21,2)</f>
        <v>97.85</v>
      </c>
      <c r="D30" s="117">
        <v>80.87</v>
      </c>
      <c r="E30" s="97"/>
      <c r="F30" s="17"/>
      <c r="G30" s="102"/>
    </row>
    <row r="31" spans="1:8" ht="15.6">
      <c r="B31" s="99" t="s">
        <v>67</v>
      </c>
      <c r="C31" s="18">
        <f t="shared" ref="C31:C35" si="3">ROUND(D31*1.21,2)</f>
        <v>65.23</v>
      </c>
      <c r="D31" s="117">
        <v>53.91</v>
      </c>
      <c r="F31" s="17"/>
      <c r="G31" s="102"/>
    </row>
    <row r="32" spans="1:8">
      <c r="B32" s="8" t="s">
        <v>66</v>
      </c>
      <c r="C32" s="18">
        <f t="shared" si="3"/>
        <v>75.38</v>
      </c>
      <c r="D32" s="117">
        <v>62.3</v>
      </c>
      <c r="E32" s="97"/>
      <c r="F32" s="17"/>
      <c r="G32" s="102"/>
    </row>
    <row r="33" spans="1:7">
      <c r="B33" s="8" t="s">
        <v>61</v>
      </c>
      <c r="C33" s="18">
        <f t="shared" si="3"/>
        <v>65.260000000000005</v>
      </c>
      <c r="D33" s="117">
        <v>53.93</v>
      </c>
      <c r="E33" s="97"/>
      <c r="F33" s="17"/>
      <c r="G33" s="102"/>
    </row>
    <row r="34" spans="1:7">
      <c r="B34" s="3" t="s">
        <v>62</v>
      </c>
      <c r="C34" s="18">
        <f t="shared" si="3"/>
        <v>89.7</v>
      </c>
      <c r="D34" s="117">
        <v>74.13</v>
      </c>
      <c r="F34" s="17"/>
      <c r="G34" s="102"/>
    </row>
    <row r="35" spans="1:7">
      <c r="B35" s="3" t="s">
        <v>63</v>
      </c>
      <c r="C35" s="18">
        <f t="shared" si="3"/>
        <v>89.7</v>
      </c>
      <c r="D35" s="117">
        <v>74.13</v>
      </c>
      <c r="F35" s="94"/>
      <c r="G35" s="102"/>
    </row>
    <row r="36" spans="1:7" s="102" customFormat="1">
      <c r="A36"/>
      <c r="B36" s="113"/>
      <c r="C36" s="18"/>
      <c r="D36" s="19"/>
      <c r="F36" s="94"/>
    </row>
    <row r="37" spans="1:7">
      <c r="A37" s="102"/>
      <c r="B37" s="8"/>
      <c r="C37" s="15"/>
      <c r="D37" s="16"/>
    </row>
    <row r="38" spans="1:7">
      <c r="B38" s="8"/>
      <c r="C38" s="15"/>
      <c r="D38" s="16"/>
    </row>
    <row r="39" spans="1:7">
      <c r="B39" s="8"/>
      <c r="C39" s="15"/>
      <c r="D39" s="16"/>
    </row>
    <row r="40" spans="1:7">
      <c r="B40" s="8"/>
      <c r="C40" s="15"/>
      <c r="D40" s="16"/>
    </row>
  </sheetData>
  <mergeCells count="5">
    <mergeCell ref="B3:B5"/>
    <mergeCell ref="B19:B23"/>
    <mergeCell ref="B6:B9"/>
    <mergeCell ref="B14:B18"/>
    <mergeCell ref="B10:B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7"/>
  <sheetViews>
    <sheetView topLeftCell="A37" zoomScale="90" zoomScaleNormal="90" workbookViewId="0">
      <selection activeCell="A56" sqref="A56:F57"/>
    </sheetView>
  </sheetViews>
  <sheetFormatPr defaultColWidth="9.21875" defaultRowHeight="14.4"/>
  <cols>
    <col min="1" max="1" width="11.109375" style="1" customWidth="1"/>
    <col min="2" max="2" width="33.77734375" style="1" customWidth="1"/>
    <col min="3" max="3" width="11.33203125" style="1" customWidth="1"/>
    <col min="4" max="4" width="17.109375" style="1" customWidth="1"/>
    <col min="5" max="5" width="13.77734375" style="1" customWidth="1"/>
    <col min="6" max="6" width="15" style="1" customWidth="1"/>
    <col min="7" max="7" width="17" style="2" customWidth="1"/>
    <col min="8" max="8" width="14.5546875" style="1" bestFit="1" customWidth="1"/>
    <col min="9" max="9" width="13.21875" style="1" customWidth="1"/>
    <col min="10" max="10" width="7.44140625" style="1" customWidth="1"/>
    <col min="11" max="11" width="11.77734375" style="1" customWidth="1"/>
    <col min="12" max="16384" width="9.21875" style="1"/>
  </cols>
  <sheetData>
    <row r="2" spans="1:21" ht="43.8" thickBot="1">
      <c r="A2" s="315" t="s">
        <v>3</v>
      </c>
      <c r="B2" s="316"/>
      <c r="C2" s="324"/>
      <c r="D2" s="325"/>
      <c r="E2" s="326"/>
      <c r="F2" s="106" t="s">
        <v>121</v>
      </c>
      <c r="G2" s="106" t="s">
        <v>124</v>
      </c>
      <c r="H2" s="106" t="s">
        <v>122</v>
      </c>
      <c r="I2" s="106" t="s">
        <v>123</v>
      </c>
    </row>
    <row r="3" spans="1:21" ht="15" customHeight="1">
      <c r="A3" s="304" t="s">
        <v>125</v>
      </c>
      <c r="B3" s="320" t="s">
        <v>0</v>
      </c>
      <c r="C3" s="318" t="s">
        <v>96</v>
      </c>
      <c r="D3" s="318"/>
      <c r="E3" s="318"/>
      <c r="F3" s="302">
        <f>G29</f>
        <v>220167.05471999999</v>
      </c>
      <c r="G3" s="300">
        <f>ROUND(F3*1.21,2)</f>
        <v>266402.14</v>
      </c>
      <c r="H3" s="302">
        <f>G48</f>
        <v>352541.42207999999</v>
      </c>
      <c r="I3" s="300">
        <f>ROUND(H3*1.21,2)</f>
        <v>426575.12</v>
      </c>
    </row>
    <row r="4" spans="1:21">
      <c r="A4" s="305"/>
      <c r="B4" s="321"/>
      <c r="C4" s="319" t="s">
        <v>2</v>
      </c>
      <c r="D4" s="319"/>
      <c r="E4" s="319"/>
      <c r="F4" s="303"/>
      <c r="G4" s="301"/>
      <c r="H4" s="303"/>
      <c r="I4" s="301"/>
    </row>
    <row r="5" spans="1:21">
      <c r="A5" s="305"/>
      <c r="B5" s="321"/>
      <c r="C5" s="319" t="s">
        <v>97</v>
      </c>
      <c r="D5" s="319"/>
      <c r="E5" s="319"/>
      <c r="F5" s="303"/>
      <c r="G5" s="301"/>
      <c r="H5" s="303"/>
      <c r="I5" s="301"/>
    </row>
    <row r="6" spans="1:21">
      <c r="A6" s="305"/>
      <c r="B6" s="321"/>
      <c r="C6" s="319" t="s">
        <v>1</v>
      </c>
      <c r="D6" s="319"/>
      <c r="E6" s="319"/>
      <c r="F6" s="303"/>
      <c r="G6" s="301"/>
      <c r="H6" s="303"/>
      <c r="I6" s="301"/>
    </row>
    <row r="7" spans="1:21">
      <c r="A7" s="305"/>
      <c r="B7" s="122" t="s">
        <v>180</v>
      </c>
      <c r="C7" s="309"/>
      <c r="D7" s="309"/>
      <c r="E7" s="309"/>
      <c r="F7" s="121">
        <f>E54</f>
        <v>10500</v>
      </c>
      <c r="G7" s="236">
        <f>ROUND(F7*1.21,2)</f>
        <v>12705</v>
      </c>
      <c r="H7" s="182">
        <f>F54</f>
        <v>6000</v>
      </c>
      <c r="I7" s="236">
        <f>ROUND(H7*1.21,2)</f>
        <v>7260</v>
      </c>
    </row>
    <row r="8" spans="1:21">
      <c r="A8" s="272"/>
      <c r="B8" s="270" t="s">
        <v>181</v>
      </c>
      <c r="C8" s="319" t="s">
        <v>179</v>
      </c>
      <c r="D8" s="319"/>
      <c r="E8" s="319"/>
      <c r="F8" s="271">
        <f>H8*9/12</f>
        <v>15086.25</v>
      </c>
      <c r="G8" s="236">
        <f>ROUND(F8*1.21,2)</f>
        <v>18254.36</v>
      </c>
      <c r="H8" s="182">
        <v>20115</v>
      </c>
      <c r="I8" s="236">
        <f>ROUND(H8*1.21,2)</f>
        <v>24339.15</v>
      </c>
    </row>
    <row r="9" spans="1:21">
      <c r="A9" s="109"/>
      <c r="B9" s="109"/>
      <c r="C9" s="310" t="s">
        <v>12</v>
      </c>
      <c r="D9" s="311"/>
      <c r="E9" s="312"/>
      <c r="F9" s="107">
        <f>SUM(F3:F8)</f>
        <v>245753.30471999999</v>
      </c>
      <c r="G9" s="107">
        <f t="shared" ref="G9:I9" si="0">SUM(G3:G8)</f>
        <v>297361.5</v>
      </c>
      <c r="H9" s="107">
        <f t="shared" si="0"/>
        <v>378656.42207999999</v>
      </c>
      <c r="I9" s="107">
        <f t="shared" si="0"/>
        <v>458174.27</v>
      </c>
    </row>
    <row r="10" spans="1:21" ht="15" thickBot="1">
      <c r="F10" s="118"/>
      <c r="I10" s="118"/>
    </row>
    <row r="11" spans="1:21">
      <c r="B11" s="322" t="s">
        <v>84</v>
      </c>
      <c r="C11" s="104" t="s">
        <v>69</v>
      </c>
      <c r="D11" s="105" t="s">
        <v>72</v>
      </c>
      <c r="E11" s="105" t="s">
        <v>73</v>
      </c>
    </row>
    <row r="12" spans="1:21" ht="15" thickBot="1">
      <c r="B12" s="323"/>
      <c r="C12" s="100">
        <f>$K$35+$O$43</f>
        <v>259</v>
      </c>
      <c r="D12" s="101">
        <f>$L$35+$P$43</f>
        <v>1742</v>
      </c>
      <c r="E12" s="101">
        <f>$M$35+$Q$43</f>
        <v>65550</v>
      </c>
    </row>
    <row r="13" spans="1:21">
      <c r="B13" s="103"/>
      <c r="C13" s="110"/>
      <c r="D13" s="110"/>
      <c r="E13" s="110"/>
    </row>
    <row r="14" spans="1:21">
      <c r="A14" s="317" t="s">
        <v>90</v>
      </c>
      <c r="B14" s="317"/>
      <c r="C14" s="317"/>
      <c r="D14" s="317"/>
      <c r="E14" s="317"/>
      <c r="F14" s="317"/>
      <c r="G14" s="317"/>
      <c r="H14" s="317"/>
      <c r="I14" s="317"/>
    </row>
    <row r="15" spans="1:21" ht="15" customHeight="1">
      <c r="A15" s="307" t="s">
        <v>81</v>
      </c>
      <c r="B15" s="307" t="s">
        <v>106</v>
      </c>
      <c r="C15" s="144" t="s">
        <v>183</v>
      </c>
      <c r="D15" s="307" t="s">
        <v>107</v>
      </c>
      <c r="E15" s="308" t="s">
        <v>82</v>
      </c>
      <c r="F15" s="306" t="s">
        <v>83</v>
      </c>
      <c r="G15" s="306" t="s">
        <v>91</v>
      </c>
      <c r="H15" s="306" t="s">
        <v>108</v>
      </c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</row>
    <row r="16" spans="1:21">
      <c r="A16" s="307"/>
      <c r="B16" s="307"/>
      <c r="C16" s="144" t="s">
        <v>109</v>
      </c>
      <c r="D16" s="307"/>
      <c r="E16" s="308"/>
      <c r="F16" s="306"/>
      <c r="G16" s="306"/>
      <c r="H16" s="306"/>
      <c r="I16" s="145"/>
      <c r="J16" s="102"/>
      <c r="K16" s="102" t="s">
        <v>110</v>
      </c>
      <c r="L16" s="102"/>
      <c r="M16" s="102"/>
      <c r="N16" s="102"/>
      <c r="O16" s="102" t="s">
        <v>111</v>
      </c>
      <c r="P16" s="102"/>
      <c r="Q16" s="102"/>
      <c r="R16" s="102"/>
      <c r="S16" s="102" t="s">
        <v>112</v>
      </c>
      <c r="T16" s="102"/>
      <c r="U16" s="102"/>
    </row>
    <row r="17" spans="1:21" ht="15" customHeight="1">
      <c r="A17" s="299" t="s">
        <v>113</v>
      </c>
      <c r="B17" s="146" t="s">
        <v>78</v>
      </c>
      <c r="C17" s="147" t="s">
        <v>77</v>
      </c>
      <c r="D17" s="148">
        <v>1.4383E-2</v>
      </c>
      <c r="E17" s="149">
        <f>$K$35+$O$43</f>
        <v>259</v>
      </c>
      <c r="F17" s="150">
        <f>D17*E17*720</f>
        <v>2682.1418400000002</v>
      </c>
      <c r="G17" s="150">
        <f t="shared" ref="G17:G28" si="1">+F17*12</f>
        <v>32185.702080000003</v>
      </c>
      <c r="H17" s="151">
        <f>G17*1.21</f>
        <v>38944.699516799999</v>
      </c>
      <c r="I17" s="313"/>
      <c r="J17" s="102"/>
      <c r="K17" s="152" t="s">
        <v>69</v>
      </c>
      <c r="L17" s="152" t="s">
        <v>70</v>
      </c>
      <c r="M17" s="152" t="s">
        <v>71</v>
      </c>
      <c r="N17" s="102"/>
      <c r="O17" s="152" t="s">
        <v>69</v>
      </c>
      <c r="P17" s="152" t="s">
        <v>70</v>
      </c>
      <c r="Q17" s="152" t="s">
        <v>71</v>
      </c>
      <c r="R17" s="102"/>
      <c r="S17" s="152" t="s">
        <v>69</v>
      </c>
      <c r="T17" s="152" t="s">
        <v>70</v>
      </c>
      <c r="U17" s="152" t="s">
        <v>71</v>
      </c>
    </row>
    <row r="18" spans="1:21">
      <c r="A18" s="299"/>
      <c r="B18" s="146" t="s">
        <v>79</v>
      </c>
      <c r="C18" s="147" t="s">
        <v>77</v>
      </c>
      <c r="D18" s="148">
        <v>6.6670000000000002E-3</v>
      </c>
      <c r="E18" s="149">
        <f>$L$35+$P$43</f>
        <v>1742</v>
      </c>
      <c r="F18" s="150">
        <f t="shared" ref="F18:F19" si="2">D18*E18*720</f>
        <v>8362.0180800000016</v>
      </c>
      <c r="G18" s="150">
        <f t="shared" si="1"/>
        <v>100344.21696000002</v>
      </c>
      <c r="H18" s="151">
        <f t="shared" ref="H18:H28" si="3">G18*1.21</f>
        <v>121416.50252160002</v>
      </c>
      <c r="I18" s="313"/>
      <c r="J18" s="102"/>
      <c r="K18" s="102">
        <v>1</v>
      </c>
      <c r="L18" s="102">
        <v>4</v>
      </c>
      <c r="M18" s="102">
        <v>30</v>
      </c>
      <c r="N18" s="102"/>
      <c r="O18" s="102">
        <v>1</v>
      </c>
      <c r="P18" s="102">
        <v>4</v>
      </c>
      <c r="Q18" s="102">
        <v>30</v>
      </c>
      <c r="R18" s="102"/>
      <c r="S18" s="102">
        <v>1</v>
      </c>
      <c r="T18" s="102">
        <v>4</v>
      </c>
      <c r="U18" s="102">
        <v>30</v>
      </c>
    </row>
    <row r="19" spans="1:21">
      <c r="A19" s="299"/>
      <c r="B19" s="146" t="s">
        <v>80</v>
      </c>
      <c r="C19" s="147" t="s">
        <v>77</v>
      </c>
      <c r="D19" s="148">
        <v>1.5100000000000001E-4</v>
      </c>
      <c r="E19" s="149">
        <f>$M$35+$Q$43</f>
        <v>65550</v>
      </c>
      <c r="F19" s="150">
        <f t="shared" si="2"/>
        <v>7126.5960000000014</v>
      </c>
      <c r="G19" s="150">
        <f t="shared" si="1"/>
        <v>85519.152000000016</v>
      </c>
      <c r="H19" s="151">
        <f t="shared" si="3"/>
        <v>103478.17392000002</v>
      </c>
      <c r="I19" s="153"/>
      <c r="J19" s="102"/>
      <c r="K19" s="102">
        <v>1</v>
      </c>
      <c r="L19" s="102">
        <v>4</v>
      </c>
      <c r="M19" s="102">
        <v>30</v>
      </c>
      <c r="N19" s="102"/>
      <c r="O19" s="102">
        <v>1</v>
      </c>
      <c r="P19" s="102">
        <v>4</v>
      </c>
      <c r="Q19" s="102">
        <v>30</v>
      </c>
      <c r="R19" s="102"/>
      <c r="S19" s="102">
        <v>1</v>
      </c>
      <c r="T19" s="102">
        <v>4</v>
      </c>
      <c r="U19" s="102">
        <v>30</v>
      </c>
    </row>
    <row r="20" spans="1:21">
      <c r="A20" s="154" t="s">
        <v>114</v>
      </c>
      <c r="B20" s="146" t="s">
        <v>86</v>
      </c>
      <c r="C20" s="147" t="s">
        <v>87</v>
      </c>
      <c r="D20" s="148">
        <v>9.7240800000000007</v>
      </c>
      <c r="E20" s="149">
        <v>23</v>
      </c>
      <c r="F20" s="155">
        <f>D20*E20</f>
        <v>223.65384</v>
      </c>
      <c r="G20" s="150">
        <f t="shared" si="1"/>
        <v>2683.8460800000003</v>
      </c>
      <c r="H20" s="151">
        <f t="shared" si="3"/>
        <v>3247.4537568000001</v>
      </c>
      <c r="I20" s="156"/>
      <c r="J20" s="102"/>
      <c r="K20" s="102">
        <v>1</v>
      </c>
      <c r="L20" s="102">
        <v>4</v>
      </c>
      <c r="M20" s="102">
        <v>100</v>
      </c>
      <c r="N20" s="102"/>
      <c r="O20" s="102">
        <v>1</v>
      </c>
      <c r="P20" s="102">
        <v>4</v>
      </c>
      <c r="Q20" s="102">
        <v>100</v>
      </c>
      <c r="R20" s="102"/>
      <c r="S20" s="102">
        <v>1</v>
      </c>
      <c r="T20" s="102">
        <v>4</v>
      </c>
      <c r="U20" s="102">
        <v>100</v>
      </c>
    </row>
    <row r="21" spans="1:21">
      <c r="A21" s="154" t="s">
        <v>85</v>
      </c>
      <c r="B21" s="146" t="s">
        <v>115</v>
      </c>
      <c r="C21" s="147" t="s">
        <v>87</v>
      </c>
      <c r="D21" s="148">
        <v>2.7E-2</v>
      </c>
      <c r="E21" s="149">
        <v>50</v>
      </c>
      <c r="F21" s="155">
        <f t="shared" ref="F21:F27" si="4">D21*E21</f>
        <v>1.35</v>
      </c>
      <c r="G21" s="150">
        <f t="shared" si="1"/>
        <v>16.200000000000003</v>
      </c>
      <c r="H21" s="151">
        <f t="shared" si="3"/>
        <v>19.602000000000004</v>
      </c>
      <c r="I21" s="156"/>
      <c r="J21" s="102"/>
      <c r="K21" s="102">
        <v>4</v>
      </c>
      <c r="L21" s="102">
        <v>8</v>
      </c>
      <c r="M21" s="102">
        <v>50</v>
      </c>
      <c r="N21" s="102"/>
      <c r="O21" s="102">
        <v>4</v>
      </c>
      <c r="P21" s="102">
        <v>16</v>
      </c>
      <c r="Q21" s="102">
        <v>50</v>
      </c>
      <c r="R21" s="102"/>
      <c r="S21" s="102">
        <v>4</v>
      </c>
      <c r="T21" s="102">
        <v>16</v>
      </c>
      <c r="U21" s="102">
        <v>50</v>
      </c>
    </row>
    <row r="22" spans="1:21">
      <c r="A22" s="157"/>
      <c r="B22" s="146" t="s">
        <v>92</v>
      </c>
      <c r="C22" s="147" t="s">
        <v>87</v>
      </c>
      <c r="D22" s="148">
        <v>8.6999999999999994E-2</v>
      </c>
      <c r="E22" s="149">
        <v>791</v>
      </c>
      <c r="F22" s="155">
        <f t="shared" si="4"/>
        <v>68.816999999999993</v>
      </c>
      <c r="G22" s="150">
        <f t="shared" si="1"/>
        <v>825.80399999999986</v>
      </c>
      <c r="H22" s="151">
        <f t="shared" si="3"/>
        <v>999.22283999999979</v>
      </c>
      <c r="I22" s="156"/>
      <c r="J22" s="102"/>
      <c r="K22" s="102">
        <v>4</v>
      </c>
      <c r="L22" s="102">
        <v>8</v>
      </c>
      <c r="M22" s="102">
        <v>50</v>
      </c>
      <c r="N22" s="102"/>
      <c r="O22" s="102">
        <v>4</v>
      </c>
      <c r="P22" s="102">
        <v>16</v>
      </c>
      <c r="Q22" s="102">
        <v>50</v>
      </c>
      <c r="R22" s="102"/>
      <c r="S22" s="102">
        <v>4</v>
      </c>
      <c r="T22" s="102">
        <v>16</v>
      </c>
      <c r="U22" s="102">
        <v>50</v>
      </c>
    </row>
    <row r="23" spans="1:21">
      <c r="A23" s="157"/>
      <c r="B23" s="146" t="s">
        <v>116</v>
      </c>
      <c r="C23" s="147" t="s">
        <v>87</v>
      </c>
      <c r="D23" s="148">
        <v>0.18124999999999999</v>
      </c>
      <c r="E23" s="149"/>
      <c r="F23" s="155">
        <f t="shared" si="4"/>
        <v>0</v>
      </c>
      <c r="G23" s="150">
        <f t="shared" si="1"/>
        <v>0</v>
      </c>
      <c r="H23" s="151">
        <f t="shared" si="3"/>
        <v>0</v>
      </c>
      <c r="I23" s="156"/>
      <c r="J23" s="102"/>
      <c r="K23" s="102">
        <v>4</v>
      </c>
      <c r="L23" s="102">
        <v>4</v>
      </c>
      <c r="M23" s="102">
        <v>50</v>
      </c>
      <c r="N23" s="102"/>
      <c r="O23" s="102">
        <v>8</v>
      </c>
      <c r="P23" s="102">
        <v>16</v>
      </c>
      <c r="Q23" s="102">
        <v>500</v>
      </c>
      <c r="R23" s="102"/>
      <c r="S23" s="102">
        <v>8</v>
      </c>
      <c r="T23" s="102">
        <v>16</v>
      </c>
      <c r="U23" s="102">
        <v>500</v>
      </c>
    </row>
    <row r="24" spans="1:21">
      <c r="A24" s="157"/>
      <c r="B24" s="146" t="s">
        <v>139</v>
      </c>
      <c r="C24" s="147" t="s">
        <v>87</v>
      </c>
      <c r="D24" s="148">
        <v>0.32100000000000001</v>
      </c>
      <c r="E24" s="149">
        <v>14762</v>
      </c>
      <c r="F24" s="155">
        <f t="shared" si="4"/>
        <v>4738.6019999999999</v>
      </c>
      <c r="G24" s="150">
        <f t="shared" si="1"/>
        <v>56863.224000000002</v>
      </c>
      <c r="H24" s="151">
        <f t="shared" si="3"/>
        <v>68804.501040000003</v>
      </c>
      <c r="I24" s="156"/>
      <c r="J24" s="102"/>
      <c r="K24" s="102">
        <v>2</v>
      </c>
      <c r="L24" s="102">
        <v>4</v>
      </c>
      <c r="M24" s="102">
        <v>40</v>
      </c>
      <c r="N24" s="102"/>
      <c r="O24" s="102">
        <v>2</v>
      </c>
      <c r="P24" s="102">
        <v>4</v>
      </c>
      <c r="Q24" s="102">
        <v>40</v>
      </c>
      <c r="R24" s="102"/>
      <c r="S24" s="102">
        <v>2</v>
      </c>
      <c r="T24" s="102">
        <v>4</v>
      </c>
      <c r="U24" s="102">
        <v>40</v>
      </c>
    </row>
    <row r="25" spans="1:21" ht="15" customHeight="1">
      <c r="A25" s="299" t="s">
        <v>117</v>
      </c>
      <c r="B25" s="146" t="s">
        <v>88</v>
      </c>
      <c r="C25" s="147" t="s">
        <v>87</v>
      </c>
      <c r="D25" s="148">
        <v>132</v>
      </c>
      <c r="E25" s="149">
        <v>2</v>
      </c>
      <c r="F25" s="155">
        <f t="shared" si="4"/>
        <v>264</v>
      </c>
      <c r="G25" s="150">
        <f t="shared" si="1"/>
        <v>3168</v>
      </c>
      <c r="H25" s="151">
        <f t="shared" si="3"/>
        <v>3833.2799999999997</v>
      </c>
      <c r="I25" s="156"/>
      <c r="J25" s="102"/>
      <c r="K25" s="102">
        <v>6</v>
      </c>
      <c r="L25" s="102">
        <v>48</v>
      </c>
      <c r="M25" s="102">
        <v>380</v>
      </c>
      <c r="N25" s="102"/>
      <c r="O25" s="102">
        <v>8</v>
      </c>
      <c r="P25" s="102">
        <v>72</v>
      </c>
      <c r="Q25" s="102">
        <v>300</v>
      </c>
      <c r="R25" s="102"/>
      <c r="S25" s="102">
        <v>8</v>
      </c>
      <c r="T25" s="102">
        <v>72</v>
      </c>
      <c r="U25" s="102">
        <v>300</v>
      </c>
    </row>
    <row r="26" spans="1:21">
      <c r="A26" s="299"/>
      <c r="B26" s="146" t="s">
        <v>118</v>
      </c>
      <c r="C26" s="147" t="s">
        <v>87</v>
      </c>
      <c r="D26" s="148">
        <v>215.82731999999999</v>
      </c>
      <c r="E26" s="149">
        <v>1</v>
      </c>
      <c r="F26" s="155">
        <f t="shared" si="4"/>
        <v>215.82731999999999</v>
      </c>
      <c r="G26" s="150">
        <f t="shared" si="1"/>
        <v>2589.9278399999998</v>
      </c>
      <c r="H26" s="151">
        <f t="shared" si="3"/>
        <v>3133.8126863999996</v>
      </c>
      <c r="I26" s="156"/>
      <c r="J26" s="102"/>
      <c r="K26" s="102">
        <v>4</v>
      </c>
      <c r="L26" s="102">
        <v>6</v>
      </c>
      <c r="M26" s="102">
        <v>50</v>
      </c>
      <c r="N26" s="102"/>
      <c r="O26" s="102">
        <v>5</v>
      </c>
      <c r="P26" s="102">
        <v>64</v>
      </c>
      <c r="Q26" s="102">
        <v>130</v>
      </c>
      <c r="R26" s="102"/>
      <c r="S26" s="102">
        <v>5</v>
      </c>
      <c r="T26" s="102">
        <v>64</v>
      </c>
      <c r="U26" s="102">
        <v>130</v>
      </c>
    </row>
    <row r="27" spans="1:21">
      <c r="A27" s="299"/>
      <c r="B27" s="146" t="s">
        <v>89</v>
      </c>
      <c r="C27" s="147" t="s">
        <v>87</v>
      </c>
      <c r="D27" s="148">
        <v>780</v>
      </c>
      <c r="E27" s="149">
        <v>1</v>
      </c>
      <c r="F27" s="155">
        <f t="shared" si="4"/>
        <v>780</v>
      </c>
      <c r="G27" s="150">
        <f t="shared" si="1"/>
        <v>9360</v>
      </c>
      <c r="H27" s="151">
        <f t="shared" si="3"/>
        <v>11325.6</v>
      </c>
      <c r="I27" s="156"/>
      <c r="J27" s="102"/>
      <c r="K27" s="102">
        <v>4</v>
      </c>
      <c r="L27" s="102">
        <v>16</v>
      </c>
      <c r="M27" s="102">
        <v>200</v>
      </c>
      <c r="N27" s="102"/>
      <c r="O27" s="102">
        <v>8</v>
      </c>
      <c r="P27" s="102">
        <v>16</v>
      </c>
      <c r="Q27" s="102">
        <v>200</v>
      </c>
      <c r="R27" s="102"/>
      <c r="S27" s="102">
        <v>8</v>
      </c>
      <c r="T27" s="102">
        <v>16</v>
      </c>
      <c r="U27" s="102">
        <v>200</v>
      </c>
    </row>
    <row r="28" spans="1:21">
      <c r="A28" s="158"/>
      <c r="B28" s="159" t="s">
        <v>12</v>
      </c>
      <c r="C28" s="3"/>
      <c r="D28" s="3"/>
      <c r="E28" s="3"/>
      <c r="F28" s="284">
        <f>SUM(F17:F27)</f>
        <v>24463.006079999999</v>
      </c>
      <c r="G28" s="160">
        <f t="shared" si="1"/>
        <v>293556.07296000002</v>
      </c>
      <c r="H28" s="160">
        <f t="shared" si="3"/>
        <v>355202.84828159999</v>
      </c>
      <c r="I28" s="156"/>
      <c r="J28" s="102"/>
      <c r="K28" s="102">
        <v>4</v>
      </c>
      <c r="L28" s="102">
        <v>16</v>
      </c>
      <c r="M28" s="102">
        <v>200</v>
      </c>
      <c r="N28" s="102"/>
      <c r="O28" s="102">
        <v>2</v>
      </c>
      <c r="P28" s="102">
        <v>4</v>
      </c>
      <c r="Q28" s="102">
        <v>30</v>
      </c>
      <c r="R28" s="102"/>
      <c r="S28" s="102">
        <v>2</v>
      </c>
      <c r="T28" s="102">
        <v>4</v>
      </c>
      <c r="U28" s="102">
        <v>30</v>
      </c>
    </row>
    <row r="29" spans="1:21">
      <c r="A29" s="161"/>
      <c r="B29" s="162"/>
      <c r="C29" s="163"/>
      <c r="D29" s="164"/>
      <c r="E29" s="165" t="s">
        <v>154</v>
      </c>
      <c r="F29" s="284">
        <f>F28</f>
        <v>24463.006079999999</v>
      </c>
      <c r="G29" s="160">
        <f>+F29*9</f>
        <v>220167.05471999999</v>
      </c>
      <c r="H29" s="160">
        <f t="shared" ref="H29" si="5">G29*1.21</f>
        <v>266402.13621119998</v>
      </c>
      <c r="I29" s="156"/>
      <c r="J29" s="102"/>
      <c r="K29" s="102">
        <v>4</v>
      </c>
      <c r="L29" s="102">
        <v>16</v>
      </c>
      <c r="M29" s="102">
        <v>200</v>
      </c>
      <c r="N29" s="102"/>
      <c r="O29" s="102">
        <v>4</v>
      </c>
      <c r="P29" s="102">
        <v>16</v>
      </c>
      <c r="Q29" s="102">
        <v>200</v>
      </c>
      <c r="R29" s="102"/>
      <c r="S29" s="102">
        <v>4</v>
      </c>
      <c r="T29" s="102">
        <v>16</v>
      </c>
      <c r="U29" s="102">
        <v>200</v>
      </c>
    </row>
    <row r="30" spans="1:21">
      <c r="A30" s="314"/>
      <c r="B30" s="168"/>
      <c r="C30" s="169"/>
      <c r="D30" s="170"/>
      <c r="E30" s="165"/>
      <c r="F30" s="171"/>
      <c r="G30" s="167"/>
      <c r="H30" s="153"/>
      <c r="I30" s="172"/>
      <c r="J30" s="102"/>
      <c r="K30" s="102">
        <v>8</v>
      </c>
      <c r="L30" s="102">
        <v>96</v>
      </c>
      <c r="M30" s="102">
        <v>2174</v>
      </c>
      <c r="N30" s="102"/>
      <c r="O30" s="102">
        <v>4</v>
      </c>
      <c r="P30" s="102">
        <v>16</v>
      </c>
      <c r="Q30" s="102">
        <v>200</v>
      </c>
      <c r="R30" s="102"/>
      <c r="S30" s="102">
        <v>4</v>
      </c>
      <c r="T30" s="102">
        <v>16</v>
      </c>
      <c r="U30" s="102">
        <v>200</v>
      </c>
    </row>
    <row r="31" spans="1:21">
      <c r="A31" s="314"/>
      <c r="B31" s="173"/>
      <c r="C31" s="174"/>
      <c r="D31" s="175"/>
      <c r="E31" s="165"/>
      <c r="F31" s="166"/>
      <c r="G31" s="167"/>
      <c r="H31" s="153"/>
      <c r="I31" s="156"/>
      <c r="J31" s="102"/>
      <c r="K31" s="102">
        <v>8</v>
      </c>
      <c r="L31" s="102">
        <v>96</v>
      </c>
      <c r="M31" s="102">
        <v>2174</v>
      </c>
      <c r="N31" s="102"/>
      <c r="O31" s="102">
        <v>4</v>
      </c>
      <c r="P31" s="102">
        <v>16</v>
      </c>
      <c r="Q31" s="102">
        <v>200</v>
      </c>
      <c r="R31" s="102"/>
      <c r="S31" s="102">
        <v>4</v>
      </c>
      <c r="T31" s="102">
        <v>16</v>
      </c>
      <c r="U31" s="102">
        <v>200</v>
      </c>
    </row>
    <row r="32" spans="1:21">
      <c r="A32" s="108"/>
      <c r="B32" s="108"/>
      <c r="C32" s="108"/>
      <c r="D32" s="108"/>
      <c r="E32" s="108"/>
      <c r="F32" s="176"/>
      <c r="G32" s="177"/>
      <c r="H32" s="153"/>
      <c r="I32" s="178"/>
      <c r="J32" s="102"/>
      <c r="K32" s="102">
        <v>8</v>
      </c>
      <c r="L32" s="102">
        <v>96</v>
      </c>
      <c r="M32" s="102">
        <v>2174</v>
      </c>
      <c r="N32" s="102"/>
      <c r="O32" s="102">
        <v>16</v>
      </c>
      <c r="P32" s="102">
        <v>128</v>
      </c>
      <c r="Q32">
        <v>5272</v>
      </c>
      <c r="R32" s="102"/>
      <c r="S32" s="102">
        <v>16</v>
      </c>
      <c r="T32" s="102">
        <v>256</v>
      </c>
      <c r="U32" s="102">
        <v>5272</v>
      </c>
    </row>
    <row r="33" spans="1:21">
      <c r="A33" s="179"/>
      <c r="B33" s="180"/>
      <c r="C33" s="102"/>
      <c r="D33" s="102"/>
      <c r="E33" s="102"/>
      <c r="F33" s="181"/>
      <c r="G33" s="181"/>
      <c r="H33" s="102"/>
      <c r="I33" s="102"/>
      <c r="J33" s="102"/>
      <c r="K33" s="102">
        <v>2</v>
      </c>
      <c r="L33" s="102">
        <v>4</v>
      </c>
      <c r="M33" s="102">
        <v>30</v>
      </c>
      <c r="N33" s="102"/>
      <c r="O33" s="102">
        <v>16</v>
      </c>
      <c r="P33" s="102">
        <v>128</v>
      </c>
      <c r="Q33" s="102">
        <v>5272</v>
      </c>
      <c r="R33" s="102"/>
      <c r="S33" s="102">
        <v>16</v>
      </c>
      <c r="T33" s="102">
        <v>256</v>
      </c>
      <c r="U33" s="102">
        <v>5272</v>
      </c>
    </row>
    <row r="34" spans="1:21">
      <c r="A34" s="179"/>
      <c r="B34" s="180"/>
      <c r="C34" s="102"/>
      <c r="D34" s="102"/>
      <c r="E34" s="102"/>
      <c r="F34" s="181"/>
      <c r="G34" s="181"/>
      <c r="H34" s="102"/>
      <c r="I34" s="102"/>
      <c r="J34" s="102"/>
      <c r="K34" s="102">
        <v>2</v>
      </c>
      <c r="L34" s="102">
        <v>4</v>
      </c>
      <c r="M34" s="102">
        <v>30</v>
      </c>
      <c r="N34" s="102"/>
      <c r="O34" s="102">
        <v>16</v>
      </c>
      <c r="P34" s="102">
        <v>128</v>
      </c>
      <c r="Q34" s="102">
        <v>5272</v>
      </c>
      <c r="R34" s="102"/>
      <c r="S34" s="102">
        <v>16</v>
      </c>
      <c r="T34" s="102">
        <v>256</v>
      </c>
      <c r="U34" s="102">
        <v>5272</v>
      </c>
    </row>
    <row r="35" spans="1:21" ht="15" customHeight="1">
      <c r="A35" s="307" t="s">
        <v>81</v>
      </c>
      <c r="B35" s="307" t="s">
        <v>119</v>
      </c>
      <c r="C35" s="144" t="s">
        <v>183</v>
      </c>
      <c r="D35" s="307" t="s">
        <v>107</v>
      </c>
      <c r="E35" s="308" t="s">
        <v>82</v>
      </c>
      <c r="F35" s="306" t="s">
        <v>83</v>
      </c>
      <c r="G35" s="306" t="s">
        <v>91</v>
      </c>
      <c r="H35" s="306" t="s">
        <v>108</v>
      </c>
      <c r="I35" s="102"/>
      <c r="J35" s="102"/>
      <c r="K35" s="152">
        <f>SUM(K18:K34)</f>
        <v>67</v>
      </c>
      <c r="L35" s="152">
        <f t="shared" ref="L35:M35" si="6">SUM(L18:L34)</f>
        <v>434</v>
      </c>
      <c r="M35" s="152">
        <f t="shared" si="6"/>
        <v>7962</v>
      </c>
      <c r="N35" s="102"/>
      <c r="O35" s="102">
        <v>16</v>
      </c>
      <c r="P35" s="102">
        <v>128</v>
      </c>
      <c r="Q35" s="102">
        <v>5272</v>
      </c>
      <c r="R35" s="102"/>
      <c r="S35" s="102">
        <v>16</v>
      </c>
      <c r="T35" s="102">
        <v>256</v>
      </c>
      <c r="U35" s="102">
        <v>5272</v>
      </c>
    </row>
    <row r="36" spans="1:21">
      <c r="A36" s="307"/>
      <c r="B36" s="307"/>
      <c r="C36" s="144" t="s">
        <v>109</v>
      </c>
      <c r="D36" s="307"/>
      <c r="E36" s="308"/>
      <c r="F36" s="306"/>
      <c r="G36" s="306"/>
      <c r="H36" s="306"/>
      <c r="I36" s="102"/>
      <c r="J36" s="102"/>
      <c r="K36" s="102"/>
      <c r="L36" s="102"/>
      <c r="M36" s="102"/>
      <c r="N36" s="102"/>
      <c r="O36" s="102">
        <v>16</v>
      </c>
      <c r="P36" s="102">
        <v>128</v>
      </c>
      <c r="Q36" s="102">
        <v>5272</v>
      </c>
      <c r="R36" s="102"/>
      <c r="S36" s="102">
        <v>16</v>
      </c>
      <c r="T36" s="102">
        <v>256</v>
      </c>
      <c r="U36" s="102">
        <v>5272</v>
      </c>
    </row>
    <row r="37" spans="1:21" ht="15" customHeight="1">
      <c r="A37" s="299" t="s">
        <v>113</v>
      </c>
      <c r="B37" s="146" t="s">
        <v>78</v>
      </c>
      <c r="C37" s="147" t="s">
        <v>77</v>
      </c>
      <c r="D37" s="148">
        <v>1.4383E-2</v>
      </c>
      <c r="E37" s="149">
        <f>$K$35+$O$43</f>
        <v>259</v>
      </c>
      <c r="F37" s="150">
        <f>D37*E37*720</f>
        <v>2682.1418400000002</v>
      </c>
      <c r="G37" s="150">
        <f t="shared" ref="G37:G48" si="7">+F37*12</f>
        <v>32185.702080000003</v>
      </c>
      <c r="H37" s="151">
        <f>G37*1.21</f>
        <v>38944.699516799999</v>
      </c>
      <c r="I37" s="102"/>
      <c r="J37" s="102"/>
      <c r="K37" s="102"/>
      <c r="L37" s="102"/>
      <c r="M37" s="102"/>
      <c r="N37" s="102"/>
      <c r="O37" s="102">
        <v>16</v>
      </c>
      <c r="P37" s="102">
        <v>128</v>
      </c>
      <c r="Q37" s="102">
        <v>5272</v>
      </c>
      <c r="R37" s="102"/>
      <c r="S37" s="102">
        <v>16</v>
      </c>
      <c r="T37" s="102">
        <v>256</v>
      </c>
      <c r="U37" s="102">
        <v>5272</v>
      </c>
    </row>
    <row r="38" spans="1:21">
      <c r="A38" s="299"/>
      <c r="B38" s="146" t="s">
        <v>79</v>
      </c>
      <c r="C38" s="147" t="s">
        <v>77</v>
      </c>
      <c r="D38" s="148">
        <v>6.6670000000000002E-3</v>
      </c>
      <c r="E38" s="149">
        <f>$L$35+$T$43</f>
        <v>2766</v>
      </c>
      <c r="F38" s="150">
        <f t="shared" ref="F38:F39" si="8">D38*E38*720</f>
        <v>13277.46384</v>
      </c>
      <c r="G38" s="150">
        <f t="shared" si="7"/>
        <v>159329.56608000002</v>
      </c>
      <c r="H38" s="151">
        <f t="shared" ref="H38:H48" si="9">G38*1.21</f>
        <v>192788.77495680001</v>
      </c>
      <c r="I38" s="102"/>
      <c r="J38" s="102"/>
      <c r="K38" s="102"/>
      <c r="L38" s="102"/>
      <c r="M38" s="102"/>
      <c r="N38" s="102"/>
      <c r="O38" s="102">
        <v>16</v>
      </c>
      <c r="P38" s="102">
        <v>128</v>
      </c>
      <c r="Q38" s="102">
        <v>5272</v>
      </c>
      <c r="R38" s="102"/>
      <c r="S38" s="102">
        <v>16</v>
      </c>
      <c r="T38" s="102">
        <v>256</v>
      </c>
      <c r="U38" s="102">
        <v>5272</v>
      </c>
    </row>
    <row r="39" spans="1:21">
      <c r="A39" s="299"/>
      <c r="B39" s="146" t="s">
        <v>80</v>
      </c>
      <c r="C39" s="147" t="s">
        <v>77</v>
      </c>
      <c r="D39" s="148">
        <v>1.5100000000000001E-4</v>
      </c>
      <c r="E39" s="149">
        <f>$M$35+$Q$43</f>
        <v>65550</v>
      </c>
      <c r="F39" s="150">
        <f t="shared" si="8"/>
        <v>7126.5960000000014</v>
      </c>
      <c r="G39" s="150">
        <f t="shared" si="7"/>
        <v>85519.152000000016</v>
      </c>
      <c r="H39" s="151">
        <f t="shared" si="9"/>
        <v>103478.17392000002</v>
      </c>
      <c r="I39" s="102"/>
      <c r="J39" s="102"/>
      <c r="K39" s="102"/>
      <c r="L39" s="102"/>
      <c r="M39" s="102"/>
      <c r="N39" s="102"/>
      <c r="O39" s="102">
        <v>16</v>
      </c>
      <c r="P39" s="102">
        <v>128</v>
      </c>
      <c r="Q39" s="102">
        <v>5272</v>
      </c>
      <c r="R39" s="102"/>
      <c r="S39" s="102">
        <v>16</v>
      </c>
      <c r="T39" s="102">
        <v>256</v>
      </c>
      <c r="U39" s="102">
        <v>5272</v>
      </c>
    </row>
    <row r="40" spans="1:21">
      <c r="A40" s="154" t="s">
        <v>114</v>
      </c>
      <c r="B40" s="146" t="s">
        <v>86</v>
      </c>
      <c r="C40" s="147" t="s">
        <v>87</v>
      </c>
      <c r="D40" s="148">
        <v>9.7240800000000007</v>
      </c>
      <c r="E40" s="149">
        <v>23</v>
      </c>
      <c r="F40" s="155">
        <f>D40*E40</f>
        <v>223.65384</v>
      </c>
      <c r="G40" s="150">
        <f t="shared" si="7"/>
        <v>2683.8460800000003</v>
      </c>
      <c r="H40" s="151">
        <f t="shared" si="9"/>
        <v>3247.4537568000001</v>
      </c>
      <c r="I40" s="102"/>
      <c r="J40" s="102"/>
      <c r="K40" s="102"/>
      <c r="L40" s="102"/>
      <c r="M40" s="102"/>
      <c r="N40" s="102"/>
      <c r="O40" s="102">
        <v>4</v>
      </c>
      <c r="P40" s="102">
        <v>8</v>
      </c>
      <c r="Q40">
        <v>13292</v>
      </c>
      <c r="R40" s="102"/>
      <c r="S40" s="102">
        <v>4</v>
      </c>
      <c r="T40" s="102">
        <v>8</v>
      </c>
      <c r="U40">
        <v>13292</v>
      </c>
    </row>
    <row r="41" spans="1:21">
      <c r="A41" s="154" t="s">
        <v>85</v>
      </c>
      <c r="B41" s="146" t="s">
        <v>115</v>
      </c>
      <c r="C41" s="147" t="s">
        <v>87</v>
      </c>
      <c r="D41" s="148">
        <v>2.7E-2</v>
      </c>
      <c r="E41" s="149">
        <v>50</v>
      </c>
      <c r="F41" s="155">
        <f t="shared" ref="F41:F47" si="10">D41*E41</f>
        <v>1.35</v>
      </c>
      <c r="G41" s="150">
        <f t="shared" si="7"/>
        <v>16.200000000000003</v>
      </c>
      <c r="H41" s="151">
        <f t="shared" si="9"/>
        <v>19.602000000000004</v>
      </c>
      <c r="I41" s="102"/>
      <c r="J41" s="102"/>
      <c r="K41" s="102"/>
      <c r="L41" s="102"/>
      <c r="M41" s="102"/>
      <c r="N41" s="102"/>
      <c r="O41" s="102">
        <v>2</v>
      </c>
      <c r="P41" s="102">
        <v>4</v>
      </c>
      <c r="Q41" s="102">
        <v>30</v>
      </c>
      <c r="R41" s="102"/>
      <c r="S41" s="102">
        <v>2</v>
      </c>
      <c r="T41" s="102">
        <v>4</v>
      </c>
      <c r="U41" s="102">
        <v>30</v>
      </c>
    </row>
    <row r="42" spans="1:21">
      <c r="A42" s="157"/>
      <c r="B42" s="146" t="s">
        <v>92</v>
      </c>
      <c r="C42" s="147" t="s">
        <v>87</v>
      </c>
      <c r="D42" s="148">
        <v>8.6999999999999994E-2</v>
      </c>
      <c r="E42" s="149">
        <v>791</v>
      </c>
      <c r="F42" s="155">
        <f t="shared" si="10"/>
        <v>68.816999999999993</v>
      </c>
      <c r="G42" s="150">
        <f t="shared" si="7"/>
        <v>825.80399999999986</v>
      </c>
      <c r="H42" s="151">
        <f t="shared" si="9"/>
        <v>999.22283999999979</v>
      </c>
      <c r="I42" s="102"/>
      <c r="J42" s="102"/>
      <c r="K42" s="102"/>
      <c r="L42" s="102"/>
      <c r="M42" s="102"/>
      <c r="N42" s="102"/>
      <c r="O42" s="102">
        <v>2</v>
      </c>
      <c r="P42" s="102">
        <v>4</v>
      </c>
      <c r="Q42" s="102">
        <v>30</v>
      </c>
      <c r="R42" s="102"/>
      <c r="S42" s="102">
        <v>2</v>
      </c>
      <c r="T42" s="102">
        <v>4</v>
      </c>
      <c r="U42" s="102">
        <v>30</v>
      </c>
    </row>
    <row r="43" spans="1:21">
      <c r="A43" s="157"/>
      <c r="B43" s="146" t="s">
        <v>116</v>
      </c>
      <c r="C43" s="147" t="s">
        <v>87</v>
      </c>
      <c r="D43" s="148">
        <v>0.18124999999999999</v>
      </c>
      <c r="E43" s="149"/>
      <c r="F43" s="155">
        <f t="shared" si="10"/>
        <v>0</v>
      </c>
      <c r="G43" s="150">
        <f t="shared" si="7"/>
        <v>0</v>
      </c>
      <c r="H43" s="151">
        <f t="shared" si="9"/>
        <v>0</v>
      </c>
      <c r="I43" s="102"/>
      <c r="J43" s="102"/>
      <c r="K43" s="102"/>
      <c r="L43" s="102"/>
      <c r="M43" s="102"/>
      <c r="N43" s="102"/>
      <c r="O43" s="152">
        <f>SUM(O18:O42)</f>
        <v>192</v>
      </c>
      <c r="P43" s="152">
        <f t="shared" ref="P43:Q43" si="11">SUM(P18:P42)</f>
        <v>1308</v>
      </c>
      <c r="Q43" s="152">
        <f t="shared" si="11"/>
        <v>57588</v>
      </c>
      <c r="R43" s="102"/>
      <c r="S43" s="152">
        <f>SUM(S18:S42)</f>
        <v>192</v>
      </c>
      <c r="T43" s="152">
        <f t="shared" ref="T43:U43" si="12">SUM(T18:T42)</f>
        <v>2332</v>
      </c>
      <c r="U43" s="152">
        <f t="shared" si="12"/>
        <v>57588</v>
      </c>
    </row>
    <row r="44" spans="1:21">
      <c r="A44" s="157"/>
      <c r="B44" s="146" t="s">
        <v>139</v>
      </c>
      <c r="C44" s="147" t="s">
        <v>87</v>
      </c>
      <c r="D44" s="148">
        <v>0.32100000000000001</v>
      </c>
      <c r="E44" s="149">
        <v>14762</v>
      </c>
      <c r="F44" s="155">
        <f t="shared" si="10"/>
        <v>4738.6019999999999</v>
      </c>
      <c r="G44" s="150">
        <f t="shared" si="7"/>
        <v>56863.224000000002</v>
      </c>
      <c r="H44" s="151">
        <f t="shared" si="9"/>
        <v>68804.501040000003</v>
      </c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</row>
    <row r="45" spans="1:21">
      <c r="A45" s="299" t="s">
        <v>117</v>
      </c>
      <c r="B45" s="146" t="s">
        <v>88</v>
      </c>
      <c r="C45" s="147" t="s">
        <v>87</v>
      </c>
      <c r="D45" s="148">
        <v>132</v>
      </c>
      <c r="E45" s="149">
        <v>2</v>
      </c>
      <c r="F45" s="155">
        <f t="shared" si="10"/>
        <v>264</v>
      </c>
      <c r="G45" s="150">
        <f t="shared" si="7"/>
        <v>3168</v>
      </c>
      <c r="H45" s="151">
        <f t="shared" si="9"/>
        <v>3833.2799999999997</v>
      </c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</row>
    <row r="46" spans="1:21">
      <c r="A46" s="299"/>
      <c r="B46" s="146" t="s">
        <v>118</v>
      </c>
      <c r="C46" s="147" t="s">
        <v>87</v>
      </c>
      <c r="D46" s="148">
        <v>215.82731999999999</v>
      </c>
      <c r="E46" s="149">
        <v>1</v>
      </c>
      <c r="F46" s="155">
        <f t="shared" si="10"/>
        <v>215.82731999999999</v>
      </c>
      <c r="G46" s="150">
        <f t="shared" si="7"/>
        <v>2589.9278399999998</v>
      </c>
      <c r="H46" s="151">
        <f t="shared" si="9"/>
        <v>3133.8126863999996</v>
      </c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</row>
    <row r="47" spans="1:21">
      <c r="A47" s="299"/>
      <c r="B47" s="146" t="s">
        <v>89</v>
      </c>
      <c r="C47" s="147" t="s">
        <v>87</v>
      </c>
      <c r="D47" s="148">
        <v>780</v>
      </c>
      <c r="E47" s="149">
        <v>1</v>
      </c>
      <c r="F47" s="155">
        <f t="shared" si="10"/>
        <v>780</v>
      </c>
      <c r="G47" s="150">
        <f t="shared" si="7"/>
        <v>9360</v>
      </c>
      <c r="H47" s="151">
        <f t="shared" si="9"/>
        <v>11325.6</v>
      </c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</row>
    <row r="48" spans="1:21">
      <c r="A48" s="158"/>
      <c r="B48" s="159" t="s">
        <v>12</v>
      </c>
      <c r="C48" s="3"/>
      <c r="D48" s="3"/>
      <c r="E48" s="3"/>
      <c r="F48" s="284">
        <f>SUM(F37:F47)</f>
        <v>29378.451839999998</v>
      </c>
      <c r="G48" s="160">
        <f t="shared" si="7"/>
        <v>352541.42207999999</v>
      </c>
      <c r="H48" s="160">
        <f t="shared" si="9"/>
        <v>426575.12071679998</v>
      </c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</row>
    <row r="51" spans="1:6">
      <c r="A51" s="229"/>
      <c r="B51" s="215" t="s">
        <v>152</v>
      </c>
      <c r="C51" s="215"/>
      <c r="D51" s="215"/>
      <c r="E51" s="215" t="s">
        <v>156</v>
      </c>
      <c r="F51" s="215">
        <v>2026</v>
      </c>
    </row>
    <row r="52" spans="1:6">
      <c r="A52" s="230" t="s">
        <v>120</v>
      </c>
      <c r="B52" s="108" t="s">
        <v>155</v>
      </c>
      <c r="C52" s="108" t="s">
        <v>153</v>
      </c>
      <c r="D52" s="231">
        <v>6000</v>
      </c>
      <c r="E52" s="235">
        <f>D52</f>
        <v>6000</v>
      </c>
    </row>
    <row r="53" spans="1:6">
      <c r="A53" s="232"/>
      <c r="B53" s="233" t="s">
        <v>151</v>
      </c>
      <c r="C53" s="233" t="s">
        <v>87</v>
      </c>
      <c r="D53" s="234">
        <v>500</v>
      </c>
      <c r="E53" s="235">
        <f>D53*9</f>
        <v>4500</v>
      </c>
      <c r="F53" s="228">
        <f>D53*12</f>
        <v>6000</v>
      </c>
    </row>
    <row r="54" spans="1:6">
      <c r="D54" s="275" t="s">
        <v>12</v>
      </c>
      <c r="E54" s="276">
        <f>E52+E53</f>
        <v>10500</v>
      </c>
      <c r="F54" s="276">
        <f>F52+F53</f>
        <v>6000</v>
      </c>
    </row>
    <row r="56" spans="1:6">
      <c r="A56" s="115"/>
      <c r="B56" s="273" t="s">
        <v>152</v>
      </c>
      <c r="C56" s="273"/>
      <c r="D56" s="273"/>
      <c r="E56" s="273" t="s">
        <v>156</v>
      </c>
      <c r="F56" s="273">
        <v>2026</v>
      </c>
    </row>
    <row r="57" spans="1:6">
      <c r="A57" s="285" t="s">
        <v>181</v>
      </c>
      <c r="B57" s="115" t="s">
        <v>179</v>
      </c>
      <c r="C57" s="115"/>
      <c r="D57" s="151"/>
      <c r="E57" s="286">
        <f>F57*9/12</f>
        <v>15086.25</v>
      </c>
      <c r="F57" s="287">
        <v>20115</v>
      </c>
    </row>
  </sheetData>
  <mergeCells count="37">
    <mergeCell ref="A2:B2"/>
    <mergeCell ref="A14:I14"/>
    <mergeCell ref="I3:I6"/>
    <mergeCell ref="C3:E3"/>
    <mergeCell ref="C4:E4"/>
    <mergeCell ref="C5:E5"/>
    <mergeCell ref="C6:E6"/>
    <mergeCell ref="B3:B6"/>
    <mergeCell ref="B11:B12"/>
    <mergeCell ref="C2:E2"/>
    <mergeCell ref="C8:E8"/>
    <mergeCell ref="I17:I18"/>
    <mergeCell ref="A25:A27"/>
    <mergeCell ref="A30:A31"/>
    <mergeCell ref="A35:A36"/>
    <mergeCell ref="B35:B36"/>
    <mergeCell ref="D35:D36"/>
    <mergeCell ref="E35:E36"/>
    <mergeCell ref="F35:F36"/>
    <mergeCell ref="G35:G36"/>
    <mergeCell ref="H35:H36"/>
    <mergeCell ref="A37:A39"/>
    <mergeCell ref="A45:A47"/>
    <mergeCell ref="G3:G6"/>
    <mergeCell ref="H3:H6"/>
    <mergeCell ref="A3:A7"/>
    <mergeCell ref="H15:H16"/>
    <mergeCell ref="A17:A19"/>
    <mergeCell ref="A15:A16"/>
    <mergeCell ref="B15:B16"/>
    <mergeCell ref="D15:D16"/>
    <mergeCell ref="E15:E16"/>
    <mergeCell ref="F15:F16"/>
    <mergeCell ref="G15:G16"/>
    <mergeCell ref="F3:F6"/>
    <mergeCell ref="C7:E7"/>
    <mergeCell ref="C9:E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8"/>
  <sheetViews>
    <sheetView showGridLines="0" zoomScale="115" zoomScaleNormal="115" workbookViewId="0">
      <selection activeCell="B15" sqref="B15:F22"/>
    </sheetView>
  </sheetViews>
  <sheetFormatPr defaultColWidth="10.77734375" defaultRowHeight="13.8"/>
  <cols>
    <col min="1" max="1" width="28.44140625" style="64" customWidth="1"/>
    <col min="2" max="2" width="7.21875" style="64" customWidth="1"/>
    <col min="3" max="3" width="15.77734375" style="64" customWidth="1"/>
    <col min="4" max="4" width="16.21875" style="64" customWidth="1"/>
    <col min="5" max="5" width="18.21875" style="64" customWidth="1"/>
    <col min="6" max="6" width="18.44140625" style="64" customWidth="1"/>
    <col min="7" max="7" width="15.77734375" style="64" customWidth="1"/>
    <col min="8" max="8" width="14.21875" style="64" bestFit="1" customWidth="1"/>
    <col min="9" max="9" width="14" style="64" bestFit="1" customWidth="1"/>
    <col min="10" max="10" width="12.5546875" style="64" bestFit="1" customWidth="1"/>
    <col min="11" max="11" width="18.5546875" style="64" customWidth="1"/>
    <col min="12" max="12" width="14" style="64" bestFit="1" customWidth="1"/>
    <col min="13" max="14" width="12.5546875" style="64" customWidth="1"/>
    <col min="15" max="15" width="15.5546875" style="64" customWidth="1"/>
    <col min="16" max="16" width="14.5546875" style="64" customWidth="1"/>
    <col min="17" max="17" width="18.21875" style="64" customWidth="1"/>
    <col min="18" max="16384" width="10.77734375" style="64"/>
  </cols>
  <sheetData>
    <row r="2" spans="1:17">
      <c r="A2" s="87" t="s">
        <v>50</v>
      </c>
      <c r="B2" s="87"/>
    </row>
    <row r="4" spans="1:17">
      <c r="A4" s="86"/>
      <c r="B4" s="86"/>
      <c r="C4" s="216"/>
      <c r="D4" s="217">
        <v>2025</v>
      </c>
      <c r="E4" s="218"/>
      <c r="F4" s="216"/>
      <c r="G4" s="217">
        <v>2026</v>
      </c>
      <c r="H4" s="218"/>
    </row>
    <row r="5" spans="1:17">
      <c r="A5" s="85" t="s">
        <v>49</v>
      </c>
      <c r="B5" s="226" t="s">
        <v>94</v>
      </c>
      <c r="C5" s="84" t="s">
        <v>48</v>
      </c>
      <c r="D5" s="84" t="s">
        <v>47</v>
      </c>
      <c r="E5" s="84" t="s">
        <v>38</v>
      </c>
      <c r="F5" s="84" t="s">
        <v>48</v>
      </c>
      <c r="G5" s="84" t="s">
        <v>47</v>
      </c>
      <c r="H5" s="84" t="s">
        <v>38</v>
      </c>
      <c r="I5" s="84" t="s">
        <v>46</v>
      </c>
      <c r="J5" s="84" t="s">
        <v>45</v>
      </c>
      <c r="K5" s="84" t="s">
        <v>44</v>
      </c>
    </row>
    <row r="6" spans="1:17">
      <c r="A6" s="83" t="s">
        <v>125</v>
      </c>
      <c r="B6" s="227" t="s">
        <v>95</v>
      </c>
      <c r="C6" s="81">
        <f>ROUND(E6/1.21,2)</f>
        <v>245753.31</v>
      </c>
      <c r="D6" s="81">
        <f>E6-C6</f>
        <v>51608.19</v>
      </c>
      <c r="E6" s="81">
        <f>'Càlcul pressupost '!F6</f>
        <v>297361.5</v>
      </c>
      <c r="F6" s="81">
        <f>ROUND(H6/1.21,2)</f>
        <v>378656.42</v>
      </c>
      <c r="G6" s="81">
        <f>H6-F6</f>
        <v>79517.850000000035</v>
      </c>
      <c r="H6" s="81">
        <f>'Càlcul pressupost '!G6</f>
        <v>458174.27</v>
      </c>
      <c r="I6" s="81">
        <f t="shared" ref="I6:I11" si="0">ROUND(K6/1.21,2)</f>
        <v>624409.73</v>
      </c>
      <c r="J6" s="81">
        <f>+D6+G6</f>
        <v>131126.04000000004</v>
      </c>
      <c r="K6" s="81">
        <f>+E6+H6</f>
        <v>755535.77</v>
      </c>
    </row>
    <row r="7" spans="1:17">
      <c r="A7" s="83" t="s">
        <v>126</v>
      </c>
      <c r="B7" s="227" t="s">
        <v>95</v>
      </c>
      <c r="C7" s="81">
        <f t="shared" ref="C7:C11" si="1">ROUND(E7/1.21,2)</f>
        <v>33357.019999999997</v>
      </c>
      <c r="D7" s="81">
        <f t="shared" ref="D7:D11" si="2">E7-C7</f>
        <v>7004.9800000000032</v>
      </c>
      <c r="E7" s="81">
        <f>'Càlcul pressupost '!F7</f>
        <v>40362</v>
      </c>
      <c r="F7" s="81">
        <f t="shared" ref="F7:F11" si="3">ROUND(H7/1.21,2)</f>
        <v>43086.16</v>
      </c>
      <c r="G7" s="81">
        <f t="shared" ref="G7:G11" si="4">H7-F7</f>
        <v>9048.0899999999965</v>
      </c>
      <c r="H7" s="81">
        <f>'Càlcul pressupost '!G7</f>
        <v>52134.25</v>
      </c>
      <c r="I7" s="81">
        <f t="shared" si="0"/>
        <v>76443.179999999993</v>
      </c>
      <c r="J7" s="81">
        <f t="shared" ref="J7:J11" si="5">+D7+G7</f>
        <v>16053.07</v>
      </c>
      <c r="K7" s="81">
        <f t="shared" ref="K7:K11" si="6">+E7+H7</f>
        <v>92496.25</v>
      </c>
    </row>
    <row r="8" spans="1:17">
      <c r="A8" s="82" t="s">
        <v>147</v>
      </c>
      <c r="B8" s="227" t="s">
        <v>132</v>
      </c>
      <c r="C8" s="81">
        <f t="shared" si="1"/>
        <v>224232.73</v>
      </c>
      <c r="D8" s="81">
        <f t="shared" si="2"/>
        <v>47088.869999999966</v>
      </c>
      <c r="E8" s="81">
        <f>'Càlcul pressupost '!F8</f>
        <v>271321.59999999998</v>
      </c>
      <c r="F8" s="81">
        <f t="shared" si="3"/>
        <v>224232.73</v>
      </c>
      <c r="G8" s="81">
        <f t="shared" si="4"/>
        <v>47088.869999999966</v>
      </c>
      <c r="H8" s="81">
        <f>'Càlcul pressupost '!G8</f>
        <v>271321.59999999998</v>
      </c>
      <c r="I8" s="81">
        <f t="shared" si="0"/>
        <v>448465.45</v>
      </c>
      <c r="J8" s="81">
        <f t="shared" si="5"/>
        <v>94177.739999999932</v>
      </c>
      <c r="K8" s="81">
        <f t="shared" si="6"/>
        <v>542643.19999999995</v>
      </c>
    </row>
    <row r="9" spans="1:17">
      <c r="A9" s="82" t="s">
        <v>127</v>
      </c>
      <c r="B9" s="227" t="s">
        <v>95</v>
      </c>
      <c r="C9" s="81">
        <f t="shared" si="1"/>
        <v>105136.36</v>
      </c>
      <c r="D9" s="81">
        <f t="shared" si="2"/>
        <v>22078.639999999999</v>
      </c>
      <c r="E9" s="81">
        <f>'Càlcul pressupost '!F9</f>
        <v>127215</v>
      </c>
      <c r="F9" s="81">
        <f t="shared" si="3"/>
        <v>140181.82</v>
      </c>
      <c r="G9" s="81">
        <f t="shared" si="4"/>
        <v>29438.179999999993</v>
      </c>
      <c r="H9" s="81">
        <f>'Càlcul pressupost '!G9</f>
        <v>169620</v>
      </c>
      <c r="I9" s="81">
        <f t="shared" si="0"/>
        <v>245318.18</v>
      </c>
      <c r="J9" s="81">
        <f t="shared" ref="J9" si="7">+D9+G9</f>
        <v>51516.819999999992</v>
      </c>
      <c r="K9" s="81">
        <f t="shared" ref="K9" si="8">+E9+H9</f>
        <v>296835</v>
      </c>
    </row>
    <row r="10" spans="1:17">
      <c r="A10" s="82" t="s">
        <v>128</v>
      </c>
      <c r="B10" s="227" t="s">
        <v>95</v>
      </c>
      <c r="C10" s="81">
        <f t="shared" si="1"/>
        <v>31150.41</v>
      </c>
      <c r="D10" s="81">
        <f t="shared" si="2"/>
        <v>6541.59</v>
      </c>
      <c r="E10" s="81">
        <f>'Càlcul pressupost '!F10</f>
        <v>37692</v>
      </c>
      <c r="F10" s="81">
        <f t="shared" si="3"/>
        <v>41533.879999999997</v>
      </c>
      <c r="G10" s="81">
        <f t="shared" si="4"/>
        <v>8722.1200000000026</v>
      </c>
      <c r="H10" s="81">
        <f>'Càlcul pressupost '!G10</f>
        <v>50256</v>
      </c>
      <c r="I10" s="81">
        <f t="shared" si="0"/>
        <v>72684.3</v>
      </c>
      <c r="J10" s="81">
        <f t="shared" si="5"/>
        <v>15263.710000000003</v>
      </c>
      <c r="K10" s="81">
        <f t="shared" si="6"/>
        <v>87948</v>
      </c>
    </row>
    <row r="11" spans="1:17">
      <c r="A11" s="82" t="s">
        <v>129</v>
      </c>
      <c r="B11" s="227" t="s">
        <v>95</v>
      </c>
      <c r="C11" s="81">
        <f t="shared" si="1"/>
        <v>0</v>
      </c>
      <c r="D11" s="81">
        <f t="shared" si="2"/>
        <v>0</v>
      </c>
      <c r="E11" s="81">
        <f>'Càlcul pressupost '!F11</f>
        <v>0</v>
      </c>
      <c r="F11" s="81">
        <f t="shared" si="3"/>
        <v>14400</v>
      </c>
      <c r="G11" s="81">
        <f t="shared" si="4"/>
        <v>3024</v>
      </c>
      <c r="H11" s="81">
        <f>'Càlcul pressupost '!G11</f>
        <v>17424</v>
      </c>
      <c r="I11" s="81">
        <f t="shared" si="0"/>
        <v>14400</v>
      </c>
      <c r="J11" s="81">
        <f t="shared" si="5"/>
        <v>3024</v>
      </c>
      <c r="K11" s="81">
        <f t="shared" si="6"/>
        <v>17424</v>
      </c>
    </row>
    <row r="12" spans="1:17">
      <c r="C12" s="80">
        <f t="shared" ref="C12:K12" si="9">SUM(C6:C11)</f>
        <v>639629.83000000007</v>
      </c>
      <c r="D12" s="80">
        <f t="shared" si="9"/>
        <v>134322.26999999999</v>
      </c>
      <c r="E12" s="80">
        <f t="shared" si="9"/>
        <v>773952.1</v>
      </c>
      <c r="F12" s="80">
        <f t="shared" si="9"/>
        <v>842091.00999999989</v>
      </c>
      <c r="G12" s="80">
        <f t="shared" si="9"/>
        <v>176839.11</v>
      </c>
      <c r="H12" s="80">
        <f t="shared" si="9"/>
        <v>1018930.12</v>
      </c>
      <c r="I12" s="80">
        <f t="shared" si="9"/>
        <v>1481720.8399999999</v>
      </c>
      <c r="J12" s="80">
        <f>K12-I12</f>
        <v>311161.38000000012</v>
      </c>
      <c r="K12" s="80">
        <f t="shared" si="9"/>
        <v>1792882.22</v>
      </c>
    </row>
    <row r="13" spans="1:17">
      <c r="Q13" s="65"/>
    </row>
    <row r="14" spans="1:17" ht="14.4" thickBot="1">
      <c r="A14" s="73" t="s">
        <v>43</v>
      </c>
      <c r="B14" s="73"/>
    </row>
    <row r="15" spans="1:17" ht="16.5" customHeight="1" thickBot="1">
      <c r="A15" s="220"/>
      <c r="B15" s="222" t="s">
        <v>41</v>
      </c>
      <c r="C15" s="187" t="s">
        <v>94</v>
      </c>
      <c r="D15" s="187" t="s">
        <v>40</v>
      </c>
      <c r="E15" s="187" t="s">
        <v>39</v>
      </c>
      <c r="F15" s="187" t="s">
        <v>38</v>
      </c>
    </row>
    <row r="16" spans="1:17" ht="16.5" customHeight="1" thickBot="1">
      <c r="A16" s="221"/>
      <c r="B16" s="223">
        <v>2025</v>
      </c>
      <c r="C16" s="188" t="s">
        <v>95</v>
      </c>
      <c r="D16" s="212">
        <f>C6+C7+C9+C10+C11</f>
        <v>415397.1</v>
      </c>
      <c r="E16" s="209">
        <f>D6+D7+D9+D10+D11</f>
        <v>87233.4</v>
      </c>
      <c r="F16" s="209">
        <f>D16+E16</f>
        <v>502630.5</v>
      </c>
    </row>
    <row r="17" spans="1:16" ht="16.5" customHeight="1" thickBot="1">
      <c r="A17" s="221"/>
      <c r="B17" s="223">
        <v>2026</v>
      </c>
      <c r="C17" s="188" t="s">
        <v>95</v>
      </c>
      <c r="D17" s="209">
        <f>F6+F7+F9+F10+F11</f>
        <v>617858.27999999991</v>
      </c>
      <c r="E17" s="209">
        <f>G6+G7+G9+G10+G11</f>
        <v>129750.24000000002</v>
      </c>
      <c r="F17" s="209">
        <f>D17+E17</f>
        <v>747608.5199999999</v>
      </c>
    </row>
    <row r="18" spans="1:16" ht="16.5" customHeight="1" thickBot="1">
      <c r="A18" s="221"/>
      <c r="B18" s="224" t="s">
        <v>12</v>
      </c>
      <c r="C18" s="189" t="s">
        <v>95</v>
      </c>
      <c r="D18" s="210">
        <f>D16+D17</f>
        <v>1033255.3799999999</v>
      </c>
      <c r="E18" s="210">
        <f>E16+E17</f>
        <v>216983.64</v>
      </c>
      <c r="F18" s="210">
        <f>D18+E18</f>
        <v>1250239.02</v>
      </c>
      <c r="G18" s="143"/>
      <c r="H18" s="116"/>
      <c r="I18" s="116"/>
      <c r="J18" s="116"/>
      <c r="K18" s="116"/>
      <c r="L18" s="116"/>
      <c r="M18" s="116"/>
      <c r="N18" s="116"/>
      <c r="O18" s="116"/>
      <c r="P18" s="116"/>
    </row>
    <row r="19" spans="1:16" ht="16.5" customHeight="1" thickBot="1">
      <c r="A19" s="221"/>
      <c r="B19" s="223">
        <v>2025</v>
      </c>
      <c r="C19" s="188" t="s">
        <v>132</v>
      </c>
      <c r="D19" s="209">
        <f>C8</f>
        <v>224232.73</v>
      </c>
      <c r="E19" s="209">
        <f>D8</f>
        <v>47088.869999999966</v>
      </c>
      <c r="F19" s="209">
        <f>D19+E19</f>
        <v>271321.59999999998</v>
      </c>
      <c r="G19" s="143"/>
      <c r="H19" s="116"/>
      <c r="I19" s="116"/>
      <c r="J19" s="116"/>
      <c r="K19" s="116"/>
      <c r="L19" s="116"/>
      <c r="M19" s="116"/>
      <c r="N19" s="116"/>
      <c r="O19" s="116"/>
      <c r="P19" s="116"/>
    </row>
    <row r="20" spans="1:16" ht="16.5" customHeight="1" thickBot="1">
      <c r="A20" s="221"/>
      <c r="B20" s="223">
        <v>2026</v>
      </c>
      <c r="C20" s="188" t="s">
        <v>132</v>
      </c>
      <c r="D20" s="209">
        <f>F8</f>
        <v>224232.73</v>
      </c>
      <c r="E20" s="209">
        <f>G8</f>
        <v>47088.869999999966</v>
      </c>
      <c r="F20" s="209">
        <f>D20+E20</f>
        <v>271321.59999999998</v>
      </c>
      <c r="G20" s="143"/>
      <c r="H20" s="116"/>
      <c r="I20" s="116"/>
      <c r="J20" s="116"/>
      <c r="K20" s="116"/>
      <c r="L20" s="116"/>
      <c r="M20" s="116"/>
      <c r="N20" s="116"/>
      <c r="O20" s="116"/>
      <c r="P20" s="116"/>
    </row>
    <row r="21" spans="1:16" ht="16.5" customHeight="1" thickBot="1">
      <c r="A21" s="221"/>
      <c r="B21" s="224" t="s">
        <v>12</v>
      </c>
      <c r="C21" s="189" t="s">
        <v>132</v>
      </c>
      <c r="D21" s="210">
        <f>D19+D20</f>
        <v>448465.46</v>
      </c>
      <c r="E21" s="210">
        <f>E19+E20</f>
        <v>94177.739999999932</v>
      </c>
      <c r="F21" s="210">
        <f>F19+F20</f>
        <v>542643.19999999995</v>
      </c>
      <c r="G21" s="143"/>
      <c r="H21" s="116"/>
      <c r="I21" s="116"/>
      <c r="J21" s="116"/>
      <c r="K21" s="116"/>
      <c r="L21" s="116"/>
      <c r="M21" s="116"/>
      <c r="N21" s="116"/>
      <c r="O21" s="116"/>
      <c r="P21" s="116"/>
    </row>
    <row r="22" spans="1:16" ht="16.5" customHeight="1" thickBot="1">
      <c r="A22" s="221"/>
      <c r="B22" s="225" t="s">
        <v>42</v>
      </c>
      <c r="C22" s="188"/>
      <c r="D22" s="211">
        <f>D18+D21</f>
        <v>1481720.8399999999</v>
      </c>
      <c r="E22" s="211">
        <f>E18+E21</f>
        <v>311161.37999999995</v>
      </c>
      <c r="F22" s="211">
        <f>F18+F21</f>
        <v>1792882.22</v>
      </c>
      <c r="G22" s="143"/>
      <c r="H22" s="116"/>
      <c r="I22" s="116"/>
      <c r="J22" s="116"/>
      <c r="K22" s="116"/>
      <c r="L22" s="116"/>
      <c r="M22" s="116"/>
      <c r="N22" s="116"/>
      <c r="O22" s="116"/>
      <c r="P22" s="116"/>
    </row>
    <row r="23" spans="1:16" ht="21.75" customHeight="1">
      <c r="A23" s="73" t="s">
        <v>37</v>
      </c>
      <c r="B23" s="73"/>
      <c r="F23" s="142"/>
      <c r="G23" s="143"/>
      <c r="H23" s="116"/>
      <c r="I23" s="116"/>
      <c r="J23" s="116"/>
      <c r="K23" s="116"/>
      <c r="L23" s="116"/>
      <c r="M23" s="116"/>
      <c r="N23" s="116"/>
      <c r="O23" s="116"/>
      <c r="P23" s="116"/>
    </row>
    <row r="24" spans="1:16" ht="35.700000000000003" customHeight="1">
      <c r="A24" s="79" t="s">
        <v>36</v>
      </c>
      <c r="B24" s="79" t="s">
        <v>150</v>
      </c>
      <c r="C24" s="79" t="s">
        <v>35</v>
      </c>
      <c r="D24" s="79" t="s">
        <v>34</v>
      </c>
      <c r="E24" s="79" t="s">
        <v>148</v>
      </c>
      <c r="F24" s="79" t="s">
        <v>33</v>
      </c>
      <c r="G24" s="79" t="s">
        <v>149</v>
      </c>
      <c r="H24" s="116"/>
      <c r="I24" s="116"/>
      <c r="J24" s="116"/>
      <c r="K24" s="116"/>
      <c r="L24" s="116"/>
      <c r="M24" s="116"/>
      <c r="N24" s="116"/>
      <c r="O24" s="116"/>
      <c r="P24" s="116"/>
    </row>
    <row r="25" spans="1:16" ht="21.75" customHeight="1">
      <c r="A25" s="190" t="s">
        <v>133</v>
      </c>
      <c r="B25" s="190"/>
      <c r="C25" s="78">
        <f>K12</f>
        <v>1792882.22</v>
      </c>
      <c r="D25" s="191">
        <f>20%-(D26+D27)</f>
        <v>0.12000000000000001</v>
      </c>
      <c r="E25" s="66">
        <f>+ROUND(C25*D25,2)</f>
        <v>215145.87</v>
      </c>
      <c r="F25" s="191">
        <f>20%-(F26+F27)</f>
        <v>0.11028157019706515</v>
      </c>
      <c r="G25" s="66">
        <f>+ROUND(C25*F25,2)</f>
        <v>197721.87</v>
      </c>
      <c r="H25" s="116"/>
      <c r="I25" s="116"/>
      <c r="J25" s="116"/>
      <c r="K25" s="116"/>
      <c r="L25" s="116"/>
      <c r="M25" s="116"/>
      <c r="N25" s="116"/>
      <c r="O25" s="116"/>
      <c r="P25" s="116"/>
    </row>
    <row r="26" spans="1:16" ht="30" customHeight="1">
      <c r="A26" s="190" t="s">
        <v>134</v>
      </c>
      <c r="B26" s="190"/>
      <c r="C26" s="78">
        <f>K12</f>
        <v>1792882.22</v>
      </c>
      <c r="D26" s="191">
        <v>0.08</v>
      </c>
      <c r="E26" s="66">
        <f>+ROUND(C26*D26,2)</f>
        <v>143430.57999999999</v>
      </c>
      <c r="F26" s="191">
        <v>0.08</v>
      </c>
      <c r="G26" s="66">
        <f>+ROUND(C26*F26,2)</f>
        <v>143430.57999999999</v>
      </c>
      <c r="H26" s="116"/>
      <c r="I26" s="116"/>
      <c r="J26" s="116"/>
      <c r="K26" s="116"/>
      <c r="L26" s="116"/>
      <c r="M26" s="116"/>
      <c r="N26" s="116"/>
      <c r="O26" s="116"/>
      <c r="P26" s="116"/>
    </row>
    <row r="27" spans="1:16" ht="44.25" customHeight="1">
      <c r="A27" s="190" t="s">
        <v>141</v>
      </c>
      <c r="B27" s="190"/>
      <c r="C27" s="78">
        <f>K12</f>
        <v>1792882.22</v>
      </c>
      <c r="D27" s="191">
        <v>0</v>
      </c>
      <c r="E27" s="66">
        <f>+ROUND(C27*D27,2)</f>
        <v>0</v>
      </c>
      <c r="F27" s="191">
        <f>$H$11/$K$12</f>
        <v>9.7184298029348529E-3</v>
      </c>
      <c r="G27" s="66">
        <f>+ROUND(C27*F27,2)</f>
        <v>17424</v>
      </c>
      <c r="H27" s="116"/>
      <c r="I27" s="116"/>
      <c r="J27" s="116"/>
      <c r="K27" s="116"/>
      <c r="L27" s="116"/>
      <c r="M27" s="116"/>
      <c r="N27" s="116"/>
      <c r="O27" s="116"/>
      <c r="P27" s="116"/>
    </row>
    <row r="28" spans="1:16" ht="21.75" customHeight="1">
      <c r="A28" s="77" t="s">
        <v>32</v>
      </c>
      <c r="B28" s="77"/>
      <c r="C28" s="76">
        <f>SUM(C27:C27)</f>
        <v>1792882.22</v>
      </c>
      <c r="D28" s="192">
        <f>SUM(D25:D27)</f>
        <v>0.2</v>
      </c>
      <c r="E28" s="67">
        <f>SUM(E25:E27)</f>
        <v>358576.44999999995</v>
      </c>
      <c r="F28" s="192">
        <f>SUM(F25:F27)</f>
        <v>0.2</v>
      </c>
      <c r="G28" s="67">
        <f>SUM(G25:G27)</f>
        <v>358576.44999999995</v>
      </c>
      <c r="H28" s="116"/>
      <c r="I28" s="116"/>
      <c r="J28" s="116"/>
      <c r="K28" s="116"/>
      <c r="L28" s="116"/>
      <c r="M28" s="116"/>
      <c r="N28" s="116"/>
      <c r="O28" s="116"/>
      <c r="P28" s="116"/>
    </row>
    <row r="29" spans="1:16" ht="21.75" customHeight="1">
      <c r="D29" s="205" t="s">
        <v>31</v>
      </c>
      <c r="E29" s="75">
        <f>+ROUND(E28/1.21,2)</f>
        <v>296344.17</v>
      </c>
      <c r="F29" s="74"/>
      <c r="G29" s="75">
        <f>+ROUND(G28/1.21,2)</f>
        <v>296344.17</v>
      </c>
      <c r="H29" s="116"/>
      <c r="I29" s="116"/>
      <c r="J29" s="116"/>
      <c r="K29" s="116"/>
      <c r="L29" s="116"/>
      <c r="M29" s="116"/>
      <c r="N29" s="116"/>
      <c r="O29" s="116"/>
      <c r="P29" s="116"/>
    </row>
    <row r="30" spans="1:16" ht="21.75" customHeight="1">
      <c r="E30" s="206"/>
      <c r="F30" s="207"/>
      <c r="G30" s="206"/>
      <c r="H30" s="116"/>
      <c r="I30" s="116"/>
      <c r="J30" s="116"/>
      <c r="K30" s="116"/>
      <c r="L30" s="116"/>
      <c r="M30" s="116"/>
      <c r="N30" s="116"/>
      <c r="O30" s="116"/>
      <c r="P30" s="116"/>
    </row>
    <row r="31" spans="1:16" ht="21.75" customHeight="1">
      <c r="A31" s="73" t="s">
        <v>25</v>
      </c>
      <c r="B31" s="73"/>
      <c r="I31" s="116"/>
      <c r="J31" s="116"/>
      <c r="K31" s="116"/>
      <c r="L31" s="116"/>
      <c r="M31" s="116"/>
      <c r="N31" s="116"/>
      <c r="O31" s="116"/>
      <c r="P31" s="116"/>
    </row>
    <row r="32" spans="1:16" ht="21.75" customHeight="1">
      <c r="I32" s="116"/>
      <c r="J32" s="116"/>
      <c r="K32" s="116"/>
      <c r="L32" s="116"/>
      <c r="M32" s="116"/>
      <c r="N32" s="116"/>
      <c r="O32" s="116"/>
      <c r="P32" s="116"/>
    </row>
    <row r="33" spans="1:16" ht="55.5" customHeight="1">
      <c r="A33" s="141"/>
      <c r="B33" s="141"/>
      <c r="C33" s="72" t="s">
        <v>30</v>
      </c>
      <c r="D33" s="72" t="s">
        <v>29</v>
      </c>
      <c r="E33" s="72" t="s">
        <v>28</v>
      </c>
      <c r="F33" s="72" t="s">
        <v>27</v>
      </c>
      <c r="G33" s="72" t="s">
        <v>26</v>
      </c>
      <c r="H33" s="203"/>
      <c r="I33" s="116"/>
      <c r="J33" s="116"/>
      <c r="K33" s="116"/>
      <c r="L33" s="116"/>
      <c r="M33" s="116"/>
      <c r="N33" s="116"/>
      <c r="O33" s="116"/>
      <c r="P33" s="116"/>
    </row>
    <row r="34" spans="1:16" ht="21.75" customHeight="1">
      <c r="A34" s="71">
        <v>2025</v>
      </c>
      <c r="B34" s="71"/>
      <c r="C34" s="70">
        <f>C12</f>
        <v>639629.83000000007</v>
      </c>
      <c r="D34" s="66"/>
      <c r="E34" s="66">
        <f>ROUND((H34/$H$38)*$E$29,2)</f>
        <v>60422.17</v>
      </c>
      <c r="F34" s="66">
        <f>ROUND(-H34/$H$38*$G$29,2)</f>
        <v>-60422.17</v>
      </c>
      <c r="G34" s="66">
        <f t="shared" ref="G34:G38" si="10">SUM(C34:E34)</f>
        <v>700052.00000000012</v>
      </c>
      <c r="H34" s="204">
        <f>+C34</f>
        <v>639629.83000000007</v>
      </c>
      <c r="I34" s="116"/>
      <c r="J34" s="116"/>
      <c r="K34" s="116"/>
      <c r="L34" s="116"/>
      <c r="M34" s="116"/>
      <c r="N34" s="116"/>
      <c r="O34" s="116"/>
      <c r="P34" s="116"/>
    </row>
    <row r="35" spans="1:16" ht="21.75" customHeight="1">
      <c r="A35" s="71">
        <v>2026</v>
      </c>
      <c r="B35" s="71"/>
      <c r="C35" s="70">
        <f>F12</f>
        <v>842091.00999999989</v>
      </c>
      <c r="D35" s="70"/>
      <c r="E35" s="66">
        <f>ROUND(H35/$H$38*$E$29,2)</f>
        <v>79547.520000000004</v>
      </c>
      <c r="F35" s="66">
        <f>ROUND(-H35/$H$38*$G$29,2)</f>
        <v>-79547.520000000004</v>
      </c>
      <c r="G35" s="66">
        <f t="shared" si="10"/>
        <v>921638.52999999991</v>
      </c>
      <c r="H35" s="219">
        <f>+C35+D35</f>
        <v>842091.00999999989</v>
      </c>
      <c r="I35" s="116"/>
      <c r="J35" s="116"/>
      <c r="K35" s="116"/>
      <c r="L35" s="116"/>
      <c r="M35" s="116"/>
      <c r="N35" s="116"/>
      <c r="O35" s="116"/>
      <c r="P35" s="116"/>
    </row>
    <row r="36" spans="1:16" ht="21.75" customHeight="1">
      <c r="A36" s="71">
        <v>2027</v>
      </c>
      <c r="B36" s="71"/>
      <c r="C36" s="66">
        <v>0</v>
      </c>
      <c r="D36" s="70">
        <f>+C35-F11</f>
        <v>827691.00999999989</v>
      </c>
      <c r="E36" s="66">
        <f>ROUND(H36/$H$38*$E$29,2)</f>
        <v>78187.240000000005</v>
      </c>
      <c r="F36" s="66">
        <f>ROUND(-H36/$H$38*$G$29,2)</f>
        <v>-78187.240000000005</v>
      </c>
      <c r="G36" s="66">
        <f t="shared" si="10"/>
        <v>905878.24999999988</v>
      </c>
      <c r="H36" s="204">
        <f>+D36</f>
        <v>827691.00999999989</v>
      </c>
      <c r="I36" s="116"/>
      <c r="J36" s="116"/>
      <c r="K36" s="116"/>
      <c r="L36" s="116"/>
      <c r="M36" s="116"/>
      <c r="N36" s="116"/>
      <c r="O36" s="116"/>
      <c r="P36" s="116"/>
    </row>
    <row r="37" spans="1:16" ht="21.75" customHeight="1">
      <c r="A37" s="71">
        <v>2028</v>
      </c>
      <c r="B37" s="71"/>
      <c r="C37" s="66">
        <v>0</v>
      </c>
      <c r="D37" s="70">
        <f>+C35-F11</f>
        <v>827691.00999999989</v>
      </c>
      <c r="E37" s="66">
        <f>ROUND(H37/$H$38*$E$29,2)</f>
        <v>78187.240000000005</v>
      </c>
      <c r="F37" s="66">
        <f>ROUND(-H37/$H$38*$G$29,2)-0.01</f>
        <v>-78187.25</v>
      </c>
      <c r="G37" s="66">
        <f t="shared" si="10"/>
        <v>905878.24999999988</v>
      </c>
      <c r="H37" s="204">
        <f>+D37</f>
        <v>827691.00999999989</v>
      </c>
    </row>
    <row r="38" spans="1:16" ht="21.75" customHeight="1">
      <c r="A38" s="69" t="s">
        <v>12</v>
      </c>
      <c r="B38" s="69"/>
      <c r="C38" s="68">
        <f>SUM(C34:C37)</f>
        <v>1481720.8399999999</v>
      </c>
      <c r="D38" s="67">
        <f>SUM(D34:D37)</f>
        <v>1655382.0199999998</v>
      </c>
      <c r="E38" s="67">
        <f>SUM(E34:E37)</f>
        <v>296344.17</v>
      </c>
      <c r="F38" s="67">
        <f>SUM(F34:F37)</f>
        <v>-296344.18</v>
      </c>
      <c r="G38" s="67">
        <f t="shared" si="10"/>
        <v>3433447.0299999993</v>
      </c>
      <c r="H38" s="204">
        <f>SUM(H34:H37)</f>
        <v>3137102.8599999994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workbookViewId="0">
      <selection activeCell="A7" sqref="A7:B24"/>
    </sheetView>
  </sheetViews>
  <sheetFormatPr defaultRowHeight="14.4"/>
  <cols>
    <col min="1" max="1" width="50.5546875" customWidth="1"/>
    <col min="2" max="2" width="24.21875" customWidth="1"/>
    <col min="3" max="3" width="13.44140625" bestFit="1" customWidth="1"/>
  </cols>
  <sheetData>
    <row r="2" spans="1:4">
      <c r="A2" s="327" t="s">
        <v>56</v>
      </c>
      <c r="B2" s="328"/>
    </row>
    <row r="3" spans="1:4">
      <c r="A3" s="131"/>
      <c r="B3" s="131"/>
    </row>
    <row r="4" spans="1:4" ht="28.8">
      <c r="A4" s="194" t="s">
        <v>137</v>
      </c>
      <c r="B4" s="123" t="s">
        <v>99</v>
      </c>
      <c r="C4" s="123" t="s">
        <v>12</v>
      </c>
    </row>
    <row r="5" spans="1:4">
      <c r="A5" s="124">
        <f>'Càlcul pressupost '!I12-'Càlcul pressupost '!I6</f>
        <v>857311.10999999987</v>
      </c>
      <c r="B5" s="124">
        <f>'Càlcul pressupost '!I6</f>
        <v>624409.73</v>
      </c>
      <c r="C5" s="124">
        <f>A5+B5</f>
        <v>1481720.8399999999</v>
      </c>
    </row>
    <row r="6" spans="1:4">
      <c r="A6" s="131"/>
      <c r="B6" s="131"/>
    </row>
    <row r="7" spans="1:4">
      <c r="A7" s="125" t="s">
        <v>55</v>
      </c>
      <c r="B7" s="126"/>
    </row>
    <row r="8" spans="1:4">
      <c r="A8" s="132" t="s">
        <v>54</v>
      </c>
      <c r="B8" s="133">
        <f>A5*0.5855658</f>
        <v>502012.06597603793</v>
      </c>
    </row>
    <row r="9" spans="1:4">
      <c r="A9" s="132" t="s">
        <v>53</v>
      </c>
      <c r="B9" s="133">
        <f>B8*0.34</f>
        <v>170684.10243185292</v>
      </c>
    </row>
    <row r="10" spans="1:4">
      <c r="A10" s="132" t="s">
        <v>100</v>
      </c>
      <c r="B10" s="133">
        <f>B8*0.01</f>
        <v>5020.1206597603796</v>
      </c>
      <c r="C10" s="195"/>
      <c r="D10" s="196"/>
    </row>
    <row r="11" spans="1:4" s="102" customFormat="1">
      <c r="A11" s="134" t="s">
        <v>135</v>
      </c>
      <c r="B11" s="133">
        <f>SUM(B8:B10)</f>
        <v>677716.28906765126</v>
      </c>
    </row>
    <row r="12" spans="1:4">
      <c r="A12" s="132" t="s">
        <v>0</v>
      </c>
      <c r="B12" s="133">
        <f>B5</f>
        <v>624409.73</v>
      </c>
    </row>
    <row r="13" spans="1:4">
      <c r="A13" s="134" t="s">
        <v>52</v>
      </c>
      <c r="B13" s="135">
        <f>SUM(B11:B12)</f>
        <v>1302126.0190676511</v>
      </c>
    </row>
    <row r="14" spans="1:4">
      <c r="A14" s="136"/>
      <c r="B14" s="137"/>
    </row>
    <row r="15" spans="1:4">
      <c r="A15" s="127" t="s">
        <v>51</v>
      </c>
      <c r="B15" s="128"/>
    </row>
    <row r="16" spans="1:4">
      <c r="A16" s="138" t="s">
        <v>101</v>
      </c>
      <c r="B16" s="133">
        <f>B11*0.15</f>
        <v>101657.44336014769</v>
      </c>
    </row>
    <row r="17" spans="1:3">
      <c r="A17" s="134" t="s">
        <v>136</v>
      </c>
      <c r="B17" s="135">
        <f>B16</f>
        <v>101657.44336014769</v>
      </c>
      <c r="C17" s="195"/>
    </row>
    <row r="18" spans="1:3" s="102" customFormat="1">
      <c r="A18" s="134"/>
      <c r="B18" s="133"/>
    </row>
    <row r="19" spans="1:3" s="102" customFormat="1">
      <c r="A19" s="128" t="s">
        <v>102</v>
      </c>
      <c r="B19" s="193">
        <f>B13+B17</f>
        <v>1403783.4624277989</v>
      </c>
    </row>
    <row r="20" spans="1:3">
      <c r="A20" s="138" t="s">
        <v>103</v>
      </c>
      <c r="B20" s="139">
        <f>(B11+B17)*0.1</f>
        <v>77937.373242779897</v>
      </c>
      <c r="C20" s="195"/>
    </row>
    <row r="21" spans="1:3">
      <c r="A21" s="129" t="s">
        <v>104</v>
      </c>
      <c r="B21" s="130">
        <f>B19+B20</f>
        <v>1481720.8356705788</v>
      </c>
    </row>
    <row r="22" spans="1:3">
      <c r="A22" s="129" t="s">
        <v>105</v>
      </c>
      <c r="B22" s="130">
        <f>'Càlcul pressupost '!H13</f>
        <v>311161.38000000012</v>
      </c>
    </row>
    <row r="23" spans="1:3">
      <c r="A23" s="131"/>
      <c r="B23" s="140"/>
      <c r="C23" s="195"/>
    </row>
    <row r="24" spans="1:3">
      <c r="A24" s="129" t="s">
        <v>138</v>
      </c>
      <c r="B24" s="130">
        <f>B21+B22</f>
        <v>1792882.2156705789</v>
      </c>
      <c r="C24" s="195"/>
    </row>
  </sheetData>
  <mergeCells count="1"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opLeftCell="A76" workbookViewId="0">
      <selection activeCell="E94" sqref="E94"/>
    </sheetView>
  </sheetViews>
  <sheetFormatPr defaultRowHeight="14.4"/>
  <cols>
    <col min="1" max="1" width="5.21875" style="102" customWidth="1"/>
    <col min="2" max="2" width="21.77734375" customWidth="1"/>
    <col min="3" max="3" width="5.6640625" customWidth="1"/>
    <col min="4" max="4" width="15.5546875" customWidth="1"/>
    <col min="5" max="5" width="15.88671875" customWidth="1"/>
    <col min="6" max="6" width="13.5546875" customWidth="1"/>
    <col min="7" max="7" width="14.21875" customWidth="1"/>
    <col min="8" max="8" width="13.5546875" customWidth="1"/>
    <col min="9" max="9" width="15.21875" customWidth="1"/>
    <col min="10" max="10" width="33.77734375" customWidth="1"/>
    <col min="11" max="11" width="19.77734375" customWidth="1"/>
  </cols>
  <sheetData>
    <row r="1" spans="2:11" s="102" customFormat="1" ht="55.8" thickBot="1">
      <c r="J1" s="254" t="s">
        <v>169</v>
      </c>
      <c r="K1" s="255" t="s">
        <v>170</v>
      </c>
    </row>
    <row r="2" spans="2:11" ht="19.5" customHeight="1" thickBot="1">
      <c r="B2" s="86"/>
      <c r="C2" s="86"/>
      <c r="D2" s="216"/>
      <c r="E2" s="217">
        <v>2025</v>
      </c>
      <c r="F2" s="218"/>
      <c r="J2" s="256" t="s">
        <v>171</v>
      </c>
      <c r="K2" s="257" t="s">
        <v>172</v>
      </c>
    </row>
    <row r="3" spans="2:11" ht="15" customHeight="1" thickBot="1">
      <c r="B3" s="246"/>
      <c r="C3" s="247" t="s">
        <v>150</v>
      </c>
      <c r="D3" s="84" t="s">
        <v>48</v>
      </c>
      <c r="E3" s="84" t="s">
        <v>47</v>
      </c>
      <c r="F3" s="84" t="s">
        <v>157</v>
      </c>
      <c r="J3" s="258" t="s">
        <v>126</v>
      </c>
      <c r="K3" s="259" t="s">
        <v>172</v>
      </c>
    </row>
    <row r="4" spans="2:11" ht="15" customHeight="1" thickBot="1">
      <c r="B4" s="83" t="s">
        <v>125</v>
      </c>
      <c r="C4" s="227" t="s">
        <v>95</v>
      </c>
      <c r="D4" s="81">
        <f>'Taules IJ'!C6</f>
        <v>245753.31</v>
      </c>
      <c r="E4" s="81">
        <f>'Taules IJ'!D6</f>
        <v>51608.19</v>
      </c>
      <c r="F4" s="81">
        <f>'Taules IJ'!E6</f>
        <v>297361.5</v>
      </c>
      <c r="J4" s="256" t="s">
        <v>147</v>
      </c>
      <c r="K4" s="257" t="s">
        <v>172</v>
      </c>
    </row>
    <row r="5" spans="2:11" ht="15" customHeight="1" thickBot="1">
      <c r="B5" s="83" t="s">
        <v>126</v>
      </c>
      <c r="C5" s="227" t="s">
        <v>95</v>
      </c>
      <c r="D5" s="81">
        <f>'Taules IJ'!C7</f>
        <v>33357.019999999997</v>
      </c>
      <c r="E5" s="81">
        <f>'Taules IJ'!D7</f>
        <v>7004.9800000000032</v>
      </c>
      <c r="F5" s="81">
        <f>'Taules IJ'!E7</f>
        <v>40362</v>
      </c>
      <c r="J5" s="258" t="s">
        <v>127</v>
      </c>
      <c r="K5" s="259" t="s">
        <v>172</v>
      </c>
    </row>
    <row r="6" spans="2:11" ht="15" customHeight="1" thickBot="1">
      <c r="B6" s="82" t="s">
        <v>147</v>
      </c>
      <c r="C6" s="227" t="s">
        <v>132</v>
      </c>
      <c r="D6" s="81">
        <f>'Taules IJ'!C8</f>
        <v>224232.73</v>
      </c>
      <c r="E6" s="81">
        <f>'Taules IJ'!D8</f>
        <v>47088.869999999966</v>
      </c>
      <c r="F6" s="81">
        <f>'Taules IJ'!E8</f>
        <v>271321.59999999998</v>
      </c>
      <c r="J6" s="256" t="s">
        <v>128</v>
      </c>
      <c r="K6" s="257" t="s">
        <v>172</v>
      </c>
    </row>
    <row r="7" spans="2:11" ht="15" customHeight="1" thickBot="1">
      <c r="B7" s="82" t="s">
        <v>127</v>
      </c>
      <c r="C7" s="227" t="s">
        <v>95</v>
      </c>
      <c r="D7" s="81">
        <f>'Taules IJ'!C9</f>
        <v>105136.36</v>
      </c>
      <c r="E7" s="81">
        <f>'Taules IJ'!D9</f>
        <v>22078.639999999999</v>
      </c>
      <c r="F7" s="81">
        <f>'Taules IJ'!E9</f>
        <v>127215</v>
      </c>
      <c r="J7" s="258"/>
      <c r="K7" s="259"/>
    </row>
    <row r="8" spans="2:11" ht="15" customHeight="1">
      <c r="B8" s="82" t="s">
        <v>128</v>
      </c>
      <c r="C8" s="227" t="s">
        <v>95</v>
      </c>
      <c r="D8" s="81">
        <f>'Taules IJ'!C10</f>
        <v>31150.41</v>
      </c>
      <c r="E8" s="81">
        <f>'Taules IJ'!D10</f>
        <v>6541.59</v>
      </c>
      <c r="F8" s="81">
        <f>'Taules IJ'!E10</f>
        <v>37692</v>
      </c>
    </row>
    <row r="9" spans="2:11" ht="15" customHeight="1">
      <c r="B9" s="82" t="s">
        <v>188</v>
      </c>
      <c r="C9" s="227" t="s">
        <v>95</v>
      </c>
      <c r="D9" s="81">
        <f>'Taules IJ'!C11</f>
        <v>0</v>
      </c>
      <c r="E9" s="81">
        <f>'Taules IJ'!D11</f>
        <v>0</v>
      </c>
      <c r="F9" s="81">
        <f>'Taules IJ'!E11</f>
        <v>0</v>
      </c>
    </row>
    <row r="10" spans="2:11">
      <c r="B10" s="64"/>
      <c r="C10" s="64"/>
      <c r="D10" s="248">
        <f>'Taules IJ'!C12</f>
        <v>639629.83000000007</v>
      </c>
      <c r="E10" s="248">
        <f>'Taules IJ'!D12</f>
        <v>134322.26999999999</v>
      </c>
      <c r="F10" s="248">
        <f>'Taules IJ'!E12</f>
        <v>773952.1</v>
      </c>
    </row>
    <row r="11" spans="2:11">
      <c r="B11" s="86"/>
      <c r="C11" s="86"/>
      <c r="D11" s="216"/>
      <c r="E11" s="217">
        <v>2026</v>
      </c>
      <c r="F11" s="218"/>
    </row>
    <row r="12" spans="2:11">
      <c r="B12" s="246"/>
      <c r="C12" s="247" t="s">
        <v>150</v>
      </c>
      <c r="D12" s="84" t="s">
        <v>48</v>
      </c>
      <c r="E12" s="84" t="s">
        <v>47</v>
      </c>
      <c r="F12" s="84" t="s">
        <v>157</v>
      </c>
    </row>
    <row r="13" spans="2:11">
      <c r="B13" s="83" t="s">
        <v>125</v>
      </c>
      <c r="C13" s="227" t="s">
        <v>95</v>
      </c>
      <c r="D13" s="81">
        <f>'Taules IJ'!F6</f>
        <v>378656.42</v>
      </c>
      <c r="E13" s="81">
        <f>'Taules IJ'!G6</f>
        <v>79517.850000000035</v>
      </c>
      <c r="F13" s="81">
        <f>'Taules IJ'!H6</f>
        <v>458174.27</v>
      </c>
    </row>
    <row r="14" spans="2:11">
      <c r="B14" s="83" t="s">
        <v>126</v>
      </c>
      <c r="C14" s="227" t="s">
        <v>95</v>
      </c>
      <c r="D14" s="81">
        <f>'Taules IJ'!F7</f>
        <v>43086.16</v>
      </c>
      <c r="E14" s="81">
        <f>'Taules IJ'!G7</f>
        <v>9048.0899999999965</v>
      </c>
      <c r="F14" s="81">
        <f>'Taules IJ'!H7</f>
        <v>52134.25</v>
      </c>
    </row>
    <row r="15" spans="2:11">
      <c r="B15" s="82" t="s">
        <v>147</v>
      </c>
      <c r="C15" s="227" t="s">
        <v>132</v>
      </c>
      <c r="D15" s="81">
        <f>'Taules IJ'!F8</f>
        <v>224232.73</v>
      </c>
      <c r="E15" s="81">
        <f>'Taules IJ'!G8</f>
        <v>47088.869999999966</v>
      </c>
      <c r="F15" s="81">
        <f>'Taules IJ'!H8</f>
        <v>271321.59999999998</v>
      </c>
    </row>
    <row r="16" spans="2:11">
      <c r="B16" s="82" t="s">
        <v>127</v>
      </c>
      <c r="C16" s="227" t="s">
        <v>95</v>
      </c>
      <c r="D16" s="81">
        <f>'Taules IJ'!F9</f>
        <v>140181.82</v>
      </c>
      <c r="E16" s="81">
        <f>'Taules IJ'!G9</f>
        <v>29438.179999999993</v>
      </c>
      <c r="F16" s="81">
        <f>'Taules IJ'!H9</f>
        <v>169620</v>
      </c>
    </row>
    <row r="17" spans="1:9">
      <c r="B17" s="82" t="s">
        <v>128</v>
      </c>
      <c r="C17" s="227" t="s">
        <v>95</v>
      </c>
      <c r="D17" s="81">
        <f>'Taules IJ'!F10</f>
        <v>41533.879999999997</v>
      </c>
      <c r="E17" s="81">
        <f>'Taules IJ'!G10</f>
        <v>8722.1200000000026</v>
      </c>
      <c r="F17" s="81">
        <f>'Taules IJ'!H10</f>
        <v>50256</v>
      </c>
    </row>
    <row r="18" spans="1:9">
      <c r="B18" s="82" t="s">
        <v>188</v>
      </c>
      <c r="C18" s="227" t="s">
        <v>95</v>
      </c>
      <c r="D18" s="81">
        <f>'Taules IJ'!F11</f>
        <v>14400</v>
      </c>
      <c r="E18" s="81">
        <f>'Taules IJ'!G11</f>
        <v>3024</v>
      </c>
      <c r="F18" s="81">
        <f>'Taules IJ'!H11</f>
        <v>17424</v>
      </c>
    </row>
    <row r="19" spans="1:9">
      <c r="B19" s="64"/>
      <c r="C19" s="64"/>
      <c r="D19" s="248">
        <f>'Taules IJ'!F12</f>
        <v>842091.00999999989</v>
      </c>
      <c r="E19" s="248">
        <f>'Taules IJ'!G12</f>
        <v>176839.11</v>
      </c>
      <c r="F19" s="248">
        <f>'Taules IJ'!H12</f>
        <v>1018930.12</v>
      </c>
    </row>
    <row r="20" spans="1:9">
      <c r="B20" s="86"/>
      <c r="C20" s="86"/>
      <c r="D20" s="216"/>
      <c r="E20" s="217" t="s">
        <v>42</v>
      </c>
      <c r="F20" s="218"/>
    </row>
    <row r="21" spans="1:9">
      <c r="B21" s="246"/>
      <c r="C21" s="247" t="s">
        <v>150</v>
      </c>
      <c r="D21" s="84" t="s">
        <v>48</v>
      </c>
      <c r="E21" s="84" t="s">
        <v>47</v>
      </c>
      <c r="F21" s="84" t="s">
        <v>157</v>
      </c>
    </row>
    <row r="22" spans="1:9">
      <c r="B22" s="83" t="s">
        <v>125</v>
      </c>
      <c r="C22" s="227" t="s">
        <v>95</v>
      </c>
      <c r="D22" s="81">
        <f>'Taules IJ'!I6</f>
        <v>624409.73</v>
      </c>
      <c r="E22" s="81">
        <f>'Taules IJ'!J6</f>
        <v>131126.04000000004</v>
      </c>
      <c r="F22" s="81">
        <f>'Taules IJ'!K6</f>
        <v>755535.77</v>
      </c>
    </row>
    <row r="23" spans="1:9">
      <c r="B23" s="83" t="s">
        <v>126</v>
      </c>
      <c r="C23" s="227" t="s">
        <v>95</v>
      </c>
      <c r="D23" s="81">
        <f>'Taules IJ'!I7</f>
        <v>76443.179999999993</v>
      </c>
      <c r="E23" s="81">
        <f>'Taules IJ'!J7</f>
        <v>16053.07</v>
      </c>
      <c r="F23" s="81">
        <f>'Taules IJ'!K7</f>
        <v>92496.25</v>
      </c>
    </row>
    <row r="24" spans="1:9">
      <c r="B24" s="82" t="s">
        <v>147</v>
      </c>
      <c r="C24" s="227" t="s">
        <v>132</v>
      </c>
      <c r="D24" s="81">
        <f>'Taules IJ'!I8</f>
        <v>448465.45</v>
      </c>
      <c r="E24" s="81">
        <f>'Taules IJ'!J8</f>
        <v>94177.739999999932</v>
      </c>
      <c r="F24" s="81">
        <f>'Taules IJ'!K8</f>
        <v>542643.19999999995</v>
      </c>
    </row>
    <row r="25" spans="1:9">
      <c r="B25" s="82" t="s">
        <v>127</v>
      </c>
      <c r="C25" s="227" t="s">
        <v>95</v>
      </c>
      <c r="D25" s="81">
        <f>'Taules IJ'!I9</f>
        <v>245318.18</v>
      </c>
      <c r="E25" s="81">
        <f>'Taules IJ'!J9</f>
        <v>51516.819999999992</v>
      </c>
      <c r="F25" s="81">
        <f>'Taules IJ'!K9</f>
        <v>296835</v>
      </c>
    </row>
    <row r="26" spans="1:9">
      <c r="B26" s="82" t="s">
        <v>128</v>
      </c>
      <c r="C26" s="227" t="s">
        <v>95</v>
      </c>
      <c r="D26" s="81">
        <f>'Taules IJ'!I10</f>
        <v>72684.3</v>
      </c>
      <c r="E26" s="81">
        <f>'Taules IJ'!J10</f>
        <v>15263.710000000003</v>
      </c>
      <c r="F26" s="81">
        <f>'Taules IJ'!K10</f>
        <v>87948</v>
      </c>
    </row>
    <row r="27" spans="1:9">
      <c r="B27" s="82" t="s">
        <v>188</v>
      </c>
      <c r="C27" s="227" t="s">
        <v>95</v>
      </c>
      <c r="D27" s="81">
        <f>'Taules IJ'!I11</f>
        <v>14400</v>
      </c>
      <c r="E27" s="81">
        <f>'Taules IJ'!J11</f>
        <v>3024</v>
      </c>
      <c r="F27" s="81">
        <f>'Taules IJ'!K11</f>
        <v>17424</v>
      </c>
    </row>
    <row r="28" spans="1:9">
      <c r="B28" s="64"/>
      <c r="C28" s="64"/>
      <c r="D28" s="248">
        <f>'Taules IJ'!I12</f>
        <v>1481720.8399999999</v>
      </c>
      <c r="E28" s="248">
        <f>'Taules IJ'!J12</f>
        <v>311161.38000000012</v>
      </c>
      <c r="F28" s="248">
        <f>'Taules IJ'!K12</f>
        <v>1792882.22</v>
      </c>
    </row>
    <row r="31" spans="1:9" ht="38.700000000000003" customHeight="1">
      <c r="A31" s="239"/>
      <c r="B31" s="246" t="s">
        <v>159</v>
      </c>
      <c r="C31" s="247" t="s">
        <v>150</v>
      </c>
      <c r="D31" s="241" t="s">
        <v>161</v>
      </c>
      <c r="E31" s="241" t="s">
        <v>158</v>
      </c>
      <c r="F31" s="241" t="s">
        <v>148</v>
      </c>
      <c r="G31" s="79" t="s">
        <v>160</v>
      </c>
      <c r="H31" s="79" t="s">
        <v>149</v>
      </c>
    </row>
    <row r="32" spans="1:9">
      <c r="A32" s="240"/>
      <c r="B32" s="83" t="s">
        <v>125</v>
      </c>
      <c r="C32" s="227" t="s">
        <v>95</v>
      </c>
      <c r="D32" s="81">
        <f>'Taules IJ'!K6</f>
        <v>755535.77</v>
      </c>
      <c r="E32" s="253">
        <f>F32/$D$38</f>
        <v>8.4281693640756841E-2</v>
      </c>
      <c r="F32" s="81">
        <f>ROUND(D32*I32,2)</f>
        <v>151107.15</v>
      </c>
      <c r="G32" s="253">
        <f t="shared" ref="G32:G37" si="0">H32/$D$38</f>
        <v>8.4281693640756841E-2</v>
      </c>
      <c r="H32" s="81">
        <f>ROUND(D32*I32,2)</f>
        <v>151107.15</v>
      </c>
      <c r="I32" s="238">
        <v>0.2</v>
      </c>
    </row>
    <row r="33" spans="1:9">
      <c r="A33" s="240"/>
      <c r="B33" s="83" t="s">
        <v>126</v>
      </c>
      <c r="C33" s="227" t="s">
        <v>95</v>
      </c>
      <c r="D33" s="81">
        <f>'Taules IJ'!K7</f>
        <v>92496.25</v>
      </c>
      <c r="E33" s="253">
        <f t="shared" ref="E33:E37" si="1">F33/$D$38</f>
        <v>1.0318162450180359E-2</v>
      </c>
      <c r="F33" s="81">
        <f t="shared" ref="F33:F37" si="2">ROUND(D33*I33,2)</f>
        <v>18499.25</v>
      </c>
      <c r="G33" s="253">
        <f t="shared" si="0"/>
        <v>1.0318162450180359E-2</v>
      </c>
      <c r="H33" s="81">
        <f t="shared" ref="H33:H37" si="3">ROUND(D33*I33,2)</f>
        <v>18499.25</v>
      </c>
      <c r="I33" s="238">
        <v>0.2</v>
      </c>
    </row>
    <row r="34" spans="1:9">
      <c r="A34" s="240"/>
      <c r="B34" s="82" t="s">
        <v>147</v>
      </c>
      <c r="C34" s="227" t="s">
        <v>132</v>
      </c>
      <c r="D34" s="81">
        <f>'Taules IJ'!K8</f>
        <v>542643.19999999995</v>
      </c>
      <c r="E34" s="253">
        <f t="shared" si="1"/>
        <v>6.0533056097795426E-2</v>
      </c>
      <c r="F34" s="81">
        <f t="shared" si="2"/>
        <v>108528.64</v>
      </c>
      <c r="G34" s="253">
        <f t="shared" si="0"/>
        <v>6.0533056097795426E-2</v>
      </c>
      <c r="H34" s="81">
        <f t="shared" si="3"/>
        <v>108528.64</v>
      </c>
      <c r="I34" s="238">
        <v>0.2</v>
      </c>
    </row>
    <row r="35" spans="1:9">
      <c r="A35" s="240"/>
      <c r="B35" s="82" t="s">
        <v>127</v>
      </c>
      <c r="C35" s="227" t="s">
        <v>95</v>
      </c>
      <c r="D35" s="81">
        <f>'Taules IJ'!K9</f>
        <v>296835</v>
      </c>
      <c r="E35" s="253">
        <f t="shared" si="1"/>
        <v>3.3112604574772345E-2</v>
      </c>
      <c r="F35" s="81">
        <f t="shared" si="2"/>
        <v>59367</v>
      </c>
      <c r="G35" s="253">
        <f t="shared" si="0"/>
        <v>3.3112604574772345E-2</v>
      </c>
      <c r="H35" s="81">
        <f t="shared" si="3"/>
        <v>59367</v>
      </c>
      <c r="I35" s="238">
        <v>0.2</v>
      </c>
    </row>
    <row r="36" spans="1:9">
      <c r="A36" s="240"/>
      <c r="B36" s="82" t="s">
        <v>128</v>
      </c>
      <c r="C36" s="227" t="s">
        <v>95</v>
      </c>
      <c r="D36" s="81">
        <f>'Taules IJ'!K10</f>
        <v>87948</v>
      </c>
      <c r="E36" s="253">
        <f t="shared" si="1"/>
        <v>9.8107950448635718E-3</v>
      </c>
      <c r="F36" s="81">
        <f t="shared" si="2"/>
        <v>17589.599999999999</v>
      </c>
      <c r="G36" s="253">
        <f t="shared" si="0"/>
        <v>9.8107950448635718E-3</v>
      </c>
      <c r="H36" s="81">
        <f t="shared" si="3"/>
        <v>17589.599999999999</v>
      </c>
      <c r="I36" s="238">
        <v>0.2</v>
      </c>
    </row>
    <row r="37" spans="1:9">
      <c r="B37" s="82"/>
      <c r="C37" s="227"/>
      <c r="D37" s="81"/>
      <c r="E37" s="253"/>
      <c r="F37" s="81"/>
      <c r="G37" s="253"/>
      <c r="H37" s="81"/>
      <c r="I37" s="238"/>
    </row>
    <row r="38" spans="1:9">
      <c r="B38" s="279" t="s">
        <v>42</v>
      </c>
      <c r="C38" s="280"/>
      <c r="D38" s="80">
        <f>'Taules IJ'!K12</f>
        <v>1792882.22</v>
      </c>
      <c r="E38" s="277">
        <f>SUM(E32:E37)</f>
        <v>0.19805631180836855</v>
      </c>
      <c r="F38" s="278">
        <f>SUM(F32:F37)</f>
        <v>355091.63999999996</v>
      </c>
      <c r="G38" s="277">
        <f>SUM(G32:G37)</f>
        <v>0.19805631180836855</v>
      </c>
      <c r="H38" s="278">
        <f>SUM(H32:H37)</f>
        <v>355091.63999999996</v>
      </c>
    </row>
    <row r="39" spans="1:9">
      <c r="E39" s="205" t="s">
        <v>31</v>
      </c>
      <c r="F39" s="75">
        <f>+ROUND(F38/1.21,2)</f>
        <v>293464.17</v>
      </c>
      <c r="G39" s="74"/>
      <c r="H39" s="75">
        <f>+ROUND(H38/1.21,2)</f>
        <v>293464.17</v>
      </c>
    </row>
    <row r="40" spans="1:9" s="102" customFormat="1">
      <c r="E40" s="243"/>
      <c r="F40" s="244"/>
      <c r="G40" s="206"/>
      <c r="H40" s="244"/>
    </row>
    <row r="42" spans="1:9" ht="69">
      <c r="B42" s="246"/>
      <c r="C42" s="247" t="s">
        <v>150</v>
      </c>
      <c r="D42" s="72" t="s">
        <v>30</v>
      </c>
      <c r="E42" s="72" t="s">
        <v>29</v>
      </c>
      <c r="F42" s="72" t="s">
        <v>28</v>
      </c>
      <c r="G42" s="72" t="s">
        <v>27</v>
      </c>
      <c r="H42" s="72" t="s">
        <v>26</v>
      </c>
    </row>
    <row r="43" spans="1:9">
      <c r="A43" s="71">
        <v>2025</v>
      </c>
      <c r="B43" s="83" t="s">
        <v>125</v>
      </c>
      <c r="C43" s="227" t="s">
        <v>95</v>
      </c>
      <c r="D43" s="81">
        <f>D4</f>
        <v>245753.31</v>
      </c>
      <c r="F43" s="228">
        <f>ROUND(((D43+E43)/(SUM($D$43:$E$48,$D$50:$E$55,$D$57:$E$62,$D$64:$E$69)))*$F$39,2)</f>
        <v>22989.3</v>
      </c>
      <c r="G43" s="250">
        <f>-F43</f>
        <v>-22989.3</v>
      </c>
      <c r="H43" s="249">
        <f>SUM(D43:F43)</f>
        <v>268742.61</v>
      </c>
    </row>
    <row r="44" spans="1:9">
      <c r="A44" s="71">
        <v>2025</v>
      </c>
      <c r="B44" s="83" t="s">
        <v>126</v>
      </c>
      <c r="C44" s="227" t="s">
        <v>95</v>
      </c>
      <c r="D44" s="81">
        <f t="shared" ref="D44:D48" si="4">D5</f>
        <v>33357.019999999997</v>
      </c>
      <c r="F44" s="228">
        <f t="shared" ref="F44:F48" si="5">ROUND(((D44+E44)/(SUM($D$43:$E$48,$D$50:$E$55,$D$57:$E$62,$D$64:$E$69)))*$F$39,2)</f>
        <v>3120.42</v>
      </c>
      <c r="G44" s="250">
        <f t="shared" ref="G44:G48" si="6">-F44</f>
        <v>-3120.42</v>
      </c>
      <c r="H44" s="249">
        <f t="shared" ref="H44:H48" si="7">SUM(D44:F44)</f>
        <v>36477.439999999995</v>
      </c>
    </row>
    <row r="45" spans="1:9">
      <c r="A45" s="71">
        <v>2025</v>
      </c>
      <c r="B45" s="82" t="s">
        <v>147</v>
      </c>
      <c r="C45" s="227" t="s">
        <v>132</v>
      </c>
      <c r="D45" s="81">
        <f t="shared" si="4"/>
        <v>224232.73</v>
      </c>
      <c r="F45" s="228">
        <f t="shared" si="5"/>
        <v>20976.13</v>
      </c>
      <c r="G45" s="250">
        <f t="shared" si="6"/>
        <v>-20976.13</v>
      </c>
      <c r="H45" s="249">
        <f t="shared" si="7"/>
        <v>245208.86000000002</v>
      </c>
    </row>
    <row r="46" spans="1:9">
      <c r="A46" s="71">
        <v>2025</v>
      </c>
      <c r="B46" s="82" t="s">
        <v>127</v>
      </c>
      <c r="C46" s="227" t="s">
        <v>95</v>
      </c>
      <c r="D46" s="81">
        <f t="shared" si="4"/>
        <v>105136.36</v>
      </c>
      <c r="F46" s="228">
        <f t="shared" si="5"/>
        <v>9835.11</v>
      </c>
      <c r="G46" s="250">
        <f t="shared" si="6"/>
        <v>-9835.11</v>
      </c>
      <c r="H46" s="249">
        <f t="shared" si="7"/>
        <v>114971.47</v>
      </c>
    </row>
    <row r="47" spans="1:9">
      <c r="A47" s="71">
        <v>2025</v>
      </c>
      <c r="B47" s="82" t="s">
        <v>128</v>
      </c>
      <c r="C47" s="227" t="s">
        <v>95</v>
      </c>
      <c r="D47" s="81">
        <f t="shared" si="4"/>
        <v>31150.41</v>
      </c>
      <c r="F47" s="228">
        <f t="shared" si="5"/>
        <v>2914</v>
      </c>
      <c r="G47" s="250">
        <f t="shared" si="6"/>
        <v>-2914</v>
      </c>
      <c r="H47" s="249">
        <f t="shared" si="7"/>
        <v>34064.410000000003</v>
      </c>
    </row>
    <row r="48" spans="1:9">
      <c r="A48" s="71">
        <v>2025</v>
      </c>
      <c r="B48" s="82" t="s">
        <v>188</v>
      </c>
      <c r="C48" s="227" t="s">
        <v>95</v>
      </c>
      <c r="D48" s="81">
        <f t="shared" si="4"/>
        <v>0</v>
      </c>
      <c r="F48" s="228">
        <f t="shared" si="5"/>
        <v>0</v>
      </c>
      <c r="G48" s="250">
        <f t="shared" si="6"/>
        <v>0</v>
      </c>
      <c r="H48" s="249">
        <f t="shared" si="7"/>
        <v>0</v>
      </c>
    </row>
    <row r="49" spans="1:8">
      <c r="A49" s="69"/>
      <c r="B49" s="69" t="s">
        <v>162</v>
      </c>
      <c r="D49" s="80">
        <f>SUM(D43:D48)</f>
        <v>639629.83000000007</v>
      </c>
      <c r="E49" s="80">
        <f t="shared" ref="E49:H49" si="8">SUM(E43:E48)</f>
        <v>0</v>
      </c>
      <c r="F49" s="80">
        <f t="shared" si="8"/>
        <v>59834.960000000006</v>
      </c>
      <c r="G49" s="80">
        <f t="shared" si="8"/>
        <v>-59834.960000000006</v>
      </c>
      <c r="H49" s="80">
        <f t="shared" si="8"/>
        <v>699464.79</v>
      </c>
    </row>
    <row r="50" spans="1:8">
      <c r="A50" s="71">
        <v>2026</v>
      </c>
      <c r="B50" s="83" t="s">
        <v>125</v>
      </c>
      <c r="C50" s="227" t="s">
        <v>95</v>
      </c>
      <c r="D50" s="81">
        <f>D13</f>
        <v>378656.42</v>
      </c>
      <c r="F50" s="228">
        <f t="shared" ref="F50:F55" si="9">ROUND(((D50+E50)/(SUM($D$43:$E$48,$D$50:$E$55,$D$57:$E$62,$D$64:$E$69)))*$F$39,2)</f>
        <v>35421.879999999997</v>
      </c>
      <c r="G50" s="250">
        <f t="shared" ref="G50:G55" si="10">-F50</f>
        <v>-35421.879999999997</v>
      </c>
      <c r="H50" s="249">
        <f t="shared" ref="H50:H55" si="11">SUM(D50:F50)</f>
        <v>414078.3</v>
      </c>
    </row>
    <row r="51" spans="1:8">
      <c r="A51" s="71">
        <v>2026</v>
      </c>
      <c r="B51" s="83" t="s">
        <v>126</v>
      </c>
      <c r="C51" s="227" t="s">
        <v>95</v>
      </c>
      <c r="D51" s="81">
        <f t="shared" ref="D51:D55" si="12">D14</f>
        <v>43086.16</v>
      </c>
      <c r="F51" s="228">
        <f t="shared" si="9"/>
        <v>4030.55</v>
      </c>
      <c r="G51" s="250">
        <f t="shared" si="10"/>
        <v>-4030.55</v>
      </c>
      <c r="H51" s="249">
        <f t="shared" si="11"/>
        <v>47116.710000000006</v>
      </c>
    </row>
    <row r="52" spans="1:8">
      <c r="A52" s="71">
        <v>2026</v>
      </c>
      <c r="B52" s="82" t="s">
        <v>147</v>
      </c>
      <c r="C52" s="227" t="s">
        <v>132</v>
      </c>
      <c r="D52" s="81">
        <f t="shared" si="12"/>
        <v>224232.73</v>
      </c>
      <c r="F52" s="228">
        <f t="shared" si="9"/>
        <v>20976.13</v>
      </c>
      <c r="G52" s="250">
        <f t="shared" si="10"/>
        <v>-20976.13</v>
      </c>
      <c r="H52" s="249">
        <f t="shared" si="11"/>
        <v>245208.86000000002</v>
      </c>
    </row>
    <row r="53" spans="1:8">
      <c r="A53" s="71">
        <v>2026</v>
      </c>
      <c r="B53" s="82" t="s">
        <v>127</v>
      </c>
      <c r="C53" s="227" t="s">
        <v>95</v>
      </c>
      <c r="D53" s="81">
        <f t="shared" si="12"/>
        <v>140181.82</v>
      </c>
      <c r="F53" s="228">
        <f t="shared" si="9"/>
        <v>13113.48</v>
      </c>
      <c r="G53" s="250">
        <f t="shared" si="10"/>
        <v>-13113.48</v>
      </c>
      <c r="H53" s="249">
        <f t="shared" si="11"/>
        <v>153295.30000000002</v>
      </c>
    </row>
    <row r="54" spans="1:8">
      <c r="A54" s="71">
        <v>2026</v>
      </c>
      <c r="B54" s="82" t="s">
        <v>128</v>
      </c>
      <c r="C54" s="227" t="s">
        <v>95</v>
      </c>
      <c r="D54" s="81">
        <f t="shared" si="12"/>
        <v>41533.879999999997</v>
      </c>
      <c r="F54" s="228">
        <f t="shared" si="9"/>
        <v>3885.34</v>
      </c>
      <c r="G54" s="250">
        <f t="shared" si="10"/>
        <v>-3885.34</v>
      </c>
      <c r="H54" s="249">
        <f t="shared" si="11"/>
        <v>45419.22</v>
      </c>
    </row>
    <row r="55" spans="1:8">
      <c r="A55" s="71">
        <v>2026</v>
      </c>
      <c r="B55" s="82" t="s">
        <v>188</v>
      </c>
      <c r="C55" s="227" t="s">
        <v>95</v>
      </c>
      <c r="D55" s="81">
        <f t="shared" si="12"/>
        <v>14400</v>
      </c>
      <c r="F55" s="228">
        <f t="shared" si="9"/>
        <v>1347.07</v>
      </c>
      <c r="G55" s="250">
        <f t="shared" si="10"/>
        <v>-1347.07</v>
      </c>
      <c r="H55" s="249">
        <f t="shared" si="11"/>
        <v>15747.07</v>
      </c>
    </row>
    <row r="56" spans="1:8">
      <c r="A56" s="69"/>
      <c r="B56" s="69" t="s">
        <v>163</v>
      </c>
      <c r="C56" s="102"/>
      <c r="D56" s="80">
        <f>SUM(D50:D55)</f>
        <v>842091.00999999989</v>
      </c>
      <c r="E56" s="80">
        <f t="shared" ref="E56" si="13">SUM(E50:E55)</f>
        <v>0</v>
      </c>
      <c r="F56" s="80">
        <f t="shared" ref="F56" si="14">SUM(F50:F55)</f>
        <v>78774.45</v>
      </c>
      <c r="G56" s="80">
        <f t="shared" ref="G56" si="15">SUM(G50:G55)</f>
        <v>-78774.45</v>
      </c>
      <c r="H56" s="80">
        <f t="shared" ref="H56" si="16">SUM(H50:H55)</f>
        <v>920865.46</v>
      </c>
    </row>
    <row r="57" spans="1:8">
      <c r="A57" s="71">
        <v>2027</v>
      </c>
      <c r="B57" s="83" t="s">
        <v>125</v>
      </c>
      <c r="C57" s="227" t="s">
        <v>95</v>
      </c>
      <c r="E57" s="81">
        <f>D50</f>
        <v>378656.42</v>
      </c>
      <c r="F57" s="228">
        <f t="shared" ref="F57:F61" si="17">ROUND(((D57+E57)/(SUM($D$43:$E$48,$D$50:$E$55,$D$57:$E$62,$D$64:$E$69)))*$F$39,2)</f>
        <v>35421.879999999997</v>
      </c>
      <c r="G57" s="250">
        <f t="shared" ref="G57:G61" si="18">-F57</f>
        <v>-35421.879999999997</v>
      </c>
      <c r="H57" s="249">
        <f t="shared" ref="H57:H61" si="19">SUM(D57:F57)</f>
        <v>414078.3</v>
      </c>
    </row>
    <row r="58" spans="1:8">
      <c r="A58" s="71">
        <v>2027</v>
      </c>
      <c r="B58" s="83" t="s">
        <v>126</v>
      </c>
      <c r="C58" s="227" t="s">
        <v>95</v>
      </c>
      <c r="E58" s="81">
        <f t="shared" ref="E58:E61" si="20">D51</f>
        <v>43086.16</v>
      </c>
      <c r="F58" s="228">
        <f t="shared" si="17"/>
        <v>4030.55</v>
      </c>
      <c r="G58" s="250">
        <f t="shared" si="18"/>
        <v>-4030.55</v>
      </c>
      <c r="H58" s="249">
        <f t="shared" si="19"/>
        <v>47116.710000000006</v>
      </c>
    </row>
    <row r="59" spans="1:8">
      <c r="A59" s="71">
        <v>2027</v>
      </c>
      <c r="B59" s="82" t="s">
        <v>147</v>
      </c>
      <c r="C59" s="227" t="s">
        <v>132</v>
      </c>
      <c r="E59" s="81">
        <f t="shared" si="20"/>
        <v>224232.73</v>
      </c>
      <c r="F59" s="228">
        <f t="shared" si="17"/>
        <v>20976.13</v>
      </c>
      <c r="G59" s="250">
        <f t="shared" si="18"/>
        <v>-20976.13</v>
      </c>
      <c r="H59" s="249">
        <f t="shared" si="19"/>
        <v>245208.86000000002</v>
      </c>
    </row>
    <row r="60" spans="1:8">
      <c r="A60" s="71">
        <v>2027</v>
      </c>
      <c r="B60" s="82" t="s">
        <v>127</v>
      </c>
      <c r="C60" s="227" t="s">
        <v>95</v>
      </c>
      <c r="E60" s="81">
        <f t="shared" si="20"/>
        <v>140181.82</v>
      </c>
      <c r="F60" s="228">
        <f t="shared" si="17"/>
        <v>13113.48</v>
      </c>
      <c r="G60" s="250">
        <f t="shared" si="18"/>
        <v>-13113.48</v>
      </c>
      <c r="H60" s="249">
        <f t="shared" si="19"/>
        <v>153295.30000000002</v>
      </c>
    </row>
    <row r="61" spans="1:8">
      <c r="A61" s="71">
        <v>2027</v>
      </c>
      <c r="B61" s="82" t="s">
        <v>128</v>
      </c>
      <c r="C61" s="227" t="s">
        <v>95</v>
      </c>
      <c r="E61" s="81">
        <f t="shared" si="20"/>
        <v>41533.879999999997</v>
      </c>
      <c r="F61" s="228">
        <f t="shared" si="17"/>
        <v>3885.34</v>
      </c>
      <c r="G61" s="250">
        <f t="shared" si="18"/>
        <v>-3885.34</v>
      </c>
      <c r="H61" s="249">
        <f t="shared" si="19"/>
        <v>45419.22</v>
      </c>
    </row>
    <row r="62" spans="1:8">
      <c r="A62" s="71"/>
      <c r="B62" s="82"/>
      <c r="C62" s="227"/>
      <c r="D62" s="81"/>
    </row>
    <row r="63" spans="1:8">
      <c r="A63" s="69"/>
      <c r="B63" s="69" t="s">
        <v>164</v>
      </c>
      <c r="C63" s="102"/>
      <c r="D63" s="80">
        <f>SUM(D57:D62)</f>
        <v>0</v>
      </c>
      <c r="E63" s="80">
        <f>SUM(E57:E62)</f>
        <v>827691.00999999989</v>
      </c>
      <c r="F63" s="80">
        <f t="shared" ref="F63" si="21">SUM(F57:F62)</f>
        <v>77427.37999999999</v>
      </c>
      <c r="G63" s="80">
        <f t="shared" ref="G63" si="22">SUM(G57:G62)</f>
        <v>-77427.37999999999</v>
      </c>
      <c r="H63" s="80">
        <f t="shared" ref="H63" si="23">SUM(H57:H62)</f>
        <v>905118.39</v>
      </c>
    </row>
    <row r="64" spans="1:8">
      <c r="A64" s="71">
        <v>2028</v>
      </c>
      <c r="B64" s="83" t="s">
        <v>125</v>
      </c>
      <c r="C64" s="227" t="s">
        <v>95</v>
      </c>
      <c r="E64" s="81">
        <f>D50</f>
        <v>378656.42</v>
      </c>
      <c r="F64" s="228">
        <f t="shared" ref="F64:F68" si="24">ROUND(((D64+E64)/(SUM($D$43:$E$48,$D$50:$E$55,$D$57:$E$62,$D$64:$E$69)))*$F$39,2)</f>
        <v>35421.879999999997</v>
      </c>
      <c r="G64" s="250">
        <f t="shared" ref="G64:G68" si="25">-F64</f>
        <v>-35421.879999999997</v>
      </c>
      <c r="H64" s="249">
        <f t="shared" ref="H64:H68" si="26">SUM(D64:F64)</f>
        <v>414078.3</v>
      </c>
    </row>
    <row r="65" spans="1:8">
      <c r="A65" s="71">
        <v>2028</v>
      </c>
      <c r="B65" s="83" t="s">
        <v>126</v>
      </c>
      <c r="C65" s="227" t="s">
        <v>95</v>
      </c>
      <c r="E65" s="81">
        <f t="shared" ref="E65:E68" si="27">D51</f>
        <v>43086.16</v>
      </c>
      <c r="F65" s="228">
        <f t="shared" si="24"/>
        <v>4030.55</v>
      </c>
      <c r="G65" s="250">
        <f t="shared" si="25"/>
        <v>-4030.55</v>
      </c>
      <c r="H65" s="249">
        <f t="shared" si="26"/>
        <v>47116.710000000006</v>
      </c>
    </row>
    <row r="66" spans="1:8">
      <c r="A66" s="71">
        <v>2028</v>
      </c>
      <c r="B66" s="82" t="s">
        <v>147</v>
      </c>
      <c r="C66" s="227" t="s">
        <v>132</v>
      </c>
      <c r="E66" s="81">
        <f t="shared" si="27"/>
        <v>224232.73</v>
      </c>
      <c r="F66" s="228">
        <f t="shared" si="24"/>
        <v>20976.13</v>
      </c>
      <c r="G66" s="250">
        <f t="shared" si="25"/>
        <v>-20976.13</v>
      </c>
      <c r="H66" s="249">
        <f t="shared" si="26"/>
        <v>245208.86000000002</v>
      </c>
    </row>
    <row r="67" spans="1:8">
      <c r="A67" s="71">
        <v>2028</v>
      </c>
      <c r="B67" s="82" t="s">
        <v>127</v>
      </c>
      <c r="C67" s="227" t="s">
        <v>95</v>
      </c>
      <c r="E67" s="81">
        <f t="shared" si="27"/>
        <v>140181.82</v>
      </c>
      <c r="F67" s="228">
        <f t="shared" si="24"/>
        <v>13113.48</v>
      </c>
      <c r="G67" s="250">
        <f t="shared" si="25"/>
        <v>-13113.48</v>
      </c>
      <c r="H67" s="249">
        <f t="shared" si="26"/>
        <v>153295.30000000002</v>
      </c>
    </row>
    <row r="68" spans="1:8">
      <c r="A68" s="71">
        <v>2028</v>
      </c>
      <c r="B68" s="82" t="s">
        <v>128</v>
      </c>
      <c r="C68" s="227" t="s">
        <v>95</v>
      </c>
      <c r="E68" s="81">
        <f t="shared" si="27"/>
        <v>41533.879999999997</v>
      </c>
      <c r="F68" s="228">
        <f t="shared" si="24"/>
        <v>3885.34</v>
      </c>
      <c r="G68" s="250">
        <f t="shared" si="25"/>
        <v>-3885.34</v>
      </c>
      <c r="H68" s="249">
        <f t="shared" si="26"/>
        <v>45419.22</v>
      </c>
    </row>
    <row r="69" spans="1:8">
      <c r="A69" s="71"/>
      <c r="B69" s="82"/>
      <c r="C69" s="227"/>
      <c r="D69" s="81"/>
    </row>
    <row r="70" spans="1:8">
      <c r="A70" s="69"/>
      <c r="B70" s="69" t="s">
        <v>165</v>
      </c>
      <c r="C70" s="102"/>
      <c r="D70" s="80">
        <f>SUM(D64:D69)</f>
        <v>0</v>
      </c>
      <c r="E70" s="80">
        <f>SUM(E64:E69)</f>
        <v>827691.00999999989</v>
      </c>
      <c r="F70" s="80">
        <f t="shared" ref="F70" si="28">SUM(F64:F69)</f>
        <v>77427.37999999999</v>
      </c>
      <c r="G70" s="251">
        <f t="shared" ref="G70" si="29">SUM(G64:G69)</f>
        <v>-77427.37999999999</v>
      </c>
      <c r="H70" s="80">
        <f t="shared" ref="H70" si="30">SUM(H64:H69)</f>
        <v>905118.39</v>
      </c>
    </row>
    <row r="72" spans="1:8">
      <c r="B72" s="69" t="s">
        <v>12</v>
      </c>
      <c r="D72" s="80">
        <f>D49+D56+D63+D70</f>
        <v>1481720.8399999999</v>
      </c>
      <c r="E72" s="80">
        <f t="shared" ref="E72:H72" si="31">E49+E56+E63+E70</f>
        <v>1655382.0199999998</v>
      </c>
      <c r="F72" s="80">
        <f t="shared" si="31"/>
        <v>293464.17</v>
      </c>
      <c r="G72" s="251">
        <f t="shared" si="31"/>
        <v>-293464.17</v>
      </c>
      <c r="H72" s="80">
        <f t="shared" si="31"/>
        <v>3430567.0300000003</v>
      </c>
    </row>
    <row r="74" spans="1:8" ht="69">
      <c r="B74" s="246"/>
      <c r="C74" s="247" t="s">
        <v>150</v>
      </c>
      <c r="D74" s="72" t="s">
        <v>30</v>
      </c>
      <c r="E74" s="72" t="s">
        <v>29</v>
      </c>
      <c r="F74" s="72" t="s">
        <v>28</v>
      </c>
      <c r="G74" s="72" t="s">
        <v>27</v>
      </c>
      <c r="H74" s="72" t="s">
        <v>26</v>
      </c>
    </row>
    <row r="75" spans="1:8" s="102" customFormat="1">
      <c r="A75" s="71">
        <v>2025</v>
      </c>
      <c r="B75" s="83" t="s">
        <v>166</v>
      </c>
      <c r="C75" s="227" t="s">
        <v>95</v>
      </c>
      <c r="D75" s="281">
        <f>SUM(D43:D48)-D45</f>
        <v>415397.10000000009</v>
      </c>
      <c r="E75" s="281"/>
      <c r="F75" s="281">
        <f>SUM(F43:F48)-F45</f>
        <v>38858.83</v>
      </c>
      <c r="G75" s="282">
        <f t="shared" ref="G75:G78" si="32">-F75</f>
        <v>-38858.83</v>
      </c>
      <c r="H75" s="281">
        <f t="shared" ref="H75:H78" si="33">SUM(D75:F75)</f>
        <v>454255.93000000011</v>
      </c>
    </row>
    <row r="76" spans="1:8" s="102" customFormat="1">
      <c r="A76" s="71">
        <v>2026</v>
      </c>
      <c r="B76" s="83" t="s">
        <v>166</v>
      </c>
      <c r="C76" s="227" t="s">
        <v>95</v>
      </c>
      <c r="D76" s="281">
        <f>SUM(D50:D55)-D52</f>
        <v>617858.27999999991</v>
      </c>
      <c r="E76" s="3"/>
      <c r="F76" s="281">
        <f>SUM(F50:F55)-F52</f>
        <v>57798.319999999992</v>
      </c>
      <c r="G76" s="282">
        <f t="shared" si="32"/>
        <v>-57798.319999999992</v>
      </c>
      <c r="H76" s="281">
        <f t="shared" si="33"/>
        <v>675656.59999999986</v>
      </c>
    </row>
    <row r="77" spans="1:8" s="102" customFormat="1">
      <c r="A77" s="71">
        <v>2027</v>
      </c>
      <c r="B77" s="83" t="s">
        <v>166</v>
      </c>
      <c r="C77" s="227" t="s">
        <v>95</v>
      </c>
      <c r="D77" s="3"/>
      <c r="E77" s="281">
        <f>SUM(E57:E61)-E59</f>
        <v>603458.27999999991</v>
      </c>
      <c r="F77" s="281">
        <f>SUM(F57:F61)-F59</f>
        <v>56451.249999999985</v>
      </c>
      <c r="G77" s="282">
        <f t="shared" si="32"/>
        <v>-56451.249999999985</v>
      </c>
      <c r="H77" s="281">
        <f t="shared" si="33"/>
        <v>659909.52999999991</v>
      </c>
    </row>
    <row r="78" spans="1:8">
      <c r="A78" s="71">
        <v>2028</v>
      </c>
      <c r="B78" s="83" t="s">
        <v>166</v>
      </c>
      <c r="C78" s="227" t="s">
        <v>95</v>
      </c>
      <c r="D78" s="3"/>
      <c r="E78" s="281">
        <f>SUM(E64:E68)-E66</f>
        <v>603458.27999999991</v>
      </c>
      <c r="F78" s="281">
        <f>SUM(F64:F68)-F66</f>
        <v>56451.249999999985</v>
      </c>
      <c r="G78" s="282">
        <f t="shared" si="32"/>
        <v>-56451.249999999985</v>
      </c>
      <c r="H78" s="281">
        <f t="shared" si="33"/>
        <v>659909.52999999991</v>
      </c>
    </row>
    <row r="79" spans="1:8" s="102" customFormat="1">
      <c r="A79" s="252"/>
      <c r="B79" s="69" t="s">
        <v>167</v>
      </c>
      <c r="C79" s="283" t="s">
        <v>95</v>
      </c>
      <c r="D79" s="80">
        <f>SUM(D75:D78)</f>
        <v>1033255.38</v>
      </c>
      <c r="E79" s="80">
        <f t="shared" ref="E79:F79" si="34">SUM(E75:E78)</f>
        <v>1206916.5599999998</v>
      </c>
      <c r="F79" s="80">
        <f t="shared" si="34"/>
        <v>209559.64999999997</v>
      </c>
      <c r="G79" s="251">
        <f t="shared" ref="G79" si="35">SUM(G73:G78)</f>
        <v>-209559.64999999997</v>
      </c>
      <c r="H79" s="80">
        <f t="shared" ref="H79" si="36">SUM(H73:H78)</f>
        <v>2449731.59</v>
      </c>
    </row>
    <row r="80" spans="1:8">
      <c r="A80" s="71">
        <v>2025</v>
      </c>
      <c r="B80" s="82" t="s">
        <v>147</v>
      </c>
      <c r="C80" s="227" t="s">
        <v>132</v>
      </c>
      <c r="D80" s="281">
        <f>D45</f>
        <v>224232.73</v>
      </c>
      <c r="E80" s="3"/>
      <c r="F80" s="281">
        <f>F45</f>
        <v>20976.13</v>
      </c>
      <c r="G80" s="282">
        <f t="shared" ref="G80:G83" si="37">-F80</f>
        <v>-20976.13</v>
      </c>
      <c r="H80" s="281">
        <f t="shared" ref="H80:H83" si="38">SUM(D80:F80)</f>
        <v>245208.86000000002</v>
      </c>
    </row>
    <row r="81" spans="1:8">
      <c r="A81" s="71">
        <v>2026</v>
      </c>
      <c r="B81" s="82" t="s">
        <v>147</v>
      </c>
      <c r="C81" s="227" t="s">
        <v>132</v>
      </c>
      <c r="D81" s="281">
        <f>D52</f>
        <v>224232.73</v>
      </c>
      <c r="E81" s="3"/>
      <c r="F81" s="281">
        <f>F52</f>
        <v>20976.13</v>
      </c>
      <c r="G81" s="282">
        <f t="shared" si="37"/>
        <v>-20976.13</v>
      </c>
      <c r="H81" s="281">
        <f t="shared" si="38"/>
        <v>245208.86000000002</v>
      </c>
    </row>
    <row r="82" spans="1:8">
      <c r="A82" s="71">
        <v>2027</v>
      </c>
      <c r="B82" s="82" t="s">
        <v>147</v>
      </c>
      <c r="C82" s="227" t="s">
        <v>132</v>
      </c>
      <c r="D82" s="3"/>
      <c r="E82" s="281">
        <f>E59</f>
        <v>224232.73</v>
      </c>
      <c r="F82" s="281">
        <f>F59</f>
        <v>20976.13</v>
      </c>
      <c r="G82" s="282">
        <f t="shared" si="37"/>
        <v>-20976.13</v>
      </c>
      <c r="H82" s="281">
        <f t="shared" si="38"/>
        <v>245208.86000000002</v>
      </c>
    </row>
    <row r="83" spans="1:8">
      <c r="A83" s="71">
        <v>2028</v>
      </c>
      <c r="B83" s="82" t="s">
        <v>147</v>
      </c>
      <c r="C83" s="227" t="s">
        <v>132</v>
      </c>
      <c r="D83" s="3"/>
      <c r="E83" s="281">
        <f>E66</f>
        <v>224232.73</v>
      </c>
      <c r="F83" s="281">
        <f>F66</f>
        <v>20976.13</v>
      </c>
      <c r="G83" s="282">
        <f t="shared" si="37"/>
        <v>-20976.13</v>
      </c>
      <c r="H83" s="281">
        <f t="shared" si="38"/>
        <v>245208.86000000002</v>
      </c>
    </row>
    <row r="84" spans="1:8">
      <c r="B84" s="69" t="s">
        <v>168</v>
      </c>
      <c r="C84" s="283" t="s">
        <v>132</v>
      </c>
      <c r="D84" s="80">
        <f>SUM(D80:D83)</f>
        <v>448465.46</v>
      </c>
      <c r="E84" s="80">
        <f t="shared" ref="E84" si="39">SUM(E80:E83)</f>
        <v>448465.46</v>
      </c>
      <c r="F84" s="80">
        <f t="shared" ref="F84" si="40">SUM(F80:F83)</f>
        <v>83904.52</v>
      </c>
      <c r="G84" s="251">
        <f>SUM(G80:G83)</f>
        <v>-83904.52</v>
      </c>
      <c r="H84" s="80">
        <f>SUM(H80:H83)</f>
        <v>980835.44000000006</v>
      </c>
    </row>
    <row r="86" spans="1:8">
      <c r="B86" s="69" t="s">
        <v>12</v>
      </c>
      <c r="C86" s="280"/>
      <c r="D86" s="80">
        <f>D79+D84</f>
        <v>1481720.84</v>
      </c>
      <c r="E86" s="80">
        <f t="shared" ref="E86:H86" si="41">E79+E84</f>
        <v>1655382.0199999998</v>
      </c>
      <c r="F86" s="80">
        <f t="shared" si="41"/>
        <v>293464.17</v>
      </c>
      <c r="G86" s="251">
        <f t="shared" si="41"/>
        <v>-293464.17</v>
      </c>
      <c r="H86" s="80">
        <f t="shared" si="41"/>
        <v>3430567.03</v>
      </c>
    </row>
    <row r="89" spans="1:8">
      <c r="C89" s="72" t="s">
        <v>142</v>
      </c>
      <c r="D89" s="72" t="s">
        <v>184</v>
      </c>
      <c r="E89" s="72" t="s">
        <v>185</v>
      </c>
      <c r="F89" s="72" t="s">
        <v>186</v>
      </c>
      <c r="G89" s="72" t="s">
        <v>187</v>
      </c>
    </row>
    <row r="90" spans="1:8">
      <c r="B90" s="83" t="s">
        <v>125</v>
      </c>
      <c r="C90" s="227" t="s">
        <v>95</v>
      </c>
      <c r="D90" s="81">
        <f>D4</f>
        <v>245753.31</v>
      </c>
      <c r="E90" s="281">
        <f>D13</f>
        <v>378656.42</v>
      </c>
      <c r="F90" s="281">
        <f>E90</f>
        <v>378656.42</v>
      </c>
      <c r="G90" s="281">
        <f>E90</f>
        <v>378656.42</v>
      </c>
    </row>
    <row r="91" spans="1:8">
      <c r="B91" s="83" t="s">
        <v>126</v>
      </c>
      <c r="C91" s="227" t="s">
        <v>95</v>
      </c>
      <c r="D91" s="81">
        <f t="shared" ref="D91:D95" si="42">D5</f>
        <v>33357.019999999997</v>
      </c>
      <c r="E91" s="281">
        <f t="shared" ref="E91:E95" si="43">D14</f>
        <v>43086.16</v>
      </c>
      <c r="F91" s="281">
        <f t="shared" ref="F91:F94" si="44">E91</f>
        <v>43086.16</v>
      </c>
      <c r="G91" s="281">
        <f t="shared" ref="G91:G94" si="45">E91</f>
        <v>43086.16</v>
      </c>
    </row>
    <row r="92" spans="1:8">
      <c r="B92" s="82" t="s">
        <v>147</v>
      </c>
      <c r="C92" s="227" t="s">
        <v>132</v>
      </c>
      <c r="D92" s="81">
        <f t="shared" si="42"/>
        <v>224232.73</v>
      </c>
      <c r="E92" s="281">
        <f t="shared" si="43"/>
        <v>224232.73</v>
      </c>
      <c r="F92" s="281">
        <f t="shared" si="44"/>
        <v>224232.73</v>
      </c>
      <c r="G92" s="281">
        <f t="shared" si="45"/>
        <v>224232.73</v>
      </c>
    </row>
    <row r="93" spans="1:8">
      <c r="B93" s="82" t="s">
        <v>127</v>
      </c>
      <c r="C93" s="227" t="s">
        <v>95</v>
      </c>
      <c r="D93" s="81">
        <f t="shared" si="42"/>
        <v>105136.36</v>
      </c>
      <c r="E93" s="281">
        <f t="shared" si="43"/>
        <v>140181.82</v>
      </c>
      <c r="F93" s="281">
        <f t="shared" si="44"/>
        <v>140181.82</v>
      </c>
      <c r="G93" s="281">
        <f t="shared" si="45"/>
        <v>140181.82</v>
      </c>
    </row>
    <row r="94" spans="1:8">
      <c r="B94" s="82" t="s">
        <v>128</v>
      </c>
      <c r="C94" s="227" t="s">
        <v>95</v>
      </c>
      <c r="D94" s="81">
        <f t="shared" si="42"/>
        <v>31150.41</v>
      </c>
      <c r="E94" s="281">
        <f t="shared" si="43"/>
        <v>41533.879999999997</v>
      </c>
      <c r="F94" s="281">
        <f t="shared" si="44"/>
        <v>41533.879999999997</v>
      </c>
      <c r="G94" s="281">
        <f t="shared" si="45"/>
        <v>41533.879999999997</v>
      </c>
    </row>
    <row r="95" spans="1:8">
      <c r="B95" s="82"/>
      <c r="C95" s="227"/>
      <c r="D95" s="81"/>
      <c r="E95" s="281"/>
      <c r="F95" s="3"/>
      <c r="G95" s="3"/>
    </row>
    <row r="96" spans="1:8">
      <c r="B96" s="69" t="s">
        <v>12</v>
      </c>
      <c r="C96" s="3"/>
      <c r="D96" s="80">
        <f>SUM(D90:D95)</f>
        <v>639629.83000000007</v>
      </c>
      <c r="E96" s="80">
        <f t="shared" ref="E96:G96" si="46">SUM(E90:E95)</f>
        <v>827691.00999999989</v>
      </c>
      <c r="F96" s="80">
        <f t="shared" si="46"/>
        <v>827691.00999999989</v>
      </c>
      <c r="G96" s="80">
        <f t="shared" si="46"/>
        <v>827691.00999999989</v>
      </c>
    </row>
    <row r="98" spans="2:6">
      <c r="B98" s="267" t="s">
        <v>19</v>
      </c>
      <c r="C98" s="72" t="s">
        <v>142</v>
      </c>
      <c r="D98" s="267" t="s">
        <v>173</v>
      </c>
      <c r="E98" s="267" t="s">
        <v>174</v>
      </c>
      <c r="F98" s="267" t="s">
        <v>178</v>
      </c>
    </row>
    <row r="99" spans="2:6">
      <c r="B99" s="268" t="s">
        <v>125</v>
      </c>
      <c r="C99" s="268" t="s">
        <v>95</v>
      </c>
      <c r="D99" s="269">
        <f>F4</f>
        <v>297361.5</v>
      </c>
      <c r="E99" s="265">
        <f>F13</f>
        <v>458174.27</v>
      </c>
      <c r="F99" s="265">
        <f>D99+E99</f>
        <v>755535.77</v>
      </c>
    </row>
    <row r="100" spans="2:6" s="102" customFormat="1">
      <c r="B100" s="267" t="s">
        <v>19</v>
      </c>
      <c r="C100" s="72" t="s">
        <v>142</v>
      </c>
      <c r="D100" s="267" t="s">
        <v>173</v>
      </c>
      <c r="E100" s="267" t="s">
        <v>174</v>
      </c>
      <c r="F100" s="267" t="s">
        <v>178</v>
      </c>
    </row>
    <row r="101" spans="2:6">
      <c r="B101" s="268" t="s">
        <v>126</v>
      </c>
      <c r="C101" s="268" t="s">
        <v>95</v>
      </c>
      <c r="D101" s="269">
        <f t="shared" ref="D101" si="47">F5</f>
        <v>40362</v>
      </c>
      <c r="E101" s="265">
        <f t="shared" ref="E101" si="48">F14</f>
        <v>52134.25</v>
      </c>
      <c r="F101" s="265">
        <f t="shared" ref="F101:F107" si="49">D101+E101</f>
        <v>92496.25</v>
      </c>
    </row>
    <row r="102" spans="2:6" s="102" customFormat="1">
      <c r="B102" s="267" t="s">
        <v>19</v>
      </c>
      <c r="C102" s="72" t="s">
        <v>142</v>
      </c>
      <c r="D102" s="267" t="s">
        <v>173</v>
      </c>
      <c r="E102" s="267" t="s">
        <v>174</v>
      </c>
      <c r="F102" s="267" t="s">
        <v>178</v>
      </c>
    </row>
    <row r="103" spans="2:6">
      <c r="B103" s="268" t="s">
        <v>147</v>
      </c>
      <c r="C103" s="268" t="s">
        <v>132</v>
      </c>
      <c r="D103" s="269">
        <f>F6</f>
        <v>271321.59999999998</v>
      </c>
      <c r="E103" s="265">
        <f>F15</f>
        <v>271321.59999999998</v>
      </c>
      <c r="F103" s="265">
        <f t="shared" si="49"/>
        <v>542643.19999999995</v>
      </c>
    </row>
    <row r="104" spans="2:6" s="102" customFormat="1">
      <c r="B104" s="267" t="s">
        <v>19</v>
      </c>
      <c r="C104" s="72" t="s">
        <v>142</v>
      </c>
      <c r="D104" s="267" t="s">
        <v>173</v>
      </c>
      <c r="E104" s="267" t="s">
        <v>174</v>
      </c>
      <c r="F104" s="267" t="s">
        <v>178</v>
      </c>
    </row>
    <row r="105" spans="2:6">
      <c r="B105" s="268" t="s">
        <v>127</v>
      </c>
      <c r="C105" s="268" t="s">
        <v>95</v>
      </c>
      <c r="D105" s="269">
        <f>F7</f>
        <v>127215</v>
      </c>
      <c r="E105" s="265">
        <f>F16</f>
        <v>169620</v>
      </c>
      <c r="F105" s="265">
        <f t="shared" si="49"/>
        <v>296835</v>
      </c>
    </row>
    <row r="106" spans="2:6" s="102" customFormat="1">
      <c r="B106" s="267" t="s">
        <v>19</v>
      </c>
      <c r="C106" s="72" t="s">
        <v>142</v>
      </c>
      <c r="D106" s="267" t="s">
        <v>173</v>
      </c>
      <c r="E106" s="267" t="s">
        <v>174</v>
      </c>
      <c r="F106" s="267" t="s">
        <v>178</v>
      </c>
    </row>
    <row r="107" spans="2:6">
      <c r="B107" s="268" t="s">
        <v>128</v>
      </c>
      <c r="C107" s="268" t="s">
        <v>95</v>
      </c>
      <c r="D107" s="269">
        <f>F8</f>
        <v>37692</v>
      </c>
      <c r="E107" s="265">
        <f>F17</f>
        <v>50256</v>
      </c>
      <c r="F107" s="265">
        <f t="shared" si="49"/>
        <v>87948</v>
      </c>
    </row>
    <row r="108" spans="2:6">
      <c r="B108" s="82" t="s">
        <v>188</v>
      </c>
      <c r="C108" s="268" t="s">
        <v>95</v>
      </c>
      <c r="D108" s="269">
        <f>F9</f>
        <v>0</v>
      </c>
      <c r="E108" s="265">
        <f>F18</f>
        <v>17424</v>
      </c>
      <c r="F108" s="266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workbookViewId="0">
      <selection activeCell="G5" sqref="G5:H6"/>
    </sheetView>
  </sheetViews>
  <sheetFormatPr defaultRowHeight="14.4"/>
  <cols>
    <col min="2" max="2" width="22.5546875" customWidth="1"/>
    <col min="3" max="3" width="14" customWidth="1"/>
    <col min="4" max="4" width="13.5546875" customWidth="1"/>
    <col min="5" max="5" width="13.21875" customWidth="1"/>
    <col min="6" max="6" width="14.77734375" customWidth="1"/>
    <col min="7" max="7" width="12.77734375" customWidth="1"/>
    <col min="8" max="8" width="13" customWidth="1"/>
  </cols>
  <sheetData>
    <row r="1" spans="2:8" ht="29.4" thickBot="1">
      <c r="B1" s="262" t="s">
        <v>175</v>
      </c>
      <c r="C1" s="106" t="s">
        <v>121</v>
      </c>
      <c r="D1" s="106" t="s">
        <v>124</v>
      </c>
      <c r="E1" s="106" t="s">
        <v>122</v>
      </c>
      <c r="F1" s="106" t="s">
        <v>123</v>
      </c>
      <c r="G1" s="106" t="s">
        <v>176</v>
      </c>
      <c r="H1" s="106" t="s">
        <v>177</v>
      </c>
    </row>
    <row r="2" spans="2:8">
      <c r="B2" s="102" t="s">
        <v>0</v>
      </c>
      <c r="C2" s="261">
        <f>Infraestr2!F3</f>
        <v>220167.05471999999</v>
      </c>
      <c r="D2" s="261">
        <f>Infraestr2!G3</f>
        <v>266402.14</v>
      </c>
      <c r="E2" s="261">
        <f>Infraestr2!H3</f>
        <v>352541.42207999999</v>
      </c>
      <c r="F2" s="261">
        <f>Infraestr2!I3</f>
        <v>426575.12</v>
      </c>
      <c r="G2" s="261">
        <f>C2+E2</f>
        <v>572708.47679999995</v>
      </c>
      <c r="H2" s="261">
        <f>D2+F2</f>
        <v>692977.26</v>
      </c>
    </row>
    <row r="3" spans="2:8" s="102" customFormat="1">
      <c r="B3" s="274" t="s">
        <v>182</v>
      </c>
      <c r="C3" s="195">
        <f>Infraestr2!F8</f>
        <v>15086.25</v>
      </c>
      <c r="D3" s="195">
        <f>Infraestr2!G8</f>
        <v>18254.36</v>
      </c>
      <c r="E3" s="195">
        <f>Infraestr2!H8</f>
        <v>20115</v>
      </c>
      <c r="F3" s="195">
        <f>Infraestr2!I8</f>
        <v>24339.15</v>
      </c>
      <c r="G3" s="261">
        <f t="shared" ref="G3" si="0">C3+E3</f>
        <v>35201.25</v>
      </c>
      <c r="H3" s="261">
        <f t="shared" ref="H3" si="1">D3+F3</f>
        <v>42593.51</v>
      </c>
    </row>
    <row r="4" spans="2:8">
      <c r="B4" s="242" t="s">
        <v>120</v>
      </c>
      <c r="C4" s="195">
        <f>Infraestr2!F7</f>
        <v>10500</v>
      </c>
      <c r="D4" s="195">
        <f>Infraestr2!G7</f>
        <v>12705</v>
      </c>
      <c r="E4" s="195">
        <f>Infraestr2!H7</f>
        <v>6000</v>
      </c>
      <c r="F4" s="195">
        <f>Infraestr2!I7</f>
        <v>7260</v>
      </c>
      <c r="G4" s="261">
        <f t="shared" ref="G4:G5" si="2">C4+E4</f>
        <v>16500</v>
      </c>
      <c r="H4" s="261">
        <f t="shared" ref="H4:H5" si="3">D4+F4</f>
        <v>19965</v>
      </c>
    </row>
    <row r="5" spans="2:8">
      <c r="B5" s="245" t="s">
        <v>42</v>
      </c>
      <c r="C5" s="263">
        <f>Infraestr2!F9</f>
        <v>245753.30471999999</v>
      </c>
      <c r="D5" s="263">
        <f>Infraestr2!G9</f>
        <v>297361.5</v>
      </c>
      <c r="E5" s="263">
        <f>Infraestr2!H9</f>
        <v>378656.42207999999</v>
      </c>
      <c r="F5" s="263">
        <f>Infraestr2!I9</f>
        <v>458174.27</v>
      </c>
      <c r="G5" s="264">
        <f t="shared" si="2"/>
        <v>624409.72679999995</v>
      </c>
      <c r="H5" s="264">
        <f t="shared" si="3"/>
        <v>755535.77</v>
      </c>
    </row>
    <row r="6" spans="2:8">
      <c r="H6" s="261">
        <f>H5-G5</f>
        <v>131126.04320000007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Infraestr2</vt:lpstr>
      <vt:lpstr>Taules IJ</vt:lpstr>
      <vt:lpstr>Quadre desglossament</vt:lpstr>
      <vt:lpstr>Full1</vt:lpstr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Gordo</dc:creator>
  <cp:lastModifiedBy>Ajuntament de Barcelona</cp:lastModifiedBy>
  <dcterms:created xsi:type="dcterms:W3CDTF">2020-04-20T14:58:25Z</dcterms:created>
  <dcterms:modified xsi:type="dcterms:W3CDTF">2024-10-28T14:40:02Z</dcterms:modified>
</cp:coreProperties>
</file>