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/>
  <mc:AlternateContent xmlns:mc="http://schemas.openxmlformats.org/markup-compatibility/2006">
    <mc:Choice Requires="x15">
      <x15ac:absPath xmlns:x15ac="http://schemas.microsoft.com/office/spreadsheetml/2010/11/ac" url="Z:\QUOTA\QUALITAT_I_SEGURETAT\Govern\Contractacio 2024\Nou Model Acompanyament\Plec+informe\Versio final a revisar\Versio final\FINAL\"/>
    </mc:Choice>
  </mc:AlternateContent>
  <xr:revisionPtr revIDLastSave="0" documentId="13_ncr:1_{699F70B8-5AD0-4C32-9A42-C9F75EB281D3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NMA" sheetId="28" r:id="rId1"/>
    <sheet name="MATERIAL I REPARACIONS" sheetId="31" r:id="rId2"/>
    <sheet name="CONFLUENCE-POWERBI" sheetId="32" r:id="rId3"/>
    <sheet name="OGNMA" sheetId="29" r:id="rId4"/>
    <sheet name="TOTAL NMA+OGNMA" sheetId="30" r:id="rId5"/>
    <sheet name="Dates" sheetId="33" r:id="rId6"/>
  </sheets>
  <definedNames>
    <definedName name="M_Bossa_hores">#REF!</definedName>
    <definedName name="M_Garantia">#REF!</definedName>
    <definedName name="M_Hores">#REF!</definedName>
    <definedName name="M_Hores_addicionals">#REF!</definedName>
    <definedName name="M_Reduccio_Terminis">#REF!</definedName>
    <definedName name="Subjectiu_1">#REF!</definedName>
    <definedName name="Subjectiu_2">#REF!</definedName>
    <definedName name="Subjectiu_3">#REF!</definedName>
    <definedName name="Subjectiu_4">#REF!</definedName>
    <definedName name="Subjectiu_5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9" i="30" l="1"/>
  <c r="G41" i="30"/>
  <c r="G40" i="30"/>
  <c r="H27" i="30"/>
  <c r="H26" i="30"/>
  <c r="H25" i="30"/>
  <c r="H24" i="30"/>
  <c r="H23" i="30"/>
  <c r="H19" i="30"/>
  <c r="H18" i="30"/>
  <c r="H17" i="30"/>
  <c r="H16" i="30"/>
  <c r="H15" i="30"/>
  <c r="G31" i="28" l="1"/>
  <c r="G30" i="28"/>
  <c r="F26" i="29" l="1"/>
  <c r="J25" i="29" s="1"/>
  <c r="E64" i="28"/>
  <c r="K45" i="28" s="1"/>
  <c r="G45" i="28" l="1"/>
  <c r="I8" i="32"/>
  <c r="J8" i="32" s="1"/>
  <c r="H8" i="32"/>
  <c r="I3" i="32"/>
  <c r="F5" i="33"/>
  <c r="F13" i="33"/>
  <c r="D13" i="33"/>
  <c r="M13" i="33" s="1"/>
  <c r="D12" i="33"/>
  <c r="F12" i="33" s="1"/>
  <c r="M12" i="33" s="1"/>
  <c r="U5" i="33"/>
  <c r="R5" i="33"/>
  <c r="O5" i="33"/>
  <c r="L5" i="33"/>
  <c r="I5" i="33"/>
  <c r="U4" i="33"/>
  <c r="R4" i="33"/>
  <c r="O4" i="33"/>
  <c r="L4" i="33"/>
  <c r="I4" i="33"/>
  <c r="K8" i="32" l="1"/>
  <c r="L8" i="32" s="1"/>
  <c r="M8" i="32" l="1"/>
  <c r="N8" i="32" s="1"/>
  <c r="F33" i="30"/>
  <c r="F32" i="30"/>
  <c r="F31" i="30"/>
  <c r="E35" i="30"/>
  <c r="E34" i="30"/>
  <c r="C12" i="29" l="1"/>
  <c r="D12" i="29" l="1"/>
  <c r="E12" i="29" s="1"/>
  <c r="J12" i="29" s="1"/>
  <c r="D27" i="29"/>
  <c r="F27" i="29" s="1"/>
  <c r="N3" i="32"/>
  <c r="O3" i="32" s="1"/>
  <c r="J3" i="32"/>
  <c r="K3" i="32" s="1"/>
  <c r="L3" i="32" s="1"/>
  <c r="M3" i="32" s="1"/>
  <c r="G24" i="28"/>
  <c r="J27" i="28"/>
  <c r="M17" i="31"/>
  <c r="L17" i="31"/>
  <c r="L16" i="31"/>
  <c r="G41" i="31"/>
  <c r="F41" i="31"/>
  <c r="E41" i="31"/>
  <c r="D41" i="31"/>
  <c r="O35" i="31"/>
  <c r="N35" i="31"/>
  <c r="M35" i="31"/>
  <c r="L35" i="31"/>
  <c r="K35" i="31"/>
  <c r="J35" i="31"/>
  <c r="I35" i="31"/>
  <c r="H35" i="31"/>
  <c r="G35" i="31"/>
  <c r="F35" i="31"/>
  <c r="E35" i="31"/>
  <c r="D35" i="31"/>
  <c r="I21" i="31"/>
  <c r="G21" i="31"/>
  <c r="F21" i="31"/>
  <c r="C21" i="31"/>
  <c r="I20" i="31"/>
  <c r="G20" i="31"/>
  <c r="F20" i="31"/>
  <c r="C20" i="31"/>
  <c r="I19" i="31"/>
  <c r="G19" i="31"/>
  <c r="F19" i="31"/>
  <c r="C19" i="31"/>
  <c r="I18" i="31"/>
  <c r="G18" i="31"/>
  <c r="F18" i="31"/>
  <c r="C18" i="31"/>
  <c r="G15" i="31"/>
  <c r="G14" i="31"/>
  <c r="G13" i="31"/>
  <c r="G12" i="31"/>
  <c r="G11" i="31"/>
  <c r="G10" i="31"/>
  <c r="G9" i="31"/>
  <c r="G8" i="31"/>
  <c r="G7" i="31"/>
  <c r="I22" i="31" l="1"/>
  <c r="J26" i="29" l="1"/>
  <c r="D23" i="29" l="1"/>
  <c r="F23" i="29" s="1"/>
  <c r="F18" i="28"/>
  <c r="G18" i="28" s="1"/>
  <c r="H18" i="28" s="1"/>
  <c r="I18" i="28" s="1"/>
  <c r="K18" i="28" s="1"/>
  <c r="F11" i="28"/>
  <c r="G11" i="28" s="1"/>
  <c r="H11" i="28" s="1"/>
  <c r="I11" i="28" s="1"/>
  <c r="K11" i="28" s="1"/>
  <c r="F16" i="28"/>
  <c r="G16" i="28" s="1"/>
  <c r="H16" i="28" s="1"/>
  <c r="I16" i="28" s="1"/>
  <c r="K16" i="28" s="1"/>
  <c r="F12" i="28"/>
  <c r="G12" i="28" s="1"/>
  <c r="H12" i="28" s="1"/>
  <c r="I12" i="28" s="1"/>
  <c r="K12" i="28" s="1"/>
  <c r="F13" i="28"/>
  <c r="G13" i="28" s="1"/>
  <c r="H13" i="28" s="1"/>
  <c r="I13" i="28" s="1"/>
  <c r="K13" i="28" s="1"/>
  <c r="F17" i="28"/>
  <c r="G17" i="28" s="1"/>
  <c r="H17" i="28" s="1"/>
  <c r="I17" i="28" s="1"/>
  <c r="K17" i="28" s="1"/>
  <c r="F14" i="28"/>
  <c r="G14" i="28" s="1"/>
  <c r="H14" i="28" s="1"/>
  <c r="I14" i="28" s="1"/>
  <c r="K14" i="28" s="1"/>
  <c r="F20" i="28"/>
  <c r="G20" i="28" s="1"/>
  <c r="H20" i="28" s="1"/>
  <c r="I20" i="28" s="1"/>
  <c r="K20" i="28" s="1"/>
  <c r="F15" i="28"/>
  <c r="G15" i="28" s="1"/>
  <c r="H15" i="28" s="1"/>
  <c r="I15" i="28" s="1"/>
  <c r="K15" i="28" s="1"/>
  <c r="F19" i="28"/>
  <c r="G19" i="28" s="1"/>
  <c r="H19" i="28" s="1"/>
  <c r="I19" i="28" s="1"/>
  <c r="K19" i="28" s="1"/>
  <c r="H31" i="28"/>
  <c r="I31" i="28" s="1"/>
  <c r="K31" i="28" s="1"/>
  <c r="H30" i="28"/>
  <c r="I30" i="28" s="1"/>
  <c r="E70" i="30"/>
  <c r="H24" i="28"/>
  <c r="I24" i="28" s="1"/>
  <c r="K24" i="28" s="1"/>
  <c r="E8" i="29"/>
  <c r="F8" i="29" s="1"/>
  <c r="G8" i="29" s="1"/>
  <c r="H8" i="29" s="1"/>
  <c r="J8" i="29" s="1"/>
  <c r="E7" i="29"/>
  <c r="F7" i="29" s="1"/>
  <c r="G7" i="29" s="1"/>
  <c r="H7" i="29" s="1"/>
  <c r="J7" i="29" s="1"/>
  <c r="E6" i="29"/>
  <c r="F6" i="29" s="1"/>
  <c r="G6" i="29" s="1"/>
  <c r="H6" i="29" s="1"/>
  <c r="E5" i="29"/>
  <c r="F5" i="29" s="1"/>
  <c r="E4" i="29"/>
  <c r="D24" i="29" l="1"/>
  <c r="J6" i="29"/>
  <c r="G5" i="29"/>
  <c r="H5" i="29" s="1"/>
  <c r="J5" i="29" s="1"/>
  <c r="J22" i="29"/>
  <c r="E42" i="28"/>
  <c r="E61" i="28" s="1"/>
  <c r="K42" i="28" s="1"/>
  <c r="F4" i="29"/>
  <c r="D25" i="29" s="1"/>
  <c r="F25" i="29" s="1"/>
  <c r="G42" i="28" l="1"/>
  <c r="K30" i="28"/>
  <c r="F24" i="29"/>
  <c r="J23" i="29" s="1"/>
  <c r="D28" i="29"/>
  <c r="E2" i="31"/>
  <c r="D11" i="31" s="1"/>
  <c r="F11" i="31" s="1"/>
  <c r="I11" i="31" s="1"/>
  <c r="J24" i="29"/>
  <c r="E43" i="28"/>
  <c r="E62" i="28" s="1"/>
  <c r="G43" i="28" s="1"/>
  <c r="G4" i="29"/>
  <c r="D30" i="29" s="1"/>
  <c r="F30" i="29" s="1"/>
  <c r="K43" i="28" l="1"/>
  <c r="F28" i="29"/>
  <c r="J27" i="29" s="1"/>
  <c r="D31" i="29"/>
  <c r="D13" i="31"/>
  <c r="F13" i="31" s="1"/>
  <c r="I13" i="31" s="1"/>
  <c r="D7" i="31"/>
  <c r="F7" i="31" s="1"/>
  <c r="I7" i="31" s="1"/>
  <c r="D6" i="31"/>
  <c r="F6" i="31" s="1"/>
  <c r="I6" i="31" s="1"/>
  <c r="D9" i="31"/>
  <c r="F9" i="31" s="1"/>
  <c r="I9" i="31" s="1"/>
  <c r="D8" i="31"/>
  <c r="F8" i="31" s="1"/>
  <c r="I8" i="31" s="1"/>
  <c r="D10" i="31"/>
  <c r="F10" i="31" s="1"/>
  <c r="I10" i="31" s="1"/>
  <c r="D12" i="31"/>
  <c r="F12" i="31" s="1"/>
  <c r="I12" i="31" s="1"/>
  <c r="D15" i="31"/>
  <c r="L15" i="31" s="1"/>
  <c r="G27" i="28" s="1"/>
  <c r="E46" i="28" s="1"/>
  <c r="D14" i="31"/>
  <c r="F14" i="31" s="1"/>
  <c r="I14" i="31" s="1"/>
  <c r="J29" i="29"/>
  <c r="E44" i="28"/>
  <c r="E63" i="28" s="1"/>
  <c r="K44" i="28" s="1"/>
  <c r="H4" i="29"/>
  <c r="D32" i="29" s="1"/>
  <c r="F32" i="29" s="1"/>
  <c r="G44" i="28" l="1"/>
  <c r="E65" i="28"/>
  <c r="E66" i="28" s="1"/>
  <c r="E47" i="28"/>
  <c r="F31" i="29"/>
  <c r="J30" i="29" s="1"/>
  <c r="D33" i="29"/>
  <c r="E67" i="30"/>
  <c r="F15" i="31"/>
  <c r="I15" i="31" s="1"/>
  <c r="I16" i="31" s="1"/>
  <c r="I23" i="31" s="1"/>
  <c r="H27" i="28"/>
  <c r="E49" i="28" s="1"/>
  <c r="J31" i="29"/>
  <c r="J4" i="29"/>
  <c r="J14" i="29" s="1"/>
  <c r="K47" i="28" l="1"/>
  <c r="G47" i="28"/>
  <c r="H49" i="28" s="1"/>
  <c r="E50" i="28"/>
  <c r="K46" i="28"/>
  <c r="E68" i="28"/>
  <c r="K49" i="28" s="1"/>
  <c r="G46" i="28"/>
  <c r="F33" i="29"/>
  <c r="D34" i="29"/>
  <c r="F34" i="29" s="1"/>
  <c r="J32" i="29"/>
  <c r="E68" i="30"/>
  <c r="I27" i="28"/>
  <c r="J15" i="29"/>
  <c r="J16" i="29" s="1"/>
  <c r="K27" i="28" l="1"/>
  <c r="E51" i="28"/>
  <c r="G49" i="28"/>
  <c r="J33" i="29"/>
  <c r="F8" i="30"/>
  <c r="F7" i="30"/>
  <c r="F6" i="30"/>
  <c r="E71" i="30"/>
  <c r="E69" i="30"/>
  <c r="E69" i="28"/>
  <c r="K50" i="28" s="1"/>
  <c r="G50" i="28" l="1"/>
  <c r="E75" i="30" s="1"/>
  <c r="E70" i="28"/>
  <c r="K51" i="28" s="1"/>
  <c r="K34" i="28"/>
  <c r="K35" i="28" s="1"/>
  <c r="K36" i="28" s="1"/>
  <c r="E52" i="28"/>
  <c r="E74" i="30"/>
  <c r="E25" i="30"/>
  <c r="E24" i="30"/>
  <c r="E72" i="30"/>
  <c r="E71" i="28" l="1"/>
  <c r="G51" i="28"/>
  <c r="E76" i="30" s="1"/>
  <c r="E53" i="28"/>
  <c r="E8" i="30"/>
  <c r="E7" i="30"/>
  <c r="F27" i="30"/>
  <c r="E23" i="30"/>
  <c r="F9" i="30"/>
  <c r="H28" i="30"/>
  <c r="K52" i="28" l="1"/>
  <c r="K53" i="28" s="1"/>
  <c r="E72" i="28"/>
  <c r="G53" i="28" s="1"/>
  <c r="G52" i="28"/>
  <c r="F11" i="30"/>
  <c r="F12" i="30" s="1"/>
  <c r="E28" i="30"/>
  <c r="G56" i="30"/>
  <c r="H56" i="30" s="1"/>
  <c r="E77" i="30"/>
  <c r="G25" i="30"/>
  <c r="I25" i="30" s="1"/>
  <c r="G24" i="30"/>
  <c r="I24" i="30" s="1"/>
  <c r="G23" i="30"/>
  <c r="I23" i="30" s="1"/>
  <c r="G27" i="30"/>
  <c r="I27" i="30" s="1"/>
  <c r="G26" i="30"/>
  <c r="E6" i="30"/>
  <c r="G6" i="30" s="1"/>
  <c r="H6" i="30" s="1"/>
  <c r="H34" i="30"/>
  <c r="H35" i="30"/>
  <c r="H32" i="30"/>
  <c r="H31" i="30"/>
  <c r="H33" i="30"/>
  <c r="H20" i="30"/>
  <c r="H36" i="30" s="1"/>
  <c r="E78" i="30" l="1"/>
  <c r="E15" i="30"/>
  <c r="E16" i="30"/>
  <c r="G7" i="30"/>
  <c r="E17" i="30"/>
  <c r="G8" i="30"/>
  <c r="E9" i="30"/>
  <c r="J45" i="30"/>
  <c r="J46" i="30" s="1"/>
  <c r="I56" i="30"/>
  <c r="E11" i="30" l="1"/>
  <c r="E12" i="30" s="1"/>
  <c r="H7" i="30"/>
  <c r="I7" i="30" s="1"/>
  <c r="E31" i="30"/>
  <c r="G9" i="30"/>
  <c r="G15" i="30"/>
  <c r="I15" i="30" s="1"/>
  <c r="G18" i="30"/>
  <c r="G34" i="30" s="1"/>
  <c r="G16" i="30"/>
  <c r="I16" i="30" s="1"/>
  <c r="G19" i="30"/>
  <c r="G17" i="30"/>
  <c r="I17" i="30" s="1"/>
  <c r="E32" i="30"/>
  <c r="F19" i="30"/>
  <c r="I6" i="30"/>
  <c r="E33" i="30"/>
  <c r="F18" i="30"/>
  <c r="E20" i="30"/>
  <c r="E36" i="30" s="1"/>
  <c r="H8" i="30"/>
  <c r="I8" i="30" s="1"/>
  <c r="H45" i="30"/>
  <c r="H46" i="30" s="1"/>
  <c r="I18" i="30" l="1"/>
  <c r="I19" i="30"/>
  <c r="G31" i="30"/>
  <c r="G52" i="30"/>
  <c r="G51" i="30"/>
  <c r="G20" i="30"/>
  <c r="H9" i="30"/>
  <c r="I9" i="30"/>
  <c r="E45" i="30" s="1"/>
  <c r="G35" i="30"/>
  <c r="G32" i="30"/>
  <c r="G33" i="30"/>
  <c r="F20" i="30"/>
  <c r="F35" i="30"/>
  <c r="F26" i="30"/>
  <c r="I26" i="30" s="1"/>
  <c r="I33" i="30"/>
  <c r="I32" i="30"/>
  <c r="G55" i="30" l="1"/>
  <c r="H55" i="30" s="1"/>
  <c r="E46" i="30"/>
  <c r="G45" i="30"/>
  <c r="I35" i="30"/>
  <c r="I20" i="30"/>
  <c r="G61" i="30"/>
  <c r="H61" i="30" s="1"/>
  <c r="I61" i="30" s="1"/>
  <c r="H52" i="30"/>
  <c r="H51" i="30"/>
  <c r="I51" i="30" s="1"/>
  <c r="F34" i="30"/>
  <c r="G28" i="30"/>
  <c r="G36" i="30" s="1"/>
  <c r="I31" i="30"/>
  <c r="I34" i="30"/>
  <c r="F28" i="30"/>
  <c r="F36" i="30" s="1"/>
  <c r="G60" i="30" l="1"/>
  <c r="H60" i="30" s="1"/>
  <c r="I60" i="30" s="1"/>
  <c r="I52" i="30"/>
  <c r="I55" i="30"/>
  <c r="I28" i="30"/>
  <c r="I36" i="30" s="1"/>
  <c r="G46" i="30" l="1"/>
</calcChain>
</file>

<file path=xl/sharedStrings.xml><?xml version="1.0" encoding="utf-8"?>
<sst xmlns="http://schemas.openxmlformats.org/spreadsheetml/2006/main" count="418" uniqueCount="213">
  <si>
    <t>Perfils</t>
  </si>
  <si>
    <t>Responsable de Qualitat</t>
  </si>
  <si>
    <t>Responsable de Gestió del Canvi</t>
  </si>
  <si>
    <t>Responsable de Gestió del Coneixement</t>
  </si>
  <si>
    <t>Responsable de Millora Contínua</t>
  </si>
  <si>
    <t>Coordinador dels blocs de servei (remot, presencial tècnic, presencial funcional)</t>
  </si>
  <si>
    <t>Gestor del servei (Service Manager)</t>
  </si>
  <si>
    <t>Tècnic Suport Remot N1</t>
  </si>
  <si>
    <t>Tècnic Suport Remot N2</t>
  </si>
  <si>
    <t>Tècnic Suport Presencial Tècnic</t>
  </si>
  <si>
    <t>Tècnic Suport Presencial Funcional</t>
  </si>
  <si>
    <t>BI</t>
  </si>
  <si>
    <t>Costos directes:</t>
  </si>
  <si>
    <t>Costos salarials - Salari Brut</t>
  </si>
  <si>
    <t>TOTAL (Suma costos directes)</t>
  </si>
  <si>
    <t>Costos indirectes:</t>
  </si>
  <si>
    <t>TOTAL (Suma costos directes + indirectes)</t>
  </si>
  <si>
    <t>Benefici industrial</t>
  </si>
  <si>
    <t>Cap projecte</t>
  </si>
  <si>
    <t>Tècnics( Consultor Senior)</t>
  </si>
  <si>
    <t>SLA</t>
  </si>
  <si>
    <t>Qualitat i Gcanvi</t>
  </si>
  <si>
    <r>
      <t>Any</t>
    </r>
    <r>
      <rPr>
        <sz val="11"/>
        <rFont val="Calibri"/>
        <family val="2"/>
      </rPr>
      <t> </t>
    </r>
  </si>
  <si>
    <r>
      <t>Pressupost net</t>
    </r>
    <r>
      <rPr>
        <sz val="11"/>
        <rFont val="Calibri"/>
        <family val="2"/>
      </rPr>
      <t> </t>
    </r>
  </si>
  <si>
    <r>
      <t>IVA</t>
    </r>
    <r>
      <rPr>
        <sz val="11"/>
        <rFont val="Calibri"/>
        <family val="2"/>
      </rPr>
      <t> </t>
    </r>
  </si>
  <si>
    <r>
      <t>Import total</t>
    </r>
    <r>
      <rPr>
        <sz val="11"/>
        <rFont val="Calibri"/>
        <family val="2"/>
      </rPr>
      <t> </t>
    </r>
  </si>
  <si>
    <r>
      <t>2026</t>
    </r>
    <r>
      <rPr>
        <sz val="11"/>
        <color rgb="FF000000"/>
        <rFont val="Calibri"/>
        <family val="2"/>
      </rPr>
      <t> </t>
    </r>
  </si>
  <si>
    <r>
      <t>2027</t>
    </r>
    <r>
      <rPr>
        <sz val="11"/>
        <color rgb="FF000000"/>
        <rFont val="Calibri"/>
        <family val="2"/>
      </rPr>
      <t> </t>
    </r>
  </si>
  <si>
    <r>
      <t>2028</t>
    </r>
    <r>
      <rPr>
        <sz val="11"/>
        <color rgb="FF000000"/>
        <rFont val="Calibri"/>
        <family val="2"/>
      </rPr>
      <t> </t>
    </r>
  </si>
  <si>
    <t>12 mesos</t>
  </si>
  <si>
    <t>€</t>
  </si>
  <si>
    <t>Altres despeses directes**</t>
  </si>
  <si>
    <t>Subministraments objecte del contracte***</t>
  </si>
  <si>
    <t>TOTAL DE COSTOS (directes + indirectes) + benefici industrial:</t>
  </si>
  <si>
    <t>IVA 21%</t>
  </si>
  <si>
    <r>
      <t>Costos salarials - Seguretat Social (34%)</t>
    </r>
    <r>
      <rPr>
        <u/>
        <sz val="10"/>
        <color theme="10"/>
        <rFont val="Calibri"/>
        <family val="2"/>
      </rPr>
      <t>[1]*</t>
    </r>
  </si>
  <si>
    <r>
      <t>Despeses generals d’estructura (15%)</t>
    </r>
    <r>
      <rPr>
        <i/>
        <vertAlign val="superscript"/>
        <sz val="10"/>
        <color rgb="FF000000"/>
        <rFont val="Verdana"/>
        <family val="2"/>
      </rPr>
      <t>2</t>
    </r>
    <r>
      <rPr>
        <sz val="10"/>
        <color rgb="FF000000"/>
        <rFont val="Calibri"/>
        <family val="2"/>
      </rPr>
      <t>****</t>
    </r>
  </si>
  <si>
    <r>
      <t>Benefici industrial (10%)</t>
    </r>
    <r>
      <rPr>
        <i/>
        <vertAlign val="superscript"/>
        <sz val="10"/>
        <color rgb="FF000000"/>
        <rFont val="Verdana"/>
        <family val="2"/>
      </rPr>
      <t>2</t>
    </r>
    <r>
      <rPr>
        <sz val="10"/>
        <color rgb="FF000000"/>
        <rFont val="Calibri"/>
        <family val="2"/>
      </rPr>
      <t>*****</t>
    </r>
  </si>
  <si>
    <r>
      <t>Anualitat</t>
    </r>
    <r>
      <rPr>
        <sz val="8"/>
        <color rgb="FFFFFFFF"/>
        <rFont val="Calibri"/>
        <family val="2"/>
      </rPr>
      <t> </t>
    </r>
  </si>
  <si>
    <r>
      <t>VE prestació</t>
    </r>
    <r>
      <rPr>
        <sz val="8"/>
        <color rgb="FFFFFFFF"/>
        <rFont val="Calibri"/>
        <family val="2"/>
      </rPr>
      <t> </t>
    </r>
  </si>
  <si>
    <r>
      <t>VE eventuals pròrrogues</t>
    </r>
    <r>
      <rPr>
        <sz val="8"/>
        <color rgb="FFFFFFFF"/>
        <rFont val="Calibri"/>
        <family val="2"/>
      </rPr>
      <t> </t>
    </r>
  </si>
  <si>
    <r>
      <t>VE modificacions contracte amb increment de cost previstes</t>
    </r>
    <r>
      <rPr>
        <sz val="8"/>
        <color rgb="FFFFFFFF"/>
        <rFont val="Calibri"/>
        <family val="2"/>
      </rPr>
      <t> </t>
    </r>
  </si>
  <si>
    <r>
      <t>VE modificacions contracte amb disminució de cost previstes</t>
    </r>
    <r>
      <rPr>
        <sz val="8"/>
        <color rgb="FFFFFFFF"/>
        <rFont val="Calibri"/>
        <family val="2"/>
      </rPr>
      <t> </t>
    </r>
  </si>
  <si>
    <r>
      <t>SUMA</t>
    </r>
    <r>
      <rPr>
        <sz val="8"/>
        <color rgb="FFFFFFFF"/>
        <rFont val="Calibri"/>
        <family val="2"/>
      </rPr>
      <t> </t>
    </r>
  </si>
  <si>
    <r>
      <t>2026</t>
    </r>
    <r>
      <rPr>
        <sz val="8"/>
        <color rgb="FFFFFFFF"/>
        <rFont val="Calibri"/>
        <family val="2"/>
      </rPr>
      <t> </t>
    </r>
  </si>
  <si>
    <r>
      <t>2027</t>
    </r>
    <r>
      <rPr>
        <sz val="8"/>
        <color rgb="FFFFFFFF"/>
        <rFont val="Calibri"/>
        <family val="2"/>
      </rPr>
      <t> </t>
    </r>
  </si>
  <si>
    <r>
      <t>2028</t>
    </r>
    <r>
      <rPr>
        <sz val="8"/>
        <color rgb="FFFFFFFF"/>
        <rFont val="Calibri"/>
        <family val="2"/>
      </rPr>
      <t> </t>
    </r>
  </si>
  <si>
    <r>
      <t>2029</t>
    </r>
    <r>
      <rPr>
        <sz val="8"/>
        <color rgb="FFFFFFFF"/>
        <rFont val="Calibri"/>
        <family val="2"/>
      </rPr>
      <t> </t>
    </r>
  </si>
  <si>
    <r>
      <t>2030</t>
    </r>
    <r>
      <rPr>
        <sz val="8"/>
        <color rgb="FFFFFFFF"/>
        <rFont val="Calibri"/>
        <family val="2"/>
      </rPr>
      <t> </t>
    </r>
  </si>
  <si>
    <r>
      <t>Total</t>
    </r>
    <r>
      <rPr>
        <sz val="8"/>
        <rFont val="Calibri"/>
        <family val="2"/>
      </rPr>
      <t> </t>
    </r>
  </si>
  <si>
    <t>IVA</t>
  </si>
  <si>
    <t>Seguretat Social</t>
  </si>
  <si>
    <t>Total anual</t>
  </si>
  <si>
    <t>Despeses indirectes</t>
  </si>
  <si>
    <t>Formació</t>
  </si>
  <si>
    <t>SALARI BASE</t>
  </si>
  <si>
    <t>Número recursos</t>
  </si>
  <si>
    <t>TOTAL SENSE IVA</t>
  </si>
  <si>
    <t>TOTAL AMB IVA</t>
  </si>
  <si>
    <t>Eines</t>
  </si>
  <si>
    <t>Confluence (anual)</t>
  </si>
  <si>
    <t>CONSTRUCCIÓ PREU CONTRACTE ANUAL</t>
  </si>
  <si>
    <t>12 m NMA + OGNMA</t>
  </si>
  <si>
    <t>Total</t>
  </si>
  <si>
    <t>Causes previstes de modificació</t>
  </si>
  <si>
    <t xml:space="preserve">Import contracte </t>
  </si>
  <si>
    <t>(IVA inclòs)</t>
  </si>
  <si>
    <t>% Ampliació sobre import del contracte</t>
  </si>
  <si>
    <t>Import màxim ampliació</t>
  </si>
  <si>
    <t xml:space="preserve"> (IVA inclòs)</t>
  </si>
  <si>
    <t> TOTAL</t>
  </si>
  <si>
    <t>Modificacions per augment o disminució de volumetries en Serveis</t>
  </si>
  <si>
    <t>Any</t>
  </si>
  <si>
    <t>Període</t>
  </si>
  <si>
    <t>Capítol</t>
  </si>
  <si>
    <t>Pressupost net</t>
  </si>
  <si>
    <t>Import total</t>
  </si>
  <si>
    <t>II</t>
  </si>
  <si>
    <t>anual</t>
  </si>
  <si>
    <t>NMA 2026</t>
  </si>
  <si>
    <t>NMA 2027-2028-2029</t>
  </si>
  <si>
    <t>2 primers a cost zero</t>
  </si>
  <si>
    <t>CALCUL 2026-2028</t>
  </si>
  <si>
    <t xml:space="preserve">Tipus actuació </t>
  </si>
  <si>
    <t>Hores esforç efectiu</t>
  </si>
  <si>
    <t>Preu peces recanvi</t>
  </si>
  <si>
    <t>Unitats</t>
  </si>
  <si>
    <t>Total sense IVA</t>
  </si>
  <si>
    <t>Instal·lació impressora en xarxa</t>
  </si>
  <si>
    <t>Reparació bateria portàtil</t>
  </si>
  <si>
    <t>Reparació pantalla portàtil</t>
  </si>
  <si>
    <t>Reparació font alimentació portàtil</t>
  </si>
  <si>
    <t>Reparació placa base portàtil</t>
  </si>
  <si>
    <t>Reparació teclat portàtil</t>
  </si>
  <si>
    <t>Reparació Touchpad portàtil</t>
  </si>
  <si>
    <t>Reparació càmera portàtil</t>
  </si>
  <si>
    <t>Reparació ventilador portàtil</t>
  </si>
  <si>
    <t>Reparació RAM portàtil</t>
  </si>
  <si>
    <t>SUBTOTAL PETIT MATERIAL</t>
  </si>
  <si>
    <t xml:space="preserve">Tipus Petit Material </t>
  </si>
  <si>
    <t>Preu material</t>
  </si>
  <si>
    <t>PECES DE RECANVI</t>
  </si>
  <si>
    <t>Tipus Material</t>
  </si>
  <si>
    <t>LCD</t>
  </si>
  <si>
    <t>Teclat</t>
  </si>
  <si>
    <t>Touchpad</t>
  </si>
  <si>
    <t>Càmera</t>
  </si>
  <si>
    <t>CPU</t>
  </si>
  <si>
    <t>Placa Base</t>
  </si>
  <si>
    <t>Ventilador</t>
  </si>
  <si>
    <t>RAM</t>
  </si>
  <si>
    <t>Bateria</t>
  </si>
  <si>
    <t>Adaptador alimentació</t>
  </si>
  <si>
    <t>Cable alimentació</t>
  </si>
  <si>
    <t>Connector alimentació</t>
  </si>
  <si>
    <t>PETIT MATERIAL</t>
  </si>
  <si>
    <t>Cable USB</t>
  </si>
  <si>
    <t>Cable HDMI</t>
  </si>
  <si>
    <t>Ratolí</t>
  </si>
  <si>
    <t>Preu/Hora ma d'obra màxim</t>
  </si>
  <si>
    <t>Preu Hora Tècnic de Camp + 20% Preu Hora Gestor de servei</t>
  </si>
  <si>
    <t>Hores</t>
  </si>
  <si>
    <t>Material</t>
  </si>
  <si>
    <t>Preu/hora</t>
  </si>
  <si>
    <t>Material reparacions + petit material</t>
  </si>
  <si>
    <t>Ma d'obra</t>
  </si>
  <si>
    <t>Número d'hores</t>
  </si>
  <si>
    <t>Preu hora costos directes</t>
  </si>
  <si>
    <t>Costos directes</t>
  </si>
  <si>
    <t>Producte</t>
  </si>
  <si>
    <t>Preu/mes/usuari</t>
  </si>
  <si>
    <t>Usuaris</t>
  </si>
  <si>
    <t>Mesos</t>
  </si>
  <si>
    <t>Canvi EUR/USD</t>
  </si>
  <si>
    <t>Total Any1</t>
  </si>
  <si>
    <t>Total Any2</t>
  </si>
  <si>
    <t>Total Any3</t>
  </si>
  <si>
    <t>Total Any4</t>
  </si>
  <si>
    <t>Total Any5</t>
  </si>
  <si>
    <t>Confluence Premium</t>
  </si>
  <si>
    <t>Descompte Any 1</t>
  </si>
  <si>
    <t>Descompte Any 2</t>
  </si>
  <si>
    <t>Número de llicències</t>
  </si>
  <si>
    <t>Preu promig anual costos directes</t>
  </si>
  <si>
    <t>Promig Cost Directe</t>
  </si>
  <si>
    <t>Promig cost directe anual / usuari</t>
  </si>
  <si>
    <t>AM - Cap Projecte</t>
  </si>
  <si>
    <t>AM - Consultor senior BI</t>
  </si>
  <si>
    <t>AM - Consultor senior</t>
  </si>
  <si>
    <t>AM - Consultor</t>
  </si>
  <si>
    <t>CONSTRUCCIÓ PREU CONTRACTE ACOMP ANUAL</t>
  </si>
  <si>
    <t>Pressupost net Lot 1 - ACOMP</t>
  </si>
  <si>
    <t>Pressupost net Lot 2 - OGACOMP</t>
  </si>
  <si>
    <t>Preu / hora ma d’obra màxim (IVA exclòs)</t>
  </si>
  <si>
    <t>Import màxim (€) IVA exclòs</t>
  </si>
  <si>
    <t>Cost Directe (€) IVA exclòs</t>
  </si>
  <si>
    <t>Impot màxim (€) IVA exclòs</t>
  </si>
  <si>
    <t>VEC LOT 1 ACOMP</t>
  </si>
  <si>
    <t>VEC LOT 2 OGACOMP</t>
  </si>
  <si>
    <t>LOT 1 ACOMP</t>
  </si>
  <si>
    <t>LOT 2 OGACOMP</t>
  </si>
  <si>
    <t>TOTALS</t>
  </si>
  <si>
    <t>Preus unitaris</t>
  </si>
  <si>
    <t>ACOMP+OGACOMP</t>
  </si>
  <si>
    <t>225 dies naturals + 2 mesos transició</t>
  </si>
  <si>
    <t>OGACOMP 2026-2030</t>
  </si>
  <si>
    <t>TOTAL 2026-28</t>
  </si>
  <si>
    <t>TOTAL AMB IVA 21%</t>
  </si>
  <si>
    <t>12M</t>
  </si>
  <si>
    <t>VEC TOTAL</t>
  </si>
  <si>
    <t>MÍNIMS CONTRACTE</t>
  </si>
  <si>
    <t>225D NMA + 12 m OGNMA</t>
  </si>
  <si>
    <t>TOTAL CONTRACTE</t>
  </si>
  <si>
    <t>Import màxim disminució (part preus unitaris)</t>
  </si>
  <si>
    <t>PERÍODE INICIAL CONTRACTE</t>
  </si>
  <si>
    <t>PRÒRROGUES</t>
  </si>
  <si>
    <t>Inici Transició</t>
  </si>
  <si>
    <t>Final Transició</t>
  </si>
  <si>
    <t>Dies Transició</t>
  </si>
  <si>
    <t>Inici Prestació</t>
  </si>
  <si>
    <t>Final Prestació</t>
  </si>
  <si>
    <t>Dies Prestació</t>
  </si>
  <si>
    <t>Inici</t>
  </si>
  <si>
    <t>Final</t>
  </si>
  <si>
    <t>Dies</t>
  </si>
  <si>
    <t>OGACOMP</t>
  </si>
  <si>
    <t>ACOMP</t>
  </si>
  <si>
    <t>Contracte (mesos)</t>
  </si>
  <si>
    <t>Facturable (mesos)</t>
  </si>
  <si>
    <t>Pròrroga 1 (mesos)</t>
  </si>
  <si>
    <t>Pròrroga 2 (mesos)</t>
  </si>
  <si>
    <t>1/1/26-31/3/28</t>
  </si>
  <si>
    <t>1/1/26-31/12/28</t>
  </si>
  <si>
    <t>1/1/29-31/12/29</t>
  </si>
  <si>
    <t>1/1/30-31/12/30</t>
  </si>
  <si>
    <t>21/3/26-31/12/28</t>
  </si>
  <si>
    <t>21/5/26-31/12/28</t>
  </si>
  <si>
    <t>225d (+59d transiciói) + 12 mesos</t>
  </si>
  <si>
    <t>225D + 58D TRANSICIÓ</t>
  </si>
  <si>
    <t>Power BI PRO</t>
  </si>
  <si>
    <t>Total </t>
  </si>
  <si>
    <t>33 mesos i 9 dies</t>
  </si>
  <si>
    <t>34 mesos i 12 dies</t>
  </si>
  <si>
    <t>57 mesos i 9 dies</t>
  </si>
  <si>
    <t>Import contracte (reparacions, instal·lacions, petit material i llicències)       (IVA inclpos)</t>
  </si>
  <si>
    <t>% Disminució sobre import del contracte (reparacions, instal·lacions, petit material i llicències)          (IVA inclòs)</t>
  </si>
  <si>
    <t>TOTAL PART A PREUS UNITARIS (A EFECTES DE MODIFICACIÓ)</t>
  </si>
  <si>
    <t>Decrement anual (llicències) OGNMA</t>
  </si>
  <si>
    <t>Decrement total (reparacions, instal·lacions, petit material i llicències) NMA</t>
  </si>
  <si>
    <t>Increment  contracte (20% pressupost net)</t>
  </si>
  <si>
    <t>Anualitat</t>
  </si>
  <si>
    <t>Total Període Contracte</t>
  </si>
  <si>
    <r>
      <t>Costos formació i prevenció (1,34%)</t>
    </r>
    <r>
      <rPr>
        <i/>
        <vertAlign val="superscript"/>
        <sz val="10"/>
        <color rgb="FF000000"/>
        <rFont val="Verdana"/>
        <family val="2"/>
      </rPr>
      <t>2</t>
    </r>
    <r>
      <rPr>
        <sz val="10"/>
        <color rgb="FF000000"/>
        <rFont val="Calibri"/>
        <family val="2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</si>
</sst>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#,##0.00\ &quot;€&quot;"/>
    <numFmt numFmtId="166" formatCode="_-* #,##0.00&quot; €&quot;_-;\-* #,##0.00&quot; €&quot;_-;_-* \-??&quot; €&quot;_-;_-@_-"/>
    <numFmt numFmtId="167" formatCode="_-* #,##0.0000_-;\-* #,##0.0000_-;_-* &quot;-&quot;??_-;_-@_-"/>
    <numFmt numFmtId="168" formatCode="#,##0.00000\ &quot;€&quot;;[Red]\-#,##0.00000\ &quot;€&quot;"/>
    <numFmt numFmtId="169" formatCode="_-* #,##0.000_-;\-* #,##0.000_-;_-* &quot;-&quot;??_-;_-@_-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vertAlign val="superscript"/>
      <sz val="10"/>
      <color rgb="FF000000"/>
      <name val="Verdana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u/>
      <sz val="10"/>
      <color theme="10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sz val="11"/>
      <color theme="1"/>
      <name val="Segoe UI"/>
      <family val="2"/>
    </font>
    <font>
      <b/>
      <sz val="8"/>
      <color rgb="FFFFFFFF"/>
      <name val="Calibri"/>
      <family val="2"/>
    </font>
    <font>
      <sz val="8"/>
      <color rgb="FFFFFFFF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</font>
    <font>
      <sz val="8"/>
      <color theme="1"/>
      <name val="Segoe UI"/>
      <family val="2"/>
    </font>
    <font>
      <b/>
      <sz val="11"/>
      <color theme="1"/>
      <name val="Segoe UI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8"/>
      <color theme="1"/>
      <name val="Times New Roman"/>
      <family val="1"/>
    </font>
    <font>
      <sz val="12"/>
      <color rgb="FFFFFFFF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99594"/>
        <bgColor indexed="64"/>
      </patternFill>
    </fill>
    <fill>
      <patternFill patternType="solid">
        <fgColor theme="3" tint="0.89999084444715716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C0504D"/>
      </left>
      <right/>
      <top style="medium">
        <color rgb="FFC0504D"/>
      </top>
      <bottom style="medium">
        <color rgb="FFC0504D"/>
      </bottom>
      <diagonal/>
    </border>
    <border>
      <left/>
      <right/>
      <top style="medium">
        <color rgb="FFC0504D"/>
      </top>
      <bottom style="medium">
        <color rgb="FFC0504D"/>
      </bottom>
      <diagonal/>
    </border>
    <border>
      <left/>
      <right style="medium">
        <color rgb="FFC0504D"/>
      </right>
      <top style="medium">
        <color rgb="FFC0504D"/>
      </top>
      <bottom style="medium">
        <color rgb="FFC0504D"/>
      </bottom>
      <diagonal/>
    </border>
    <border>
      <left style="medium">
        <color rgb="FFD99594"/>
      </left>
      <right style="medium">
        <color rgb="FFD99594"/>
      </right>
      <top/>
      <bottom style="medium">
        <color rgb="FFD99594"/>
      </bottom>
      <diagonal/>
    </border>
    <border>
      <left/>
      <right style="medium">
        <color rgb="FFD99594"/>
      </right>
      <top/>
      <bottom style="medium">
        <color rgb="FFD9959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3" fillId="0" borderId="0" applyBorder="0" applyProtection="0"/>
    <xf numFmtId="0" fontId="3" fillId="0" borderId="0"/>
    <xf numFmtId="0" fontId="4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5">
    <xf numFmtId="0" fontId="0" fillId="0" borderId="0" xfId="0"/>
    <xf numFmtId="165" fontId="0" fillId="0" borderId="0" xfId="0" applyNumberFormat="1"/>
    <xf numFmtId="0" fontId="12" fillId="2" borderId="14" xfId="0" applyFont="1" applyFill="1" applyBorder="1" applyAlignment="1">
      <alignment horizontal="right" vertical="center" wrapText="1"/>
    </xf>
    <xf numFmtId="0" fontId="12" fillId="0" borderId="6" xfId="0" applyFont="1" applyBorder="1" applyAlignment="1">
      <alignment horizontal="justify" vertical="center"/>
    </xf>
    <xf numFmtId="8" fontId="12" fillId="0" borderId="7" xfId="0" applyNumberFormat="1" applyFont="1" applyBorder="1" applyAlignment="1">
      <alignment horizontal="right" vertical="center"/>
    </xf>
    <xf numFmtId="0" fontId="13" fillId="0" borderId="6" xfId="8" applyFont="1" applyBorder="1" applyAlignment="1">
      <alignment horizontal="justify" vertical="center"/>
    </xf>
    <xf numFmtId="0" fontId="11" fillId="0" borderId="6" xfId="0" applyFont="1" applyBorder="1" applyAlignment="1">
      <alignment horizontal="justify" vertical="center"/>
    </xf>
    <xf numFmtId="8" fontId="12" fillId="2" borderId="15" xfId="0" applyNumberFormat="1" applyFont="1" applyFill="1" applyBorder="1" applyAlignment="1">
      <alignment horizontal="right" vertical="center" wrapText="1"/>
    </xf>
    <xf numFmtId="8" fontId="0" fillId="0" borderId="0" xfId="0" applyNumberFormat="1"/>
    <xf numFmtId="0" fontId="15" fillId="0" borderId="0" xfId="0" applyFont="1" applyAlignment="1">
      <alignment horizontal="justify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165" fontId="23" fillId="4" borderId="12" xfId="0" applyNumberFormat="1" applyFont="1" applyFill="1" applyBorder="1" applyAlignment="1">
      <alignment horizontal="center" vertical="center" wrapText="1"/>
    </xf>
    <xf numFmtId="165" fontId="23" fillId="4" borderId="13" xfId="0" applyNumberFormat="1" applyFont="1" applyFill="1" applyBorder="1" applyAlignment="1">
      <alignment horizontal="center" vertical="center" wrapText="1"/>
    </xf>
    <xf numFmtId="165" fontId="19" fillId="0" borderId="11" xfId="0" applyNumberFormat="1" applyFont="1" applyBorder="1" applyAlignment="1">
      <alignment horizontal="center" vertical="center" wrapText="1"/>
    </xf>
    <xf numFmtId="165" fontId="20" fillId="0" borderId="9" xfId="0" applyNumberFormat="1" applyFont="1" applyBorder="1" applyAlignment="1">
      <alignment horizontal="center" vertical="center" wrapText="1"/>
    </xf>
    <xf numFmtId="165" fontId="24" fillId="4" borderId="13" xfId="0" applyNumberFormat="1" applyFont="1" applyFill="1" applyBorder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8" fontId="16" fillId="0" borderId="0" xfId="0" applyNumberFormat="1" applyFont="1" applyAlignment="1">
      <alignment vertical="center" wrapText="1"/>
    </xf>
    <xf numFmtId="0" fontId="26" fillId="0" borderId="0" xfId="0" applyFont="1" applyAlignment="1">
      <alignment vertical="center" wrapText="1"/>
    </xf>
    <xf numFmtId="9" fontId="26" fillId="0" borderId="0" xfId="0" applyNumberFormat="1" applyFont="1" applyAlignment="1">
      <alignment vertical="center" wrapText="1"/>
    </xf>
    <xf numFmtId="8" fontId="26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7" fillId="2" borderId="20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0" fontId="28" fillId="0" borderId="5" xfId="0" applyNumberFormat="1" applyFont="1" applyBorder="1" applyAlignment="1">
      <alignment horizontal="center" vertical="center" wrapText="1"/>
    </xf>
    <xf numFmtId="8" fontId="28" fillId="0" borderId="5" xfId="0" applyNumberFormat="1" applyFont="1" applyBorder="1" applyAlignment="1">
      <alignment horizontal="center" vertical="center"/>
    </xf>
    <xf numFmtId="8" fontId="29" fillId="0" borderId="5" xfId="0" applyNumberFormat="1" applyFont="1" applyBorder="1" applyAlignment="1">
      <alignment horizontal="center" vertical="center"/>
    </xf>
    <xf numFmtId="0" fontId="11" fillId="4" borderId="4" xfId="0" applyFont="1" applyFill="1" applyBorder="1" applyAlignment="1">
      <alignment horizontal="left" vertical="center"/>
    </xf>
    <xf numFmtId="8" fontId="11" fillId="4" borderId="5" xfId="0" applyNumberFormat="1" applyFont="1" applyFill="1" applyBorder="1" applyAlignment="1">
      <alignment horizontal="center"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8" fontId="11" fillId="4" borderId="5" xfId="0" applyNumberFormat="1" applyFont="1" applyFill="1" applyBorder="1" applyAlignment="1">
      <alignment horizontal="center" vertical="center"/>
    </xf>
    <xf numFmtId="8" fontId="30" fillId="4" borderId="5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justify" vertical="center"/>
    </xf>
    <xf numFmtId="0" fontId="27" fillId="3" borderId="2" xfId="0" applyFont="1" applyFill="1" applyBorder="1" applyAlignment="1">
      <alignment horizontal="center" vertical="center" wrapText="1"/>
    </xf>
    <xf numFmtId="0" fontId="27" fillId="3" borderId="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8" fontId="6" fillId="0" borderId="5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32" fillId="3" borderId="21" xfId="0" applyFont="1" applyFill="1" applyBorder="1" applyAlignment="1">
      <alignment horizontal="justify" vertical="center" wrapText="1"/>
    </xf>
    <xf numFmtId="0" fontId="32" fillId="3" borderId="22" xfId="0" applyFont="1" applyFill="1" applyBorder="1" applyAlignment="1">
      <alignment horizontal="center" vertical="center" wrapText="1"/>
    </xf>
    <xf numFmtId="0" fontId="32" fillId="3" borderId="23" xfId="0" applyFont="1" applyFill="1" applyBorder="1" applyAlignment="1">
      <alignment horizontal="justify" vertical="center" wrapText="1"/>
    </xf>
    <xf numFmtId="0" fontId="33" fillId="0" borderId="24" xfId="0" applyFont="1" applyBorder="1" applyAlignment="1">
      <alignment horizontal="justify" vertical="center" wrapText="1"/>
    </xf>
    <xf numFmtId="44" fontId="34" fillId="0" borderId="25" xfId="1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44" fontId="34" fillId="0" borderId="25" xfId="0" applyNumberFormat="1" applyFont="1" applyBorder="1" applyAlignment="1">
      <alignment horizontal="center" vertical="center" wrapText="1"/>
    </xf>
    <xf numFmtId="44" fontId="0" fillId="0" borderId="0" xfId="0" applyNumberFormat="1" applyAlignment="1">
      <alignment wrapText="1"/>
    </xf>
    <xf numFmtId="8" fontId="34" fillId="0" borderId="25" xfId="10" applyNumberFormat="1" applyFont="1" applyBorder="1" applyAlignment="1">
      <alignment horizontal="center" vertical="center" wrapText="1"/>
    </xf>
    <xf numFmtId="8" fontId="0" fillId="0" borderId="0" xfId="0" applyNumberFormat="1" applyAlignment="1">
      <alignment wrapText="1"/>
    </xf>
    <xf numFmtId="44" fontId="32" fillId="3" borderId="23" xfId="0" applyNumberFormat="1" applyFont="1" applyFill="1" applyBorder="1" applyAlignment="1">
      <alignment horizontal="justify" vertical="center" wrapText="1"/>
    </xf>
    <xf numFmtId="0" fontId="35" fillId="0" borderId="0" xfId="0" applyFont="1" applyAlignment="1">
      <alignment horizontal="left" vertical="center" wrapText="1"/>
    </xf>
    <xf numFmtId="0" fontId="36" fillId="3" borderId="21" xfId="0" applyFont="1" applyFill="1" applyBorder="1" applyAlignment="1">
      <alignment horizontal="justify" vertical="center" wrapText="1"/>
    </xf>
    <xf numFmtId="0" fontId="34" fillId="0" borderId="0" xfId="0" applyFont="1" applyAlignment="1">
      <alignment wrapText="1"/>
    </xf>
    <xf numFmtId="0" fontId="37" fillId="0" borderId="24" xfId="0" applyFont="1" applyBorder="1" applyAlignment="1">
      <alignment horizontal="justify" vertical="center" wrapText="1"/>
    </xf>
    <xf numFmtId="0" fontId="37" fillId="0" borderId="25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44" fontId="37" fillId="0" borderId="25" xfId="10" applyFont="1" applyBorder="1" applyAlignment="1">
      <alignment horizontal="justify" vertical="center" wrapText="1"/>
    </xf>
    <xf numFmtId="44" fontId="37" fillId="6" borderId="25" xfId="0" applyNumberFormat="1" applyFont="1" applyFill="1" applyBorder="1" applyAlignment="1">
      <alignment horizontal="justify" vertical="center" wrapText="1"/>
    </xf>
    <xf numFmtId="0" fontId="6" fillId="0" borderId="24" xfId="0" applyFont="1" applyBorder="1" applyAlignment="1">
      <alignment horizontal="justify" vertical="center" wrapText="1"/>
    </xf>
    <xf numFmtId="0" fontId="38" fillId="0" borderId="25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justify" vertical="center" wrapText="1"/>
    </xf>
    <xf numFmtId="8" fontId="38" fillId="0" borderId="25" xfId="0" applyNumberFormat="1" applyFont="1" applyBorder="1" applyAlignment="1">
      <alignment horizontal="right" vertical="center" wrapText="1"/>
    </xf>
    <xf numFmtId="44" fontId="16" fillId="0" borderId="0" xfId="0" applyNumberFormat="1" applyFont="1" applyAlignment="1">
      <alignment vertical="center" wrapText="1"/>
    </xf>
    <xf numFmtId="0" fontId="39" fillId="2" borderId="15" xfId="0" applyFont="1" applyFill="1" applyBorder="1" applyAlignment="1">
      <alignment horizontal="justify" vertical="center" wrapText="1"/>
    </xf>
    <xf numFmtId="8" fontId="40" fillId="2" borderId="15" xfId="0" applyNumberFormat="1" applyFont="1" applyFill="1" applyBorder="1" applyAlignment="1">
      <alignment horizontal="right" vertical="center" wrapText="1"/>
    </xf>
    <xf numFmtId="0" fontId="39" fillId="5" borderId="15" xfId="0" applyFont="1" applyFill="1" applyBorder="1" applyAlignment="1">
      <alignment horizontal="right" vertical="center" wrapText="1"/>
    </xf>
    <xf numFmtId="8" fontId="40" fillId="5" borderId="15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8" fontId="6" fillId="0" borderId="0" xfId="0" applyNumberFormat="1" applyFont="1" applyAlignment="1">
      <alignment horizontal="center" vertical="center"/>
    </xf>
    <xf numFmtId="8" fontId="6" fillId="0" borderId="0" xfId="0" applyNumberFormat="1" applyFont="1" applyAlignment="1">
      <alignment horizontal="center" vertical="center" wrapText="1"/>
    </xf>
    <xf numFmtId="8" fontId="6" fillId="0" borderId="4" xfId="0" applyNumberFormat="1" applyFont="1" applyBorder="1" applyAlignment="1">
      <alignment horizontal="center" vertical="center" wrapText="1"/>
    </xf>
    <xf numFmtId="44" fontId="33" fillId="0" borderId="25" xfId="10" applyFont="1" applyBorder="1" applyAlignment="1">
      <alignment horizontal="center" vertical="center" wrapText="1"/>
    </xf>
    <xf numFmtId="44" fontId="0" fillId="0" borderId="0" xfId="0" applyNumberFormat="1"/>
    <xf numFmtId="0" fontId="41" fillId="0" borderId="0" xfId="0" applyFont="1"/>
    <xf numFmtId="44" fontId="28" fillId="0" borderId="5" xfId="0" applyNumberFormat="1" applyFont="1" applyBorder="1" applyAlignment="1">
      <alignment horizontal="center" vertical="center" wrapText="1"/>
    </xf>
    <xf numFmtId="165" fontId="9" fillId="0" borderId="1" xfId="10" applyNumberFormat="1" applyFont="1" applyBorder="1" applyAlignment="1">
      <alignment horizontal="right" vertical="center" wrapText="1"/>
    </xf>
    <xf numFmtId="165" fontId="2" fillId="0" borderId="1" xfId="10" applyNumberFormat="1" applyFont="1" applyBorder="1" applyAlignment="1">
      <alignment horizontal="right" vertical="center" wrapText="1"/>
    </xf>
    <xf numFmtId="0" fontId="0" fillId="0" borderId="26" xfId="0" applyBorder="1"/>
    <xf numFmtId="0" fontId="0" fillId="0" borderId="27" xfId="0" applyBorder="1"/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32" xfId="0" applyBorder="1"/>
    <xf numFmtId="0" fontId="0" fillId="0" borderId="33" xfId="0" applyBorder="1"/>
    <xf numFmtId="0" fontId="0" fillId="0" borderId="30" xfId="0" applyBorder="1" applyAlignment="1">
      <alignment horizontal="center"/>
    </xf>
    <xf numFmtId="14" fontId="0" fillId="0" borderId="29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  <xf numFmtId="43" fontId="0" fillId="0" borderId="30" xfId="11" applyFont="1" applyBorder="1" applyAlignment="1">
      <alignment horizontal="center"/>
    </xf>
    <xf numFmtId="43" fontId="0" fillId="0" borderId="31" xfId="11" applyFon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14" fontId="0" fillId="0" borderId="35" xfId="0" applyNumberFormat="1" applyBorder="1" applyAlignment="1">
      <alignment horizontal="center"/>
    </xf>
    <xf numFmtId="43" fontId="0" fillId="0" borderId="35" xfId="11" applyFont="1" applyBorder="1" applyAlignment="1">
      <alignment horizontal="center"/>
    </xf>
    <xf numFmtId="43" fontId="0" fillId="0" borderId="36" xfId="11" applyFont="1" applyBorder="1" applyAlignment="1">
      <alignment horizontal="center"/>
    </xf>
    <xf numFmtId="14" fontId="0" fillId="0" borderId="0" xfId="0" applyNumberFormat="1"/>
    <xf numFmtId="43" fontId="0" fillId="0" borderId="0" xfId="11" applyFont="1"/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7" fontId="0" fillId="0" borderId="0" xfId="11" applyNumberFormat="1" applyFont="1"/>
    <xf numFmtId="0" fontId="34" fillId="0" borderId="30" xfId="0" applyFont="1" applyBorder="1" applyAlignment="1">
      <alignment horizontal="justify" vertical="center" textRotation="90"/>
    </xf>
    <xf numFmtId="0" fontId="34" fillId="0" borderId="30" xfId="0" applyFont="1" applyBorder="1" applyAlignment="1">
      <alignment horizontal="justify" vertical="center"/>
    </xf>
    <xf numFmtId="167" fontId="16" fillId="0" borderId="0" xfId="11" applyNumberFormat="1" applyFont="1" applyAlignment="1">
      <alignment vertical="center" wrapText="1"/>
    </xf>
    <xf numFmtId="168" fontId="16" fillId="0" borderId="0" xfId="0" applyNumberFormat="1" applyFont="1" applyAlignment="1">
      <alignment vertical="center" wrapText="1"/>
    </xf>
    <xf numFmtId="0" fontId="34" fillId="0" borderId="30" xfId="0" applyFont="1" applyBorder="1" applyAlignment="1">
      <alignment horizontal="center" vertical="center" textRotation="90" wrapText="1"/>
    </xf>
    <xf numFmtId="8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9" fontId="34" fillId="0" borderId="30" xfId="0" applyNumberFormat="1" applyFont="1" applyBorder="1" applyAlignment="1">
      <alignment horizontal="center" vertical="center"/>
    </xf>
    <xf numFmtId="0" fontId="39" fillId="2" borderId="14" xfId="0" applyFont="1" applyFill="1" applyBorder="1" applyAlignment="1">
      <alignment horizontal="justify" vertical="center" wrapText="1"/>
    </xf>
    <xf numFmtId="169" fontId="0" fillId="0" borderId="0" xfId="11" applyNumberFormat="1" applyFont="1"/>
    <xf numFmtId="0" fontId="8" fillId="0" borderId="0" xfId="0" applyFont="1" applyAlignment="1">
      <alignment horizontal="center" vertical="center" wrapText="1"/>
    </xf>
    <xf numFmtId="44" fontId="0" fillId="0" borderId="0" xfId="10" applyFont="1"/>
    <xf numFmtId="43" fontId="0" fillId="0" borderId="0" xfId="11" applyFont="1" applyAlignment="1">
      <alignment horizontal="left" indent="2"/>
    </xf>
    <xf numFmtId="0" fontId="0" fillId="0" borderId="30" xfId="0" applyBorder="1"/>
    <xf numFmtId="0" fontId="40" fillId="2" borderId="14" xfId="0" applyFont="1" applyFill="1" applyBorder="1" applyAlignment="1">
      <alignment horizontal="right" vertical="center" wrapText="1"/>
    </xf>
    <xf numFmtId="8" fontId="39" fillId="2" borderId="15" xfId="0" applyNumberFormat="1" applyFont="1" applyFill="1" applyBorder="1" applyAlignment="1">
      <alignment horizontal="right" vertical="center" wrapText="1"/>
    </xf>
    <xf numFmtId="8" fontId="39" fillId="5" borderId="15" xfId="0" applyNumberFormat="1" applyFont="1" applyFill="1" applyBorder="1" applyAlignment="1">
      <alignment horizontal="right" vertical="center" wrapText="1"/>
    </xf>
    <xf numFmtId="2" fontId="34" fillId="0" borderId="30" xfId="0" applyNumberFormat="1" applyFont="1" applyBorder="1" applyAlignment="1">
      <alignment horizontal="center" vertical="center"/>
    </xf>
    <xf numFmtId="8" fontId="0" fillId="0" borderId="30" xfId="0" applyNumberFormat="1" applyBorder="1" applyAlignment="1">
      <alignment horizontal="center" vertical="center"/>
    </xf>
    <xf numFmtId="0" fontId="40" fillId="2" borderId="14" xfId="0" applyFont="1" applyFill="1" applyBorder="1" applyAlignment="1">
      <alignment horizontal="justify" vertical="center" wrapText="1"/>
    </xf>
    <xf numFmtId="44" fontId="0" fillId="0" borderId="30" xfId="10" applyFont="1" applyBorder="1"/>
    <xf numFmtId="165" fontId="0" fillId="0" borderId="30" xfId="0" applyNumberFormat="1" applyBorder="1"/>
    <xf numFmtId="44" fontId="0" fillId="0" borderId="30" xfId="10" applyFont="1" applyBorder="1" applyAlignment="1">
      <alignment wrapText="1"/>
    </xf>
    <xf numFmtId="8" fontId="0" fillId="0" borderId="30" xfId="0" applyNumberFormat="1" applyBorder="1"/>
    <xf numFmtId="0" fontId="0" fillId="0" borderId="30" xfId="0" applyBorder="1" applyAlignment="1">
      <alignment horizontal="left"/>
    </xf>
    <xf numFmtId="0" fontId="26" fillId="0" borderId="0" xfId="0" applyFont="1" applyAlignment="1">
      <alignment horizontal="center" vertical="center" wrapText="1"/>
    </xf>
    <xf numFmtId="0" fontId="32" fillId="3" borderId="22" xfId="0" applyFont="1" applyFill="1" applyBorder="1" applyAlignment="1">
      <alignment horizontal="justify" vertical="center" wrapText="1"/>
    </xf>
    <xf numFmtId="0" fontId="32" fillId="3" borderId="23" xfId="0" applyFont="1" applyFill="1" applyBorder="1" applyAlignment="1">
      <alignment horizontal="justify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left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12">
    <cellStyle name="Coma" xfId="11" builtinId="3"/>
    <cellStyle name="Coma 2" xfId="1" xr:uid="{00000000-0005-0000-0000-000000000000}"/>
    <cellStyle name="Coma 3" xfId="9" xr:uid="{A79747C1-49E7-4765-A1C6-B5F6FB6F89FD}"/>
    <cellStyle name="Enllaç" xfId="8" builtinId="8"/>
    <cellStyle name="Millares 2" xfId="2" xr:uid="{00000000-0005-0000-0000-000002000000}"/>
    <cellStyle name="Moneda" xfId="10" builtinId="4"/>
    <cellStyle name="Moneda 2" xfId="3" xr:uid="{00000000-0005-0000-0000-000004000000}"/>
    <cellStyle name="Normal" xfId="0" builtinId="0"/>
    <cellStyle name="Normal 2" xfId="4" xr:uid="{00000000-0005-0000-0000-000006000000}"/>
    <cellStyle name="Normal 3" xfId="5" xr:uid="{00000000-0005-0000-0000-000007000000}"/>
    <cellStyle name="Normal 4" xfId="6" xr:uid="{00000000-0005-0000-0000-000008000000}"/>
    <cellStyle name="Normal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BBEA0-94F5-4DE5-9B21-FA35CCCE9D38}">
  <dimension ref="B5:N72"/>
  <sheetViews>
    <sheetView tabSelected="1" topLeftCell="A50" zoomScale="81" zoomScaleNormal="81" workbookViewId="0">
      <selection activeCell="J41" sqref="J41:K53"/>
    </sheetView>
  </sheetViews>
  <sheetFormatPr defaultColWidth="8.88671875" defaultRowHeight="14.4" x14ac:dyDescent="0.3"/>
  <cols>
    <col min="4" max="4" width="41.88671875" customWidth="1"/>
    <col min="5" max="5" width="14.33203125" customWidth="1"/>
    <col min="6" max="6" width="17.6640625" customWidth="1"/>
    <col min="7" max="7" width="17" customWidth="1"/>
    <col min="8" max="8" width="20.5546875" customWidth="1"/>
    <col min="9" max="9" width="14.6640625" customWidth="1"/>
    <col min="10" max="10" width="21.5546875" customWidth="1"/>
    <col min="11" max="11" width="16.6640625" customWidth="1"/>
    <col min="13" max="13" width="23" customWidth="1"/>
    <col min="14" max="14" width="21.33203125" customWidth="1"/>
  </cols>
  <sheetData>
    <row r="5" spans="2:11" x14ac:dyDescent="0.3">
      <c r="D5" s="22"/>
    </row>
    <row r="7" spans="2:11" ht="16.8" x14ac:dyDescent="0.3">
      <c r="D7" s="23"/>
      <c r="E7" s="23"/>
      <c r="F7" s="23"/>
      <c r="G7" s="23"/>
      <c r="H7" s="23"/>
      <c r="I7" s="23"/>
      <c r="J7" s="23"/>
      <c r="K7" s="23"/>
    </row>
    <row r="8" spans="2:11" ht="16.8" x14ac:dyDescent="0.3">
      <c r="D8" s="136" t="s">
        <v>150</v>
      </c>
      <c r="E8" s="136"/>
      <c r="F8" s="136"/>
      <c r="G8" s="136"/>
      <c r="H8" s="136"/>
      <c r="I8" s="136"/>
      <c r="J8" s="136"/>
      <c r="K8" s="136"/>
    </row>
    <row r="9" spans="2:11" ht="33.6" x14ac:dyDescent="0.3">
      <c r="B9" s="48"/>
      <c r="C9" s="48"/>
      <c r="D9" s="25" t="s">
        <v>61</v>
      </c>
      <c r="E9" s="23"/>
      <c r="F9" s="25" t="s">
        <v>51</v>
      </c>
      <c r="G9" s="25" t="s">
        <v>54</v>
      </c>
      <c r="H9" s="25" t="s">
        <v>53</v>
      </c>
      <c r="I9" s="25" t="s">
        <v>17</v>
      </c>
      <c r="J9" s="23"/>
      <c r="K9" s="23"/>
    </row>
    <row r="10" spans="2:11" ht="16.8" x14ac:dyDescent="0.3">
      <c r="B10" s="48"/>
      <c r="C10" s="48"/>
      <c r="D10" s="23"/>
      <c r="E10" s="25" t="s">
        <v>55</v>
      </c>
      <c r="F10" s="26">
        <v>0.34</v>
      </c>
      <c r="G10" s="26">
        <v>0.01</v>
      </c>
      <c r="H10" s="26">
        <v>0.15</v>
      </c>
      <c r="I10" s="26">
        <v>0.1</v>
      </c>
      <c r="J10" s="25" t="s">
        <v>56</v>
      </c>
      <c r="K10" s="25" t="s">
        <v>52</v>
      </c>
    </row>
    <row r="11" spans="2:11" ht="16.8" x14ac:dyDescent="0.3">
      <c r="B11" s="48" t="s">
        <v>0</v>
      </c>
      <c r="C11" s="48"/>
      <c r="D11" s="23" t="s">
        <v>1</v>
      </c>
      <c r="E11" s="24">
        <v>37539.510862332638</v>
      </c>
      <c r="F11" s="24">
        <f>E11*(1+$F$10)</f>
        <v>50302.944555525741</v>
      </c>
      <c r="G11" s="24">
        <f>F11*(1+$G$10)</f>
        <v>50805.974001080998</v>
      </c>
      <c r="H11" s="24">
        <f>G11*(1+$H$10)</f>
        <v>58426.870101243141</v>
      </c>
      <c r="I11" s="24">
        <f>H11*(1+$I$10)</f>
        <v>64269.55711136746</v>
      </c>
      <c r="J11" s="23">
        <v>1</v>
      </c>
      <c r="K11" s="24">
        <f t="shared" ref="K11:K20" si="0">ROUND(I11*J11,2)</f>
        <v>64269.56</v>
      </c>
    </row>
    <row r="12" spans="2:11" ht="16.8" x14ac:dyDescent="0.3">
      <c r="B12" s="48"/>
      <c r="C12" s="48"/>
      <c r="D12" s="23" t="s">
        <v>2</v>
      </c>
      <c r="E12" s="24">
        <v>38208.727921420206</v>
      </c>
      <c r="F12" s="24">
        <f t="shared" ref="F12:F20" si="1">E12*(1+$F$10)</f>
        <v>51199.695414703077</v>
      </c>
      <c r="G12" s="24">
        <f t="shared" ref="G12:G20" si="2">F12*(1+$G$10)</f>
        <v>51711.692368850112</v>
      </c>
      <c r="H12" s="24">
        <f t="shared" ref="H12:H20" si="3">G12*(1+$H$10)</f>
        <v>59468.446224177627</v>
      </c>
      <c r="I12" s="24">
        <f t="shared" ref="I12:I20" si="4">H12*(1+$I$10)</f>
        <v>65415.290846595395</v>
      </c>
      <c r="J12" s="23">
        <v>1</v>
      </c>
      <c r="K12" s="24">
        <f t="shared" si="0"/>
        <v>65415.29</v>
      </c>
    </row>
    <row r="13" spans="2:11" ht="16.8" x14ac:dyDescent="0.3">
      <c r="B13" s="48"/>
      <c r="C13" s="48"/>
      <c r="D13" s="23" t="s">
        <v>3</v>
      </c>
      <c r="E13" s="24">
        <v>38230.257685968121</v>
      </c>
      <c r="F13" s="24">
        <f t="shared" si="1"/>
        <v>51228.545299197285</v>
      </c>
      <c r="G13" s="24">
        <f t="shared" si="2"/>
        <v>51740.830752189257</v>
      </c>
      <c r="H13" s="24">
        <f t="shared" si="3"/>
        <v>59501.955365017639</v>
      </c>
      <c r="I13" s="24">
        <f t="shared" si="4"/>
        <v>65452.15090151941</v>
      </c>
      <c r="J13" s="23">
        <v>1</v>
      </c>
      <c r="K13" s="24">
        <f t="shared" si="0"/>
        <v>65452.15</v>
      </c>
    </row>
    <row r="14" spans="2:11" ht="16.8" x14ac:dyDescent="0.3">
      <c r="B14" s="48"/>
      <c r="C14" s="48"/>
      <c r="D14" s="23" t="s">
        <v>4</v>
      </c>
      <c r="E14" s="24">
        <v>38534.187773242425</v>
      </c>
      <c r="F14" s="24">
        <f t="shared" si="1"/>
        <v>51635.811616144856</v>
      </c>
      <c r="G14" s="24">
        <f t="shared" si="2"/>
        <v>52152.169732306305</v>
      </c>
      <c r="H14" s="24">
        <f t="shared" si="3"/>
        <v>59974.995192152244</v>
      </c>
      <c r="I14" s="24">
        <f t="shared" si="4"/>
        <v>65972.494711367472</v>
      </c>
      <c r="J14" s="23">
        <v>1</v>
      </c>
      <c r="K14" s="24">
        <f t="shared" si="0"/>
        <v>65972.490000000005</v>
      </c>
    </row>
    <row r="15" spans="2:11" ht="33.6" x14ac:dyDescent="0.3">
      <c r="B15" s="48"/>
      <c r="C15" s="48"/>
      <c r="D15" s="23" t="s">
        <v>5</v>
      </c>
      <c r="E15" s="24">
        <v>36688.80018108659</v>
      </c>
      <c r="F15" s="24">
        <f t="shared" si="1"/>
        <v>49162.992242656037</v>
      </c>
      <c r="G15" s="24">
        <f t="shared" si="2"/>
        <v>49654.622165082597</v>
      </c>
      <c r="H15" s="24">
        <f t="shared" si="3"/>
        <v>57102.815489844979</v>
      </c>
      <c r="I15" s="24">
        <f t="shared" si="4"/>
        <v>62813.097038829481</v>
      </c>
      <c r="J15" s="23">
        <v>3</v>
      </c>
      <c r="K15" s="24">
        <f t="shared" si="0"/>
        <v>188439.29</v>
      </c>
    </row>
    <row r="16" spans="2:11" ht="16.8" x14ac:dyDescent="0.3">
      <c r="B16" s="48"/>
      <c r="C16" s="48"/>
      <c r="D16" s="23" t="s">
        <v>6</v>
      </c>
      <c r="E16" s="24">
        <v>54853.608354393247</v>
      </c>
      <c r="F16" s="24">
        <f t="shared" si="1"/>
        <v>73503.835194886953</v>
      </c>
      <c r="G16" s="24">
        <f t="shared" si="2"/>
        <v>74238.873546835821</v>
      </c>
      <c r="H16" s="24">
        <f t="shared" si="3"/>
        <v>85374.704578861187</v>
      </c>
      <c r="I16" s="24">
        <f t="shared" si="4"/>
        <v>93912.175036747314</v>
      </c>
      <c r="J16" s="23">
        <v>1</v>
      </c>
      <c r="K16" s="24">
        <f t="shared" si="0"/>
        <v>93912.18</v>
      </c>
    </row>
    <row r="17" spans="2:14" ht="16.8" x14ac:dyDescent="0.3">
      <c r="B17" s="48"/>
      <c r="C17" s="48"/>
      <c r="D17" s="23" t="s">
        <v>7</v>
      </c>
      <c r="E17" s="24">
        <v>24858.472838779137</v>
      </c>
      <c r="F17" s="24">
        <f t="shared" si="1"/>
        <v>33310.353603964046</v>
      </c>
      <c r="G17" s="24">
        <f t="shared" si="2"/>
        <v>33643.457140003688</v>
      </c>
      <c r="H17" s="24">
        <f t="shared" si="3"/>
        <v>38689.975711004241</v>
      </c>
      <c r="I17" s="24">
        <f t="shared" si="4"/>
        <v>42558.973282104671</v>
      </c>
      <c r="J17" s="23">
        <v>12</v>
      </c>
      <c r="K17" s="24">
        <f t="shared" si="0"/>
        <v>510707.68</v>
      </c>
    </row>
    <row r="18" spans="2:14" ht="16.8" x14ac:dyDescent="0.3">
      <c r="B18" s="48"/>
      <c r="C18" s="48"/>
      <c r="D18" s="23" t="s">
        <v>8</v>
      </c>
      <c r="E18" s="24">
        <v>28272.669338383981</v>
      </c>
      <c r="F18" s="24">
        <f t="shared" si="1"/>
        <v>37885.376913434535</v>
      </c>
      <c r="G18" s="24">
        <f t="shared" si="2"/>
        <v>38264.230682568879</v>
      </c>
      <c r="H18" s="24">
        <f t="shared" si="3"/>
        <v>44003.865284954205</v>
      </c>
      <c r="I18" s="24">
        <f t="shared" si="4"/>
        <v>48404.251813449628</v>
      </c>
      <c r="J18" s="23">
        <v>13</v>
      </c>
      <c r="K18" s="24">
        <f t="shared" si="0"/>
        <v>629255.27</v>
      </c>
    </row>
    <row r="19" spans="2:14" ht="16.8" x14ac:dyDescent="0.3">
      <c r="B19" s="48"/>
      <c r="C19" s="48"/>
      <c r="D19" s="23" t="s">
        <v>9</v>
      </c>
      <c r="E19" s="24">
        <v>29157.547499836543</v>
      </c>
      <c r="F19" s="24">
        <f t="shared" si="1"/>
        <v>39071.113649780971</v>
      </c>
      <c r="G19" s="24">
        <f t="shared" si="2"/>
        <v>39461.824786278783</v>
      </c>
      <c r="H19" s="24">
        <f t="shared" si="3"/>
        <v>45381.098504220594</v>
      </c>
      <c r="I19" s="24">
        <f t="shared" si="4"/>
        <v>49919.208354642658</v>
      </c>
      <c r="J19" s="23">
        <v>8</v>
      </c>
      <c r="K19" s="24">
        <f t="shared" si="0"/>
        <v>399353.67</v>
      </c>
      <c r="N19" s="8"/>
    </row>
    <row r="20" spans="2:14" ht="16.8" x14ac:dyDescent="0.3">
      <c r="B20" s="48"/>
      <c r="C20" s="48"/>
      <c r="D20" s="23" t="s">
        <v>10</v>
      </c>
      <c r="E20" s="24">
        <v>33958.816522397763</v>
      </c>
      <c r="F20" s="24">
        <f t="shared" si="1"/>
        <v>45504.814140013004</v>
      </c>
      <c r="G20" s="24">
        <f t="shared" si="2"/>
        <v>45959.862281413138</v>
      </c>
      <c r="H20" s="24">
        <f t="shared" si="3"/>
        <v>52853.841623625107</v>
      </c>
      <c r="I20" s="24">
        <f t="shared" si="4"/>
        <v>58139.225785987619</v>
      </c>
      <c r="J20" s="23">
        <v>27</v>
      </c>
      <c r="K20" s="24">
        <f t="shared" si="0"/>
        <v>1569759.1</v>
      </c>
      <c r="M20" s="8"/>
      <c r="N20" s="8"/>
    </row>
    <row r="21" spans="2:14" ht="16.8" x14ac:dyDescent="0.3">
      <c r="B21" s="48"/>
      <c r="C21" s="48"/>
      <c r="D21" s="23"/>
      <c r="E21" s="24"/>
      <c r="F21" s="24"/>
      <c r="G21" s="24"/>
      <c r="H21" s="24"/>
      <c r="I21" s="24"/>
      <c r="J21" s="23"/>
      <c r="K21" s="24"/>
    </row>
    <row r="22" spans="2:14" ht="33.6" x14ac:dyDescent="0.3">
      <c r="B22" s="48"/>
      <c r="D22" s="23"/>
      <c r="E22" s="24"/>
      <c r="F22" s="24"/>
      <c r="G22" s="27" t="s">
        <v>128</v>
      </c>
      <c r="H22" s="25" t="s">
        <v>53</v>
      </c>
      <c r="I22" s="25" t="s">
        <v>17</v>
      </c>
      <c r="J22" s="25"/>
      <c r="K22" s="24"/>
    </row>
    <row r="23" spans="2:14" ht="16.8" x14ac:dyDescent="0.3">
      <c r="B23" s="48"/>
      <c r="C23" s="48"/>
      <c r="D23" s="23"/>
      <c r="E23" s="24"/>
      <c r="F23" s="24"/>
      <c r="G23" s="27"/>
      <c r="H23" s="26">
        <v>0.15</v>
      </c>
      <c r="I23" s="26">
        <v>0.1</v>
      </c>
      <c r="J23" s="25"/>
      <c r="K23" s="24"/>
    </row>
    <row r="24" spans="2:14" ht="28.8" x14ac:dyDescent="0.3">
      <c r="B24" s="48"/>
      <c r="C24" s="48" t="s">
        <v>162</v>
      </c>
      <c r="D24" s="23" t="s">
        <v>124</v>
      </c>
      <c r="E24" s="24"/>
      <c r="F24" s="24"/>
      <c r="G24" s="72">
        <f>'MATERIAL I REPARACIONS'!M17</f>
        <v>54387.430830039528</v>
      </c>
      <c r="H24" s="24">
        <f t="shared" ref="H24" si="5">G24*(1+$H$10)</f>
        <v>62545.545454545449</v>
      </c>
      <c r="I24" s="24">
        <f t="shared" ref="I24" si="6">H24*(1+$I$10)</f>
        <v>68800.100000000006</v>
      </c>
      <c r="J24" s="23"/>
      <c r="K24" s="24">
        <f>ROUND(I24,2)</f>
        <v>68800.100000000006</v>
      </c>
    </row>
    <row r="25" spans="2:14" ht="33.6" x14ac:dyDescent="0.3">
      <c r="D25" s="23"/>
      <c r="E25" s="24"/>
      <c r="F25" s="24"/>
      <c r="G25" s="27" t="s">
        <v>127</v>
      </c>
      <c r="H25" s="25" t="s">
        <v>53</v>
      </c>
      <c r="I25" s="25" t="s">
        <v>17</v>
      </c>
      <c r="J25" s="25" t="s">
        <v>126</v>
      </c>
      <c r="K25" s="24"/>
      <c r="M25" s="8"/>
      <c r="N25" s="8"/>
    </row>
    <row r="26" spans="2:14" ht="16.8" x14ac:dyDescent="0.3">
      <c r="B26" s="48"/>
      <c r="C26" s="48"/>
      <c r="D26" s="23"/>
      <c r="E26" s="24"/>
      <c r="F26" s="24"/>
      <c r="G26" s="27"/>
      <c r="H26" s="26">
        <v>0.15</v>
      </c>
      <c r="I26" s="26">
        <v>0.1</v>
      </c>
      <c r="J26" s="25"/>
      <c r="K26" s="24"/>
      <c r="M26" s="8"/>
      <c r="N26" s="8"/>
    </row>
    <row r="27" spans="2:14" ht="28.8" x14ac:dyDescent="0.3">
      <c r="B27" s="48"/>
      <c r="C27" s="48" t="s">
        <v>162</v>
      </c>
      <c r="D27" s="23" t="s">
        <v>125</v>
      </c>
      <c r="E27" s="24"/>
      <c r="F27" s="24"/>
      <c r="G27" s="24">
        <f>'MATERIAL I REPARACIONS'!L15</f>
        <v>35.35327732022111</v>
      </c>
      <c r="H27" s="24">
        <f t="shared" ref="H27" si="7">G27*(1+$H$10)</f>
        <v>40.656268918254277</v>
      </c>
      <c r="I27" s="24">
        <f t="shared" ref="I27" si="8">H27*(1+$I$10)</f>
        <v>44.721895810079708</v>
      </c>
      <c r="J27" s="23">
        <f>'MATERIAL I REPARACIONS'!L16</f>
        <v>690</v>
      </c>
      <c r="K27" s="24">
        <f>ROUND(I27*J27,2)</f>
        <v>30858.11</v>
      </c>
      <c r="M27" s="8"/>
      <c r="N27" s="8"/>
    </row>
    <row r="28" spans="2:14" ht="50.4" x14ac:dyDescent="0.3">
      <c r="B28" s="48"/>
      <c r="C28" s="48"/>
      <c r="D28" s="23"/>
      <c r="E28" s="24"/>
      <c r="F28" s="24"/>
      <c r="G28" s="27" t="s">
        <v>143</v>
      </c>
      <c r="H28" s="25" t="s">
        <v>53</v>
      </c>
      <c r="I28" s="25" t="s">
        <v>17</v>
      </c>
      <c r="J28" s="25" t="s">
        <v>142</v>
      </c>
      <c r="K28" s="24"/>
      <c r="M28" s="8"/>
      <c r="N28" s="8"/>
    </row>
    <row r="29" spans="2:14" ht="16.8" x14ac:dyDescent="0.3">
      <c r="B29" s="48"/>
      <c r="C29" s="48"/>
      <c r="D29" s="23"/>
      <c r="E29" s="24"/>
      <c r="F29" s="24"/>
      <c r="G29" s="27"/>
      <c r="H29" s="26">
        <v>0.15</v>
      </c>
      <c r="I29" s="26">
        <v>0.1</v>
      </c>
      <c r="J29" s="25"/>
      <c r="K29" s="24"/>
      <c r="M29" s="8"/>
      <c r="N29" s="8"/>
    </row>
    <row r="30" spans="2:14" ht="28.8" x14ac:dyDescent="0.3">
      <c r="B30" s="48" t="s">
        <v>59</v>
      </c>
      <c r="C30" s="48" t="s">
        <v>162</v>
      </c>
      <c r="D30" s="23" t="s">
        <v>60</v>
      </c>
      <c r="E30" s="24"/>
      <c r="F30" s="24"/>
      <c r="G30" s="24">
        <f>ROUND('CONFLUENCE-POWERBI'!O3,2)</f>
        <v>133.66999999999999</v>
      </c>
      <c r="H30" s="24">
        <f>ROUND(G30*(1+$H$10),2)</f>
        <v>153.72</v>
      </c>
      <c r="I30" s="24">
        <f>ROUND(H30*(1+$I$10),2)</f>
        <v>169.09</v>
      </c>
      <c r="J30" s="23">
        <v>70</v>
      </c>
      <c r="K30" s="24">
        <f>ROUND(I30*J30,2)</f>
        <v>11836.3</v>
      </c>
      <c r="M30" s="8"/>
      <c r="N30" s="8"/>
    </row>
    <row r="31" spans="2:14" ht="16.8" x14ac:dyDescent="0.3">
      <c r="B31" s="48"/>
      <c r="C31" s="48"/>
      <c r="D31" s="23" t="s">
        <v>199</v>
      </c>
      <c r="E31" s="24"/>
      <c r="F31" s="24"/>
      <c r="G31" s="24">
        <f>ROUND('CONFLUENCE-POWERBI'!N8,2)</f>
        <v>109.94</v>
      </c>
      <c r="H31" s="24">
        <f>ROUND(G31*(1+$H$10),2)</f>
        <v>126.43</v>
      </c>
      <c r="I31" s="24">
        <f>ROUND(H31*(1+$I$10),2)</f>
        <v>139.07</v>
      </c>
      <c r="J31" s="23">
        <v>1</v>
      </c>
      <c r="K31" s="24">
        <f>ROUND(I31*J31,2)</f>
        <v>139.07</v>
      </c>
      <c r="M31" s="8"/>
      <c r="N31" s="8"/>
    </row>
    <row r="32" spans="2:14" ht="16.8" x14ac:dyDescent="0.3">
      <c r="B32" s="48"/>
      <c r="C32" s="48"/>
      <c r="D32" s="23"/>
      <c r="E32" s="24"/>
      <c r="F32" s="24"/>
      <c r="G32" s="24"/>
      <c r="H32" s="24"/>
      <c r="J32" s="23"/>
      <c r="K32" s="24"/>
      <c r="M32" s="8"/>
      <c r="N32" s="8"/>
    </row>
    <row r="33" spans="2:11" ht="16.8" x14ac:dyDescent="0.3">
      <c r="B33" s="48"/>
      <c r="C33" s="48"/>
      <c r="D33" s="23"/>
      <c r="E33" s="24"/>
      <c r="F33" s="24"/>
      <c r="G33" s="24"/>
      <c r="H33" s="24"/>
      <c r="I33" s="24"/>
      <c r="J33" s="23"/>
      <c r="K33" s="24"/>
    </row>
    <row r="34" spans="2:11" ht="16.8" x14ac:dyDescent="0.3">
      <c r="B34" s="48"/>
      <c r="C34" s="48"/>
      <c r="D34" s="23"/>
      <c r="E34" s="23"/>
      <c r="F34" s="23"/>
      <c r="G34" s="23"/>
      <c r="H34" s="23"/>
      <c r="I34" s="23"/>
      <c r="J34" s="25" t="s">
        <v>57</v>
      </c>
      <c r="K34" s="27">
        <f>SUM(K11:K31)</f>
        <v>3764170.2599999993</v>
      </c>
    </row>
    <row r="35" spans="2:11" ht="16.8" x14ac:dyDescent="0.3">
      <c r="B35" s="48"/>
      <c r="C35" s="48"/>
      <c r="D35" s="23"/>
      <c r="E35" s="23"/>
      <c r="F35" s="23"/>
      <c r="G35" s="23"/>
      <c r="H35" s="23"/>
      <c r="I35" s="23"/>
      <c r="J35" s="25" t="s">
        <v>34</v>
      </c>
      <c r="K35" s="27">
        <f>K34*21%</f>
        <v>790475.75459999987</v>
      </c>
    </row>
    <row r="36" spans="2:11" ht="16.8" x14ac:dyDescent="0.3">
      <c r="B36" s="48"/>
      <c r="C36" s="48"/>
      <c r="D36" s="48"/>
      <c r="E36" s="23"/>
      <c r="F36" s="23"/>
      <c r="G36" s="23"/>
      <c r="H36" s="23"/>
      <c r="I36" s="23"/>
      <c r="J36" s="25" t="s">
        <v>58</v>
      </c>
      <c r="K36" s="27">
        <f>K34+K35</f>
        <v>4554646.0145999994</v>
      </c>
    </row>
    <row r="37" spans="2:11" ht="16.8" x14ac:dyDescent="0.3">
      <c r="B37" s="48"/>
      <c r="C37" s="48"/>
      <c r="D37" s="48"/>
      <c r="E37" s="23"/>
      <c r="F37" s="23"/>
      <c r="G37" s="23"/>
      <c r="H37" s="23"/>
      <c r="I37" s="23"/>
      <c r="J37" s="25"/>
      <c r="K37" s="27"/>
    </row>
    <row r="38" spans="2:11" ht="16.8" x14ac:dyDescent="0.3">
      <c r="B38" s="48"/>
      <c r="C38" s="48"/>
      <c r="D38" s="48"/>
      <c r="E38" s="23"/>
      <c r="F38" s="23"/>
      <c r="G38" s="23"/>
      <c r="H38" s="23"/>
      <c r="I38" s="23"/>
      <c r="J38" s="25"/>
      <c r="K38" s="27"/>
    </row>
    <row r="39" spans="2:11" ht="16.8" x14ac:dyDescent="0.3">
      <c r="B39" s="48"/>
      <c r="C39" s="48"/>
      <c r="D39" s="48"/>
      <c r="E39" s="23"/>
      <c r="F39" s="23"/>
      <c r="G39" s="23"/>
      <c r="H39" s="23"/>
      <c r="I39" s="23"/>
      <c r="J39" s="25"/>
      <c r="K39" s="27"/>
    </row>
    <row r="40" spans="2:11" ht="34.200000000000003" thickBot="1" x14ac:dyDescent="0.35">
      <c r="D40" s="23"/>
      <c r="E40" s="23"/>
      <c r="F40" s="25" t="s">
        <v>80</v>
      </c>
      <c r="G40" s="23" t="s">
        <v>82</v>
      </c>
      <c r="H40" s="23"/>
      <c r="I40" s="23"/>
      <c r="J40" s="23"/>
      <c r="K40" s="23"/>
    </row>
    <row r="41" spans="2:11" ht="15" thickBot="1" x14ac:dyDescent="0.35">
      <c r="B41" t="s">
        <v>29</v>
      </c>
      <c r="D41" s="119" t="s">
        <v>12</v>
      </c>
      <c r="E41" s="2" t="s">
        <v>30</v>
      </c>
      <c r="J41" s="119" t="s">
        <v>12</v>
      </c>
      <c r="K41" s="125" t="s">
        <v>30</v>
      </c>
    </row>
    <row r="42" spans="2:11" ht="28.2" thickBot="1" x14ac:dyDescent="0.35">
      <c r="D42" s="3" t="s">
        <v>13</v>
      </c>
      <c r="E42" s="4">
        <f>ROUND(E11*J11+E12*J12+E13*J13+E14*J14+E15*J15+E16*J16+E17*J17+E18*J18+E19*J19+E20*J20,2)</f>
        <v>2133427.4900000002</v>
      </c>
      <c r="G42" s="110">
        <f>ROUND(E42*2+E61,4)</f>
        <v>5581981.5099999998</v>
      </c>
      <c r="J42" s="3" t="s">
        <v>13</v>
      </c>
      <c r="K42" s="4">
        <f t="shared" ref="K42:K47" si="9">E42*2+E61</f>
        <v>5581981.5100000007</v>
      </c>
    </row>
    <row r="43" spans="2:11" ht="28.2" thickBot="1" x14ac:dyDescent="0.35">
      <c r="D43" s="5" t="s">
        <v>35</v>
      </c>
      <c r="E43" s="4">
        <f>ROUND((F11-E11)*J11+(F12-E12)*J12+(F13-E13)*J13+(F14-E14)*J14+(F15-E15)*J15+(F16-E16)*J16+(F17-E17)*J17+(F18-E18)*J18+(F19-E19)*J19+(F20-E20)*J20,2)</f>
        <v>725365.35</v>
      </c>
      <c r="G43" s="110">
        <f>ROUND(E43*2+E62,4)</f>
        <v>1897873.72</v>
      </c>
      <c r="J43" s="5" t="s">
        <v>35</v>
      </c>
      <c r="K43" s="4">
        <f t="shared" si="9"/>
        <v>1897873.72</v>
      </c>
    </row>
    <row r="44" spans="2:11" ht="29.4" thickBot="1" x14ac:dyDescent="0.35">
      <c r="D44" s="3" t="s">
        <v>212</v>
      </c>
      <c r="E44" s="4">
        <f>ROUND((G12-F12)*J12+(G13-F13)*J13+(G14-F14)*J14+(G15-F15)*J15+(G16-F16)*J16+(G17-F17)*J17+(G18-F18)*J18+(G19-F19)*J19+(G20-F20)*J20+(G11-F11)*J11,2)</f>
        <v>28587.93</v>
      </c>
      <c r="G44" s="110">
        <f>ROUND(E44*2+E63,4)</f>
        <v>74798.559999999998</v>
      </c>
      <c r="J44" s="3" t="s">
        <v>212</v>
      </c>
      <c r="K44" s="4">
        <f t="shared" si="9"/>
        <v>74798.559999999998</v>
      </c>
    </row>
    <row r="45" spans="2:11" ht="28.2" thickBot="1" x14ac:dyDescent="0.35">
      <c r="D45" s="3" t="s">
        <v>31</v>
      </c>
      <c r="E45" s="4">
        <v>0</v>
      </c>
      <c r="G45" s="110">
        <f t="shared" ref="G45" si="10">ROUND(E45*2+E64,2)</f>
        <v>0</v>
      </c>
      <c r="J45" s="3" t="s">
        <v>31</v>
      </c>
      <c r="K45" s="4">
        <f t="shared" si="9"/>
        <v>0</v>
      </c>
    </row>
    <row r="46" spans="2:11" ht="27.6" customHeight="1" thickBot="1" x14ac:dyDescent="0.35">
      <c r="D46" s="3" t="s">
        <v>32</v>
      </c>
      <c r="E46" s="4">
        <f>ROUND(G24+G27*J27+G30*J30+G31*J31,2)</f>
        <v>88248.03</v>
      </c>
      <c r="G46" s="110">
        <f>ROUND(E46*2+E65,4)</f>
        <v>230895.53</v>
      </c>
      <c r="J46" s="3" t="s">
        <v>32</v>
      </c>
      <c r="K46" s="4">
        <f t="shared" si="9"/>
        <v>230895.53</v>
      </c>
    </row>
    <row r="47" spans="2:11" ht="28.2" customHeight="1" thickBot="1" x14ac:dyDescent="0.35">
      <c r="D47" s="6" t="s">
        <v>14</v>
      </c>
      <c r="E47" s="4">
        <f>ROUND(SUM(E42:E46),2)</f>
        <v>2975628.8</v>
      </c>
      <c r="G47" s="110">
        <f>ROUND(E47*2+E66,4)</f>
        <v>7785549.3200000003</v>
      </c>
      <c r="J47" s="6" t="s">
        <v>14</v>
      </c>
      <c r="K47" s="4">
        <f t="shared" si="9"/>
        <v>7785549.3199999994</v>
      </c>
    </row>
    <row r="48" spans="2:11" ht="15" thickBot="1" x14ac:dyDescent="0.35">
      <c r="D48" s="73" t="s">
        <v>15</v>
      </c>
      <c r="E48" s="74" t="s">
        <v>30</v>
      </c>
      <c r="G48" s="110"/>
      <c r="J48" s="73" t="s">
        <v>15</v>
      </c>
      <c r="K48" s="74" t="s">
        <v>30</v>
      </c>
    </row>
    <row r="49" spans="2:13" ht="29.4" thickBot="1" x14ac:dyDescent="0.35">
      <c r="D49" s="3" t="s">
        <v>36</v>
      </c>
      <c r="E49" s="4">
        <f>ROUND((H11-G11)*J11+(H12-G12)*J12+(H13-G13)*J13+(H14-G14)*J14+(H15-G15)*J15+(H16-G16)*J16+(H17-G17)*J17+(H18-G18)*J18+(H19-G19)*J19+(H20-G20)*J20+(H24-G24)+(H27-G27)*J27+(H30-G30)*J30+(H31-G31)*J31,2)</f>
        <v>446344.28</v>
      </c>
      <c r="G49" s="110">
        <f>ROUND(E49*2+E68,4)</f>
        <v>1167832.29</v>
      </c>
      <c r="H49" s="8">
        <f>G47*0.15</f>
        <v>1167832.398</v>
      </c>
      <c r="J49" s="3" t="s">
        <v>36</v>
      </c>
      <c r="K49" s="4">
        <f>E49*2+E68</f>
        <v>1167832.29</v>
      </c>
    </row>
    <row r="50" spans="2:13" ht="29.4" customHeight="1" thickBot="1" x14ac:dyDescent="0.35">
      <c r="D50" s="6" t="s">
        <v>16</v>
      </c>
      <c r="E50" s="4">
        <f>ROUND(E47+E49,2)</f>
        <v>3421973.08</v>
      </c>
      <c r="G50" s="110">
        <f>ROUND(E50*2+E69,4)</f>
        <v>8953381.6199999992</v>
      </c>
      <c r="J50" s="6" t="s">
        <v>16</v>
      </c>
      <c r="K50" s="4">
        <f>E50*2+E69</f>
        <v>8953381.620000001</v>
      </c>
    </row>
    <row r="51" spans="2:13" ht="33" customHeight="1" thickBot="1" x14ac:dyDescent="0.35">
      <c r="D51" s="3" t="s">
        <v>37</v>
      </c>
      <c r="E51" s="4">
        <f>ROUND((I13-H13)*J13+(I14-H14)*J14+(I15-H15)*J15+(I16-H16)*J16+(I17-H17)*J17+(I18-H18)*J18+(I19-H19)*J19+(I20-H20)*J20+(I11-H11)*J11+(I12-H12)*J12+(I24-H24)+(I27-H27)*J27+(I30-H30)*J30+(I31-H31)*J31,2)</f>
        <v>342197.17</v>
      </c>
      <c r="G51" s="110">
        <f>ROUND(E51*2+E70,4)</f>
        <v>895337.8</v>
      </c>
      <c r="H51" s="8"/>
      <c r="J51" s="3" t="s">
        <v>37</v>
      </c>
      <c r="K51" s="4">
        <f>E51*2+E70</f>
        <v>895337.79999999993</v>
      </c>
    </row>
    <row r="52" spans="2:13" ht="42" thickBot="1" x14ac:dyDescent="0.35">
      <c r="D52" s="73" t="s">
        <v>33</v>
      </c>
      <c r="E52" s="126">
        <f>ROUND(E50+E51,2)</f>
        <v>3764170.25</v>
      </c>
      <c r="F52" s="23"/>
      <c r="G52" s="110">
        <f>ROUND(E52*2+E71,4)</f>
        <v>9848719.4199999999</v>
      </c>
      <c r="H52" s="23"/>
      <c r="I52" s="23"/>
      <c r="J52" s="73" t="s">
        <v>33</v>
      </c>
      <c r="K52" s="126">
        <f>E52*2+E71</f>
        <v>9848719.4199999999</v>
      </c>
      <c r="M52" s="110"/>
    </row>
    <row r="53" spans="2:13" ht="17.399999999999999" thickBot="1" x14ac:dyDescent="0.35">
      <c r="D53" s="75" t="s">
        <v>167</v>
      </c>
      <c r="E53" s="127">
        <f>ROUND(E52*1.21,2)</f>
        <v>4554646</v>
      </c>
      <c r="F53" s="114"/>
      <c r="G53" s="110">
        <f>E53*2+E72</f>
        <v>11916950.49</v>
      </c>
      <c r="H53" s="26"/>
      <c r="I53" s="26"/>
      <c r="J53" s="75" t="s">
        <v>167</v>
      </c>
      <c r="K53" s="127">
        <f>K52*1.21</f>
        <v>11916950.498199999</v>
      </c>
    </row>
    <row r="54" spans="2:13" ht="16.8" x14ac:dyDescent="0.3">
      <c r="D54" s="23"/>
      <c r="E54" s="23"/>
      <c r="F54" s="23"/>
      <c r="G54" s="23"/>
      <c r="H54" s="23"/>
      <c r="I54" s="23"/>
      <c r="J54" s="23"/>
      <c r="K54" s="24"/>
    </row>
    <row r="55" spans="2:13" ht="16.8" x14ac:dyDescent="0.3">
      <c r="D55" s="23"/>
      <c r="E55" s="23"/>
      <c r="F55" s="23"/>
      <c r="G55" s="23"/>
      <c r="H55" s="23"/>
      <c r="I55" s="23"/>
      <c r="J55" s="23"/>
      <c r="K55" s="24"/>
    </row>
    <row r="56" spans="2:13" ht="16.8" x14ac:dyDescent="0.3">
      <c r="D56" s="23"/>
      <c r="E56" s="23"/>
      <c r="F56" s="23"/>
      <c r="G56" s="23"/>
      <c r="H56" s="23"/>
      <c r="I56" s="24"/>
      <c r="J56" s="23"/>
      <c r="K56" s="24"/>
    </row>
    <row r="57" spans="2:13" ht="16.8" x14ac:dyDescent="0.3">
      <c r="D57" s="23"/>
      <c r="E57" s="23"/>
      <c r="F57" s="23"/>
      <c r="G57" s="23"/>
      <c r="H57" s="23"/>
      <c r="I57" s="24"/>
      <c r="J57" s="23"/>
      <c r="K57" s="24"/>
    </row>
    <row r="58" spans="2:13" ht="16.8" x14ac:dyDescent="0.3">
      <c r="B58" s="84" t="s">
        <v>164</v>
      </c>
      <c r="E58" s="23"/>
      <c r="F58" s="25" t="s">
        <v>79</v>
      </c>
      <c r="G58" s="23"/>
      <c r="H58" s="23"/>
      <c r="I58" s="24"/>
      <c r="J58" s="23"/>
      <c r="K58" s="24"/>
    </row>
    <row r="59" spans="2:13" ht="17.399999999999999" thickBot="1" x14ac:dyDescent="0.35">
      <c r="D59" s="23"/>
      <c r="E59" s="23"/>
      <c r="F59" s="23"/>
      <c r="G59" s="23"/>
      <c r="H59" s="23"/>
      <c r="I59" s="24"/>
      <c r="J59" s="23"/>
      <c r="K59" s="24"/>
    </row>
    <row r="60" spans="2:13" ht="17.399999999999999" thickBot="1" x14ac:dyDescent="0.35">
      <c r="B60" t="s">
        <v>81</v>
      </c>
      <c r="D60" s="119" t="s">
        <v>12</v>
      </c>
      <c r="E60" s="125" t="s">
        <v>30</v>
      </c>
      <c r="F60" s="23"/>
      <c r="G60" s="23"/>
      <c r="H60" s="23"/>
      <c r="I60" s="24"/>
      <c r="J60" s="23"/>
      <c r="K60" s="24"/>
    </row>
    <row r="61" spans="2:13" ht="17.399999999999999" thickBot="1" x14ac:dyDescent="0.35">
      <c r="D61" s="3" t="s">
        <v>13</v>
      </c>
      <c r="E61" s="4">
        <f>ROUND(E42*225/365,2)</f>
        <v>1315126.53</v>
      </c>
      <c r="F61" s="23"/>
      <c r="G61" s="23"/>
      <c r="H61" s="23"/>
      <c r="I61" s="24"/>
      <c r="J61" s="23"/>
      <c r="K61" s="24"/>
    </row>
    <row r="62" spans="2:13" ht="17.399999999999999" thickBot="1" x14ac:dyDescent="0.35">
      <c r="D62" s="5" t="s">
        <v>35</v>
      </c>
      <c r="E62" s="4">
        <f>ROUND(E43*225/365,2)</f>
        <v>447143.02</v>
      </c>
      <c r="F62" s="23"/>
      <c r="G62" s="23"/>
      <c r="H62" s="23"/>
      <c r="I62" s="23"/>
      <c r="J62" s="25"/>
      <c r="K62" s="27"/>
    </row>
    <row r="63" spans="2:13" ht="17.399999999999999" thickBot="1" x14ac:dyDescent="0.35">
      <c r="D63" s="3" t="s">
        <v>212</v>
      </c>
      <c r="E63" s="4">
        <f>ROUND(E44*225/365,2)</f>
        <v>17622.7</v>
      </c>
      <c r="F63" s="23"/>
      <c r="G63" s="23"/>
      <c r="H63" s="23"/>
      <c r="I63" s="23"/>
      <c r="J63" s="25"/>
      <c r="K63" s="27"/>
    </row>
    <row r="64" spans="2:13" ht="17.399999999999999" thickBot="1" x14ac:dyDescent="0.35">
      <c r="D64" s="3" t="s">
        <v>31</v>
      </c>
      <c r="E64" s="4">
        <f>ROUND(E45*225/365,2)</f>
        <v>0</v>
      </c>
      <c r="F64" s="23"/>
      <c r="G64" s="23"/>
      <c r="H64" s="23"/>
      <c r="I64" s="23"/>
      <c r="J64" s="25"/>
      <c r="K64" s="25"/>
    </row>
    <row r="65" spans="4:7" ht="15" thickBot="1" x14ac:dyDescent="0.35">
      <c r="D65" s="3" t="s">
        <v>32</v>
      </c>
      <c r="E65" s="4">
        <f>ROUND(E46*225/365,2)</f>
        <v>54399.47</v>
      </c>
    </row>
    <row r="66" spans="4:7" ht="15" thickBot="1" x14ac:dyDescent="0.35">
      <c r="D66" s="6" t="s">
        <v>14</v>
      </c>
      <c r="E66" s="4">
        <f>ROUND(SUM(E61:E65),2)</f>
        <v>1834291.72</v>
      </c>
    </row>
    <row r="67" spans="4:7" ht="15" thickBot="1" x14ac:dyDescent="0.35">
      <c r="D67" s="73" t="s">
        <v>15</v>
      </c>
      <c r="E67" s="74" t="s">
        <v>30</v>
      </c>
    </row>
    <row r="68" spans="4:7" ht="15.6" thickBot="1" x14ac:dyDescent="0.35">
      <c r="D68" s="3" t="s">
        <v>36</v>
      </c>
      <c r="E68" s="4">
        <f>ROUND(E49*225/365,2)</f>
        <v>275143.73</v>
      </c>
    </row>
    <row r="69" spans="4:7" ht="15" thickBot="1" x14ac:dyDescent="0.35">
      <c r="D69" s="6" t="s">
        <v>16</v>
      </c>
      <c r="E69" s="4">
        <f>ROUND(E50*225/365,2)</f>
        <v>2109435.46</v>
      </c>
    </row>
    <row r="70" spans="4:7" ht="15.6" thickBot="1" x14ac:dyDescent="0.35">
      <c r="D70" s="3" t="s">
        <v>37</v>
      </c>
      <c r="E70" s="4">
        <f>ROUND(E51*225/365,2)</f>
        <v>210943.46</v>
      </c>
    </row>
    <row r="71" spans="4:7" ht="28.2" thickBot="1" x14ac:dyDescent="0.35">
      <c r="D71" s="73" t="s">
        <v>33</v>
      </c>
      <c r="E71" s="126">
        <f>ROUND(SUM(E69:E70),2)</f>
        <v>2320378.92</v>
      </c>
    </row>
    <row r="72" spans="4:7" ht="17.399999999999999" thickBot="1" x14ac:dyDescent="0.35">
      <c r="D72" s="75" t="s">
        <v>167</v>
      </c>
      <c r="E72" s="127">
        <f>ROUND(E71*1.21,2)</f>
        <v>2807658.49</v>
      </c>
      <c r="F72" s="113"/>
      <c r="G72" s="120"/>
    </row>
  </sheetData>
  <mergeCells count="1">
    <mergeCell ref="D8:K8"/>
  </mergeCells>
  <hyperlinks>
    <hyperlink ref="D43" location="_ftn1" display="_ftn1" xr:uid="{71F54696-E7A7-4978-AE48-6C9863D3E299}"/>
    <hyperlink ref="D62" location="_ftn1" display="_ftn1" xr:uid="{4FA6FA65-B2BD-48F0-8086-91502EFA5D8D}"/>
    <hyperlink ref="J43" location="_ftn1" display="_ftn1" xr:uid="{78E6EBDC-8CED-4657-AC8B-9F28EFC328D2}"/>
  </hyperlinks>
  <pageMargins left="0.7" right="0.7" top="0.75" bottom="0.75" header="0.3" footer="0.3"/>
  <pageSetup paperSize="9" orientation="portrait" r:id="rId1"/>
  <ignoredErrors>
    <ignoredError sqref="H11 G4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5986-326E-4BB8-A8D9-33180D0497B5}">
  <dimension ref="C2:O42"/>
  <sheetViews>
    <sheetView topLeftCell="A13" workbookViewId="0">
      <selection activeCell="L40" sqref="L40"/>
    </sheetView>
  </sheetViews>
  <sheetFormatPr defaultColWidth="11.5546875" defaultRowHeight="14.4" x14ac:dyDescent="0.3"/>
  <cols>
    <col min="1" max="2" width="11.5546875" style="48"/>
    <col min="3" max="3" width="37.109375" style="48" customWidth="1"/>
    <col min="4" max="4" width="14.33203125" style="48" customWidth="1"/>
    <col min="5" max="5" width="14.88671875" style="48" customWidth="1"/>
    <col min="6" max="6" width="13.44140625" style="48" customWidth="1"/>
    <col min="7" max="7" width="14" style="48" customWidth="1"/>
    <col min="8" max="8" width="11.5546875" style="48"/>
    <col min="9" max="9" width="15.33203125" style="48" customWidth="1"/>
    <col min="10" max="10" width="13.44140625" style="48" bestFit="1" customWidth="1"/>
    <col min="11" max="16384" width="11.5546875" style="48"/>
  </cols>
  <sheetData>
    <row r="2" spans="3:12" ht="72" x14ac:dyDescent="0.3">
      <c r="C2" s="48" t="s">
        <v>119</v>
      </c>
      <c r="D2" s="48" t="s">
        <v>120</v>
      </c>
      <c r="E2" s="58">
        <f>(NMA!I20+0.2*NMA!I16)/1720</f>
        <v>44.721895810079701</v>
      </c>
    </row>
    <row r="4" spans="3:12" ht="15" thickBot="1" x14ac:dyDescent="0.35"/>
    <row r="5" spans="3:12" ht="63" thickBot="1" x14ac:dyDescent="0.35">
      <c r="C5" s="49" t="s">
        <v>83</v>
      </c>
      <c r="D5" s="50" t="s">
        <v>153</v>
      </c>
      <c r="E5" s="50" t="s">
        <v>84</v>
      </c>
      <c r="F5" s="50" t="s">
        <v>63</v>
      </c>
      <c r="G5" s="51" t="s">
        <v>85</v>
      </c>
      <c r="H5" s="51" t="s">
        <v>86</v>
      </c>
      <c r="I5" s="51" t="s">
        <v>87</v>
      </c>
    </row>
    <row r="6" spans="3:12" ht="16.2" thickBot="1" x14ac:dyDescent="0.35">
      <c r="C6" s="52" t="s">
        <v>88</v>
      </c>
      <c r="D6" s="57">
        <f>$E$2</f>
        <v>44.721895810079701</v>
      </c>
      <c r="E6" s="54">
        <v>2</v>
      </c>
      <c r="F6" s="55">
        <f t="shared" ref="F6:F15" si="0">D6*E6</f>
        <v>89.443791620159402</v>
      </c>
      <c r="G6" s="53">
        <v>0</v>
      </c>
      <c r="H6" s="54">
        <v>100</v>
      </c>
      <c r="I6" s="53">
        <f>H6*(F6+G6)</f>
        <v>8944.3791620159409</v>
      </c>
    </row>
    <row r="7" spans="3:12" ht="16.2" thickBot="1" x14ac:dyDescent="0.35">
      <c r="C7" s="52" t="s">
        <v>89</v>
      </c>
      <c r="D7" s="57">
        <f t="shared" ref="D7:D15" si="1">$E$2</f>
        <v>44.721895810079701</v>
      </c>
      <c r="E7" s="54">
        <v>1</v>
      </c>
      <c r="F7" s="55">
        <f t="shared" si="0"/>
        <v>44.721895810079701</v>
      </c>
      <c r="G7" s="53">
        <f>L34</f>
        <v>173.2</v>
      </c>
      <c r="H7" s="54">
        <v>50</v>
      </c>
      <c r="I7" s="53">
        <f t="shared" ref="I7:I15" si="2">H7*(F7+G7)</f>
        <v>10896.094790503985</v>
      </c>
    </row>
    <row r="8" spans="3:12" ht="16.2" thickBot="1" x14ac:dyDescent="0.35">
      <c r="C8" s="52" t="s">
        <v>90</v>
      </c>
      <c r="D8" s="57">
        <f t="shared" si="1"/>
        <v>44.721895810079701</v>
      </c>
      <c r="E8" s="54">
        <v>2</v>
      </c>
      <c r="F8" s="55">
        <f t="shared" si="0"/>
        <v>89.443791620159402</v>
      </c>
      <c r="G8" s="53">
        <f>D34</f>
        <v>279</v>
      </c>
      <c r="H8" s="54">
        <v>50</v>
      </c>
      <c r="I8" s="53">
        <f t="shared" si="2"/>
        <v>18422.18958100797</v>
      </c>
    </row>
    <row r="9" spans="3:12" ht="16.2" thickBot="1" x14ac:dyDescent="0.35">
      <c r="C9" s="52" t="s">
        <v>91</v>
      </c>
      <c r="D9" s="57">
        <f t="shared" si="1"/>
        <v>44.721895810079701</v>
      </c>
      <c r="E9" s="54">
        <v>1</v>
      </c>
      <c r="F9" s="55">
        <f t="shared" si="0"/>
        <v>44.721895810079701</v>
      </c>
      <c r="G9" s="53">
        <f>L34</f>
        <v>173.2</v>
      </c>
      <c r="H9" s="54">
        <v>50</v>
      </c>
      <c r="I9" s="53">
        <f t="shared" si="2"/>
        <v>10896.094790503985</v>
      </c>
    </row>
    <row r="10" spans="3:12" ht="16.2" thickBot="1" x14ac:dyDescent="0.35">
      <c r="C10" s="52" t="s">
        <v>92</v>
      </c>
      <c r="D10" s="57">
        <f t="shared" si="1"/>
        <v>44.721895810079701</v>
      </c>
      <c r="E10" s="54">
        <v>2</v>
      </c>
      <c r="F10" s="55">
        <f t="shared" si="0"/>
        <v>89.443791620159402</v>
      </c>
      <c r="G10" s="53">
        <f>I34</f>
        <v>606.83000000000004</v>
      </c>
      <c r="H10" s="54">
        <v>20</v>
      </c>
      <c r="I10" s="53">
        <f t="shared" si="2"/>
        <v>13925.47583240319</v>
      </c>
    </row>
    <row r="11" spans="3:12" ht="16.2" thickBot="1" x14ac:dyDescent="0.35">
      <c r="C11" s="52" t="s">
        <v>93</v>
      </c>
      <c r="D11" s="57">
        <f t="shared" si="1"/>
        <v>44.721895810079701</v>
      </c>
      <c r="E11" s="54">
        <v>1</v>
      </c>
      <c r="F11" s="55">
        <f t="shared" si="0"/>
        <v>44.721895810079701</v>
      </c>
      <c r="G11" s="53">
        <f>E34</f>
        <v>78.599999999999994</v>
      </c>
      <c r="H11" s="54">
        <v>50</v>
      </c>
      <c r="I11" s="53">
        <f t="shared" si="2"/>
        <v>6166.0947905039848</v>
      </c>
    </row>
    <row r="12" spans="3:12" ht="16.2" thickBot="1" x14ac:dyDescent="0.35">
      <c r="C12" s="52" t="s">
        <v>94</v>
      </c>
      <c r="D12" s="57">
        <f t="shared" si="1"/>
        <v>44.721895810079701</v>
      </c>
      <c r="E12" s="54">
        <v>1</v>
      </c>
      <c r="F12" s="55">
        <f t="shared" si="0"/>
        <v>44.721895810079701</v>
      </c>
      <c r="G12" s="53">
        <f>F34</f>
        <v>46</v>
      </c>
      <c r="H12" s="54">
        <v>50</v>
      </c>
      <c r="I12" s="53">
        <f t="shared" si="2"/>
        <v>4536.0947905039848</v>
      </c>
    </row>
    <row r="13" spans="3:12" ht="16.2" thickBot="1" x14ac:dyDescent="0.35">
      <c r="C13" s="52" t="s">
        <v>95</v>
      </c>
      <c r="D13" s="57">
        <f t="shared" si="1"/>
        <v>44.721895810079701</v>
      </c>
      <c r="E13" s="54">
        <v>1</v>
      </c>
      <c r="F13" s="55">
        <f t="shared" si="0"/>
        <v>44.721895810079701</v>
      </c>
      <c r="G13" s="53">
        <f>G34</f>
        <v>38.6</v>
      </c>
      <c r="H13" s="54">
        <v>50</v>
      </c>
      <c r="I13" s="53">
        <f t="shared" si="2"/>
        <v>4166.0947905039848</v>
      </c>
      <c r="K13" s="56"/>
    </row>
    <row r="14" spans="3:12" ht="16.2" thickBot="1" x14ac:dyDescent="0.35">
      <c r="C14" s="52" t="s">
        <v>96</v>
      </c>
      <c r="D14" s="57">
        <f t="shared" si="1"/>
        <v>44.721895810079701</v>
      </c>
      <c r="E14" s="54">
        <v>1</v>
      </c>
      <c r="F14" s="55">
        <f t="shared" si="0"/>
        <v>44.721895810079701</v>
      </c>
      <c r="G14" s="53">
        <f>J34</f>
        <v>60.5</v>
      </c>
      <c r="H14" s="54">
        <v>50</v>
      </c>
      <c r="I14" s="53">
        <f t="shared" si="2"/>
        <v>5261.0947905039848</v>
      </c>
    </row>
    <row r="15" spans="3:12" ht="16.2" thickBot="1" x14ac:dyDescent="0.35">
      <c r="C15" s="52" t="s">
        <v>97</v>
      </c>
      <c r="D15" s="57">
        <f t="shared" si="1"/>
        <v>44.721895810079701</v>
      </c>
      <c r="E15" s="54">
        <v>1</v>
      </c>
      <c r="F15" s="55">
        <f t="shared" si="0"/>
        <v>44.721895810079701</v>
      </c>
      <c r="G15" s="53">
        <f>K34</f>
        <v>161.16999999999999</v>
      </c>
      <c r="H15" s="54">
        <v>50</v>
      </c>
      <c r="I15" s="53">
        <f t="shared" si="2"/>
        <v>10294.594790503985</v>
      </c>
      <c r="K15" s="48" t="s">
        <v>123</v>
      </c>
      <c r="L15" s="58">
        <f>D15/1.1/1.15</f>
        <v>35.35327732022111</v>
      </c>
    </row>
    <row r="16" spans="3:12" ht="16.2" thickBot="1" x14ac:dyDescent="0.35">
      <c r="C16" s="52" t="s">
        <v>98</v>
      </c>
      <c r="D16" s="53"/>
      <c r="E16" s="53"/>
      <c r="F16" s="53"/>
      <c r="G16" s="53"/>
      <c r="H16" s="53"/>
      <c r="I16" s="82">
        <f>SUM(I6:I15)</f>
        <v>93508.208108954976</v>
      </c>
      <c r="K16" s="48" t="s">
        <v>121</v>
      </c>
      <c r="L16" s="48">
        <f>SUMPRODUCT(E6:E15,H6:H15)</f>
        <v>690</v>
      </c>
    </row>
    <row r="17" spans="3:15" ht="63" thickBot="1" x14ac:dyDescent="0.35">
      <c r="C17" s="49" t="s">
        <v>99</v>
      </c>
      <c r="D17" s="50" t="s">
        <v>153</v>
      </c>
      <c r="E17" s="50" t="s">
        <v>84</v>
      </c>
      <c r="F17" s="50" t="s">
        <v>63</v>
      </c>
      <c r="G17" s="51" t="s">
        <v>100</v>
      </c>
      <c r="H17" s="51" t="s">
        <v>86</v>
      </c>
      <c r="I17" s="51" t="s">
        <v>63</v>
      </c>
      <c r="K17" s="48" t="s">
        <v>122</v>
      </c>
      <c r="L17" s="56">
        <f>SUMPRODUCT(G6:G15,H6:H15)+SUMPRODUCT(G18:G21,H18:H21)</f>
        <v>68800.100000000006</v>
      </c>
      <c r="M17" s="56">
        <f>L17/1.1/1.15</f>
        <v>54387.430830039528</v>
      </c>
    </row>
    <row r="18" spans="3:15" ht="16.2" thickBot="1" x14ac:dyDescent="0.35">
      <c r="C18" s="52" t="str">
        <f>D39</f>
        <v>Cable USB</v>
      </c>
      <c r="D18" s="53">
        <v>0</v>
      </c>
      <c r="E18" s="54">
        <v>0</v>
      </c>
      <c r="F18" s="55">
        <f>D18*E18</f>
        <v>0</v>
      </c>
      <c r="G18" s="57">
        <f>D40</f>
        <v>8</v>
      </c>
      <c r="H18" s="54">
        <v>100</v>
      </c>
      <c r="I18" s="53">
        <f>H18*G18</f>
        <v>800</v>
      </c>
      <c r="M18" s="58"/>
    </row>
    <row r="19" spans="3:15" ht="16.2" thickBot="1" x14ac:dyDescent="0.35">
      <c r="C19" s="52" t="str">
        <f>E39</f>
        <v>Cable HDMI</v>
      </c>
      <c r="D19" s="53">
        <v>0</v>
      </c>
      <c r="E19" s="54">
        <v>0</v>
      </c>
      <c r="F19" s="55">
        <f>D19*E19</f>
        <v>0</v>
      </c>
      <c r="G19" s="57">
        <f>E40</f>
        <v>18</v>
      </c>
      <c r="H19" s="54">
        <v>100</v>
      </c>
      <c r="I19" s="53">
        <f t="shared" ref="I19:I21" si="3">H19*G19</f>
        <v>1800</v>
      </c>
    </row>
    <row r="20" spans="3:15" ht="16.2" thickBot="1" x14ac:dyDescent="0.35">
      <c r="C20" s="52" t="str">
        <f>F39</f>
        <v>Ratolí</v>
      </c>
      <c r="D20" s="53">
        <v>0</v>
      </c>
      <c r="E20" s="54">
        <v>0</v>
      </c>
      <c r="F20" s="55">
        <f>D20*E20</f>
        <v>0</v>
      </c>
      <c r="G20" s="57">
        <f>F40</f>
        <v>18</v>
      </c>
      <c r="H20" s="54">
        <v>100</v>
      </c>
      <c r="I20" s="53">
        <f t="shared" si="3"/>
        <v>1800</v>
      </c>
    </row>
    <row r="21" spans="3:15" ht="16.2" thickBot="1" x14ac:dyDescent="0.35">
      <c r="C21" s="52" t="str">
        <f>G39</f>
        <v>Teclat</v>
      </c>
      <c r="D21" s="53">
        <v>0</v>
      </c>
      <c r="E21" s="54">
        <v>0</v>
      </c>
      <c r="F21" s="55">
        <f>D21*E21</f>
        <v>0</v>
      </c>
      <c r="G21" s="57">
        <f>G40</f>
        <v>35</v>
      </c>
      <c r="H21" s="54">
        <v>50</v>
      </c>
      <c r="I21" s="53">
        <f t="shared" si="3"/>
        <v>1750</v>
      </c>
    </row>
    <row r="22" spans="3:15" ht="16.2" thickBot="1" x14ac:dyDescent="0.35">
      <c r="C22" s="52" t="s">
        <v>98</v>
      </c>
      <c r="D22" s="53"/>
      <c r="E22" s="54"/>
      <c r="F22" s="55"/>
      <c r="G22" s="53"/>
      <c r="H22" s="54"/>
      <c r="I22" s="53">
        <f>SUM(I18:I21)</f>
        <v>6150</v>
      </c>
    </row>
    <row r="23" spans="3:15" ht="31.8" thickBot="1" x14ac:dyDescent="0.35">
      <c r="C23" s="49" t="s">
        <v>206</v>
      </c>
      <c r="D23" s="50"/>
      <c r="E23" s="50"/>
      <c r="F23" s="50"/>
      <c r="G23" s="51"/>
      <c r="H23" s="51"/>
      <c r="I23" s="59">
        <f>I16+I22</f>
        <v>99658.208108954976</v>
      </c>
    </row>
    <row r="24" spans="3:15" x14ac:dyDescent="0.3">
      <c r="C24" s="60"/>
    </row>
    <row r="25" spans="3:15" x14ac:dyDescent="0.3">
      <c r="C25" s="60"/>
    </row>
    <row r="26" spans="3:15" x14ac:dyDescent="0.3">
      <c r="C26" s="60"/>
    </row>
    <row r="27" spans="3:15" x14ac:dyDescent="0.3">
      <c r="C27" s="60"/>
    </row>
    <row r="28" spans="3:15" x14ac:dyDescent="0.3">
      <c r="C28" s="60"/>
    </row>
    <row r="29" spans="3:15" x14ac:dyDescent="0.3">
      <c r="C29" s="60"/>
    </row>
    <row r="30" spans="3:15" x14ac:dyDescent="0.3">
      <c r="C30" s="60"/>
    </row>
    <row r="31" spans="3:15" ht="15" thickBot="1" x14ac:dyDescent="0.35">
      <c r="C31" s="60"/>
    </row>
    <row r="32" spans="3:15" s="62" customFormat="1" ht="16.2" thickBot="1" x14ac:dyDescent="0.35">
      <c r="C32" s="61"/>
      <c r="D32" s="137" t="s">
        <v>101</v>
      </c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8"/>
    </row>
    <row r="33" spans="3:15" s="65" customFormat="1" ht="28.2" thickBot="1" x14ac:dyDescent="0.35">
      <c r="C33" s="63" t="s">
        <v>102</v>
      </c>
      <c r="D33" s="64" t="s">
        <v>103</v>
      </c>
      <c r="E33" s="64" t="s">
        <v>104</v>
      </c>
      <c r="F33" s="64" t="s">
        <v>105</v>
      </c>
      <c r="G33" s="64" t="s">
        <v>106</v>
      </c>
      <c r="H33" s="64" t="s">
        <v>107</v>
      </c>
      <c r="I33" s="64" t="s">
        <v>108</v>
      </c>
      <c r="J33" s="64" t="s">
        <v>109</v>
      </c>
      <c r="K33" s="64" t="s">
        <v>110</v>
      </c>
      <c r="L33" s="64" t="s">
        <v>111</v>
      </c>
      <c r="M33" s="64" t="s">
        <v>112</v>
      </c>
      <c r="N33" s="64" t="s">
        <v>113</v>
      </c>
      <c r="O33" s="64" t="s">
        <v>114</v>
      </c>
    </row>
    <row r="34" spans="3:15" s="65" customFormat="1" ht="15" thickBot="1" x14ac:dyDescent="0.35">
      <c r="C34" s="63" t="s">
        <v>154</v>
      </c>
      <c r="D34" s="66">
        <v>279</v>
      </c>
      <c r="E34" s="66">
        <v>78.599999999999994</v>
      </c>
      <c r="F34" s="66">
        <v>46</v>
      </c>
      <c r="G34" s="66">
        <v>38.6</v>
      </c>
      <c r="H34" s="66">
        <v>523</v>
      </c>
      <c r="I34" s="66">
        <v>606.83000000000004</v>
      </c>
      <c r="J34" s="66">
        <v>60.5</v>
      </c>
      <c r="K34" s="66">
        <v>161.16999999999999</v>
      </c>
      <c r="L34" s="66">
        <v>173.2</v>
      </c>
      <c r="M34" s="66">
        <v>63.67</v>
      </c>
      <c r="N34" s="66">
        <v>36</v>
      </c>
      <c r="O34" s="66">
        <v>29.2</v>
      </c>
    </row>
    <row r="35" spans="3:15" s="65" customFormat="1" ht="15" thickBot="1" x14ac:dyDescent="0.35">
      <c r="C35" s="63" t="s">
        <v>155</v>
      </c>
      <c r="D35" s="67">
        <f>D34/1.1/1.15</f>
        <v>220.55335968379447</v>
      </c>
      <c r="E35" s="67">
        <f t="shared" ref="E35:O35" si="4">E34/1.1/1.15</f>
        <v>62.134387351778649</v>
      </c>
      <c r="F35" s="67">
        <f t="shared" si="4"/>
        <v>36.36363636363636</v>
      </c>
      <c r="G35" s="67">
        <f t="shared" si="4"/>
        <v>30.51383399209486</v>
      </c>
      <c r="H35" s="67">
        <f t="shared" si="4"/>
        <v>413.43873517786562</v>
      </c>
      <c r="I35" s="67">
        <f t="shared" si="4"/>
        <v>479.70750988142294</v>
      </c>
      <c r="J35" s="67">
        <f t="shared" si="4"/>
        <v>47.826086956521735</v>
      </c>
      <c r="K35" s="67">
        <f t="shared" si="4"/>
        <v>127.40711462450592</v>
      </c>
      <c r="L35" s="67">
        <f t="shared" si="4"/>
        <v>136.91699604743081</v>
      </c>
      <c r="M35" s="67">
        <f t="shared" si="4"/>
        <v>50.33201581027668</v>
      </c>
      <c r="N35" s="67">
        <f t="shared" si="4"/>
        <v>28.458498023715418</v>
      </c>
      <c r="O35" s="67">
        <f t="shared" si="4"/>
        <v>23.083003952569168</v>
      </c>
    </row>
    <row r="36" spans="3:15" s="65" customFormat="1" x14ac:dyDescent="0.3"/>
    <row r="37" spans="3:15" s="65" customFormat="1" ht="15" thickBot="1" x14ac:dyDescent="0.35"/>
    <row r="38" spans="3:15" s="62" customFormat="1" ht="16.2" thickBot="1" x14ac:dyDescent="0.35">
      <c r="C38" s="61"/>
      <c r="D38" s="137" t="s">
        <v>115</v>
      </c>
      <c r="E38" s="137"/>
      <c r="F38" s="137"/>
      <c r="G38" s="138"/>
    </row>
    <row r="39" spans="3:15" s="65" customFormat="1" ht="15" thickBot="1" x14ac:dyDescent="0.35">
      <c r="C39" s="68"/>
      <c r="D39" s="69" t="s">
        <v>116</v>
      </c>
      <c r="E39" s="69" t="s">
        <v>117</v>
      </c>
      <c r="F39" s="69" t="s">
        <v>118</v>
      </c>
      <c r="G39" s="69" t="s">
        <v>104</v>
      </c>
    </row>
    <row r="40" spans="3:15" s="65" customFormat="1" ht="15" thickBot="1" x14ac:dyDescent="0.35">
      <c r="C40" s="70" t="s">
        <v>156</v>
      </c>
      <c r="D40" s="71">
        <v>8</v>
      </c>
      <c r="E40" s="71">
        <v>18</v>
      </c>
      <c r="F40" s="71">
        <v>18</v>
      </c>
      <c r="G40" s="71">
        <v>35</v>
      </c>
    </row>
    <row r="41" spans="3:15" s="65" customFormat="1" ht="15" thickBot="1" x14ac:dyDescent="0.35">
      <c r="C41" s="70" t="s">
        <v>155</v>
      </c>
      <c r="D41" s="67">
        <f t="shared" ref="D41:G41" si="5">D40/1.1/1.15</f>
        <v>6.3241106719367588</v>
      </c>
      <c r="E41" s="67">
        <f t="shared" si="5"/>
        <v>14.229249011857709</v>
      </c>
      <c r="F41" s="67">
        <f t="shared" si="5"/>
        <v>14.229249011857709</v>
      </c>
      <c r="G41" s="67">
        <f t="shared" si="5"/>
        <v>27.66798418972332</v>
      </c>
    </row>
    <row r="42" spans="3:15" s="65" customFormat="1" x14ac:dyDescent="0.3"/>
  </sheetData>
  <mergeCells count="2">
    <mergeCell ref="D32:O32"/>
    <mergeCell ref="D38:G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1033-A03C-46D9-9E82-67EA6B492C7B}">
  <dimension ref="B2:O8"/>
  <sheetViews>
    <sheetView workbookViewId="0">
      <selection activeCell="J11" sqref="J11"/>
    </sheetView>
  </sheetViews>
  <sheetFormatPr defaultColWidth="11.5546875" defaultRowHeight="14.4" x14ac:dyDescent="0.3"/>
  <sheetData>
    <row r="2" spans="2:15" ht="71.400000000000006" x14ac:dyDescent="0.3">
      <c r="B2" s="112" t="s">
        <v>129</v>
      </c>
      <c r="C2" s="111" t="s">
        <v>130</v>
      </c>
      <c r="D2" s="111" t="s">
        <v>131</v>
      </c>
      <c r="E2" s="111" t="s">
        <v>132</v>
      </c>
      <c r="F2" s="111" t="s">
        <v>140</v>
      </c>
      <c r="G2" s="111" t="s">
        <v>141</v>
      </c>
      <c r="H2" s="111" t="s">
        <v>133</v>
      </c>
      <c r="I2" s="111" t="s">
        <v>134</v>
      </c>
      <c r="J2" s="111" t="s">
        <v>135</v>
      </c>
      <c r="K2" s="111" t="s">
        <v>136</v>
      </c>
      <c r="L2" s="111" t="s">
        <v>137</v>
      </c>
      <c r="M2" s="111" t="s">
        <v>138</v>
      </c>
      <c r="N2" s="111" t="s">
        <v>144</v>
      </c>
      <c r="O2" s="111" t="s">
        <v>145</v>
      </c>
    </row>
    <row r="3" spans="2:15" ht="31.2" x14ac:dyDescent="0.3">
      <c r="B3" s="112" t="s">
        <v>139</v>
      </c>
      <c r="C3" s="128">
        <v>12.3</v>
      </c>
      <c r="D3" s="117">
        <v>70</v>
      </c>
      <c r="E3" s="117">
        <v>12</v>
      </c>
      <c r="F3" s="118">
        <v>0.2</v>
      </c>
      <c r="G3" s="118">
        <v>0.1</v>
      </c>
      <c r="H3" s="117">
        <v>0.92920000000000003</v>
      </c>
      <c r="I3" s="116">
        <f>C3*D3*E3*H3*(1-F3)</f>
        <v>7680.39552</v>
      </c>
      <c r="J3" s="116">
        <f>C3*1.05*D3*E3*H3*(1-G3)</f>
        <v>9072.4672080000018</v>
      </c>
      <c r="K3" s="116">
        <f>J3*1.05</f>
        <v>9526.0905684000027</v>
      </c>
      <c r="L3" s="116">
        <f>K3*1.05</f>
        <v>10002.395096820002</v>
      </c>
      <c r="M3" s="116">
        <f>L3*1.05</f>
        <v>10502.514851661002</v>
      </c>
      <c r="N3" s="116">
        <f>AVERAGE(I3:M3)</f>
        <v>9356.7726489762026</v>
      </c>
      <c r="O3" s="129">
        <f>N3/D3</f>
        <v>133.66818069966004</v>
      </c>
    </row>
    <row r="7" spans="2:15" ht="106.95" customHeight="1" x14ac:dyDescent="0.3">
      <c r="B7" s="112" t="s">
        <v>129</v>
      </c>
      <c r="C7" s="115" t="s">
        <v>130</v>
      </c>
      <c r="D7" s="115" t="s">
        <v>131</v>
      </c>
      <c r="E7" s="115" t="s">
        <v>132</v>
      </c>
      <c r="F7" s="115" t="s">
        <v>140</v>
      </c>
      <c r="G7" s="115" t="s">
        <v>141</v>
      </c>
      <c r="H7" s="115" t="s">
        <v>134</v>
      </c>
      <c r="I7" s="115" t="s">
        <v>135</v>
      </c>
      <c r="J7" s="115" t="s">
        <v>136</v>
      </c>
      <c r="K7" s="115" t="s">
        <v>137</v>
      </c>
      <c r="L7" s="115" t="s">
        <v>138</v>
      </c>
      <c r="M7" s="115" t="s">
        <v>144</v>
      </c>
      <c r="N7" s="115" t="s">
        <v>145</v>
      </c>
    </row>
    <row r="8" spans="2:15" ht="31.2" x14ac:dyDescent="0.3">
      <c r="B8" s="112" t="s">
        <v>199</v>
      </c>
      <c r="C8" s="116">
        <v>9.4</v>
      </c>
      <c r="D8" s="117">
        <v>1</v>
      </c>
      <c r="E8" s="117">
        <v>12</v>
      </c>
      <c r="F8" s="118">
        <v>0.2</v>
      </c>
      <c r="G8" s="118">
        <v>0.1</v>
      </c>
      <c r="H8" s="116">
        <f>C8*D8*E8*(1-F8)</f>
        <v>90.240000000000009</v>
      </c>
      <c r="I8" s="116">
        <f>C8*1.05*D8*E8*(1-G8)</f>
        <v>106.59600000000002</v>
      </c>
      <c r="J8" s="116">
        <f>I8*1.05</f>
        <v>111.92580000000002</v>
      </c>
      <c r="K8" s="116">
        <f>J8*1.05</f>
        <v>117.52209000000003</v>
      </c>
      <c r="L8" s="116">
        <f>K8*1.05</f>
        <v>123.39819450000005</v>
      </c>
      <c r="M8" s="116">
        <f>AVERAGE(H8:L8)</f>
        <v>109.93641690000004</v>
      </c>
      <c r="N8" s="116">
        <f>M8/D8</f>
        <v>109.93641690000004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C2CAD-47B0-472A-80E0-E6B4ED7E367D}">
  <dimension ref="A2:L49"/>
  <sheetViews>
    <sheetView zoomScale="88" zoomScaleNormal="88" workbookViewId="0">
      <selection activeCell="I21" sqref="I21:J33"/>
    </sheetView>
  </sheetViews>
  <sheetFormatPr defaultColWidth="8.88671875" defaultRowHeight="14.4" x14ac:dyDescent="0.3"/>
  <cols>
    <col min="2" max="2" width="21" bestFit="1" customWidth="1"/>
    <col min="3" max="3" width="38.33203125" customWidth="1"/>
    <col min="4" max="4" width="12.6640625" bestFit="1" customWidth="1"/>
    <col min="5" max="5" width="18.5546875" customWidth="1"/>
    <col min="6" max="6" width="17" customWidth="1"/>
    <col min="7" max="7" width="14.109375" bestFit="1" customWidth="1"/>
    <col min="8" max="8" width="21.33203125" customWidth="1"/>
    <col min="9" max="9" width="21.5546875" customWidth="1"/>
    <col min="10" max="10" width="14.44140625" bestFit="1" customWidth="1"/>
    <col min="12" max="12" width="11.44140625" bestFit="1" customWidth="1"/>
  </cols>
  <sheetData>
    <row r="2" spans="1:10" ht="33.6" x14ac:dyDescent="0.3">
      <c r="C2" s="25" t="s">
        <v>61</v>
      </c>
      <c r="D2" s="23"/>
      <c r="E2" s="25" t="s">
        <v>51</v>
      </c>
      <c r="F2" s="25" t="s">
        <v>54</v>
      </c>
      <c r="G2" s="25" t="s">
        <v>53</v>
      </c>
      <c r="H2" s="25" t="s">
        <v>17</v>
      </c>
      <c r="I2" s="23"/>
      <c r="J2" s="23"/>
    </row>
    <row r="3" spans="1:10" ht="33.6" x14ac:dyDescent="0.3">
      <c r="B3" t="s">
        <v>0</v>
      </c>
      <c r="C3" s="23"/>
      <c r="D3" s="25" t="s">
        <v>55</v>
      </c>
      <c r="E3" s="26">
        <v>0.34</v>
      </c>
      <c r="F3" s="26">
        <v>0.01</v>
      </c>
      <c r="G3" s="26">
        <v>0.15</v>
      </c>
      <c r="H3" s="26">
        <v>0.1</v>
      </c>
      <c r="I3" s="25" t="s">
        <v>56</v>
      </c>
      <c r="J3" s="25" t="s">
        <v>52</v>
      </c>
    </row>
    <row r="4" spans="1:10" ht="16.8" x14ac:dyDescent="0.3">
      <c r="B4" t="s">
        <v>146</v>
      </c>
      <c r="C4" s="23" t="s">
        <v>18</v>
      </c>
      <c r="D4" s="24">
        <v>53935.309170112349</v>
      </c>
      <c r="E4" s="24">
        <f>D4*(1+$E$3)</f>
        <v>72273.314287950547</v>
      </c>
      <c r="F4" s="24">
        <f>E4*(1+$F$3)</f>
        <v>72996.047430830047</v>
      </c>
      <c r="G4" s="24">
        <f>F4*(1+$G$3)</f>
        <v>83945.454545454544</v>
      </c>
      <c r="H4" s="24">
        <f>G4*(1+$H$3)</f>
        <v>92340</v>
      </c>
      <c r="I4" s="23">
        <v>1</v>
      </c>
      <c r="J4" s="24">
        <f>H4*I4</f>
        <v>92340</v>
      </c>
    </row>
    <row r="5" spans="1:10" ht="16.8" x14ac:dyDescent="0.3">
      <c r="B5" t="s">
        <v>147</v>
      </c>
      <c r="C5" s="23" t="s">
        <v>11</v>
      </c>
      <c r="D5" s="24">
        <v>35851.735725162383</v>
      </c>
      <c r="E5" s="24">
        <f>D5*(1+$E$3)</f>
        <v>48041.3258717176</v>
      </c>
      <c r="F5" s="24">
        <f>E5*(1+$F$3)</f>
        <v>48521.739130434777</v>
      </c>
      <c r="G5" s="24">
        <f>F5*(1+$G$3)</f>
        <v>55799.999999999985</v>
      </c>
      <c r="H5" s="24">
        <f>G5*(1+$H$3)</f>
        <v>61379.999999999985</v>
      </c>
      <c r="I5" s="23">
        <v>1</v>
      </c>
      <c r="J5" s="24">
        <f t="shared" ref="J5:J8" si="0">H5*I5</f>
        <v>61379.999999999985</v>
      </c>
    </row>
    <row r="6" spans="1:10" ht="16.8" x14ac:dyDescent="0.3">
      <c r="B6" t="s">
        <v>148</v>
      </c>
      <c r="C6" s="23" t="s">
        <v>19</v>
      </c>
      <c r="D6" s="24">
        <v>45639.995537516115</v>
      </c>
      <c r="E6" s="24">
        <f>D6*(1+$E$3)</f>
        <v>61157.594020271601</v>
      </c>
      <c r="F6" s="24">
        <f>E6*(1+$F$3)</f>
        <v>61769.169960474319</v>
      </c>
      <c r="G6" s="24">
        <f>F6*(1+$G$3)</f>
        <v>71034.545454545456</v>
      </c>
      <c r="H6" s="24">
        <f>G6*(1+$H$3)</f>
        <v>78138.000000000015</v>
      </c>
      <c r="I6" s="23">
        <v>3</v>
      </c>
      <c r="J6" s="24">
        <f t="shared" si="0"/>
        <v>234414.00000000006</v>
      </c>
    </row>
    <row r="7" spans="1:10" ht="16.8" x14ac:dyDescent="0.3">
      <c r="B7" t="s">
        <v>149</v>
      </c>
      <c r="C7" s="23" t="s">
        <v>20</v>
      </c>
      <c r="D7" s="24">
        <v>40656.499134663631</v>
      </c>
      <c r="E7" s="24">
        <f>D7*(1+$E$3)</f>
        <v>54479.708840449268</v>
      </c>
      <c r="F7" s="24">
        <f>E7*(1+$F$3)</f>
        <v>55024.50592885376</v>
      </c>
      <c r="G7" s="24">
        <f>F7*(1+$G$3)</f>
        <v>63278.181818181816</v>
      </c>
      <c r="H7" s="24">
        <f>G7*(1+$H$3)</f>
        <v>69606</v>
      </c>
      <c r="I7" s="23">
        <v>1</v>
      </c>
      <c r="J7" s="24">
        <f t="shared" si="0"/>
        <v>69606</v>
      </c>
    </row>
    <row r="8" spans="1:10" ht="16.8" x14ac:dyDescent="0.3">
      <c r="B8" t="s">
        <v>149</v>
      </c>
      <c r="C8" s="23" t="s">
        <v>21</v>
      </c>
      <c r="D8" s="24">
        <v>40656.499134663631</v>
      </c>
      <c r="E8" s="24">
        <f>D8*(1+$E$3)</f>
        <v>54479.708840449268</v>
      </c>
      <c r="F8" s="24">
        <f>E8*(1+$F$3)</f>
        <v>55024.50592885376</v>
      </c>
      <c r="G8" s="24">
        <f>F8*(1+$G$3)</f>
        <v>63278.181818181816</v>
      </c>
      <c r="H8" s="24">
        <f>G8*(1+$H$3)</f>
        <v>69606</v>
      </c>
      <c r="I8" s="23">
        <v>1</v>
      </c>
      <c r="J8" s="24">
        <f t="shared" si="0"/>
        <v>69606</v>
      </c>
    </row>
    <row r="9" spans="1:10" ht="16.8" x14ac:dyDescent="0.3">
      <c r="C9" s="23"/>
      <c r="D9" s="24"/>
      <c r="E9" s="24"/>
      <c r="F9" s="24"/>
      <c r="G9" s="24"/>
      <c r="H9" s="24"/>
      <c r="I9" s="23"/>
      <c r="J9" s="24"/>
    </row>
    <row r="10" spans="1:10" ht="33.6" x14ac:dyDescent="0.3">
      <c r="A10" s="23"/>
      <c r="B10" s="24"/>
      <c r="C10" s="27" t="s">
        <v>143</v>
      </c>
      <c r="D10" s="25" t="s">
        <v>53</v>
      </c>
      <c r="E10" s="25" t="s">
        <v>17</v>
      </c>
      <c r="G10" s="24"/>
      <c r="H10" s="24"/>
      <c r="I10" s="25" t="s">
        <v>142</v>
      </c>
      <c r="J10" s="24"/>
    </row>
    <row r="11" spans="1:10" ht="16.8" x14ac:dyDescent="0.3">
      <c r="A11" s="23"/>
      <c r="B11" s="24"/>
      <c r="C11" s="26"/>
      <c r="D11" s="26">
        <v>0.15</v>
      </c>
      <c r="E11" s="26">
        <v>0.1</v>
      </c>
      <c r="F11" s="25"/>
      <c r="G11" s="24"/>
      <c r="H11" s="24"/>
      <c r="I11" s="23"/>
      <c r="J11" s="24"/>
    </row>
    <row r="12" spans="1:10" ht="16.8" x14ac:dyDescent="0.3">
      <c r="A12" s="23"/>
      <c r="B12" s="24" t="s">
        <v>199</v>
      </c>
      <c r="C12" s="24">
        <f>'CONFLUENCE-POWERBI'!N8</f>
        <v>109.93641690000004</v>
      </c>
      <c r="D12" s="24">
        <f>C12*(1+D11)</f>
        <v>126.42687943500003</v>
      </c>
      <c r="E12" s="24">
        <f>D12*(1+E11)</f>
        <v>139.06956737850004</v>
      </c>
      <c r="F12" s="23"/>
      <c r="G12" s="24"/>
      <c r="H12" s="24"/>
      <c r="I12" s="23">
        <v>2</v>
      </c>
      <c r="J12" s="24">
        <f>I12*E12</f>
        <v>278.13913475700008</v>
      </c>
    </row>
    <row r="13" spans="1:10" ht="16.8" x14ac:dyDescent="0.3">
      <c r="A13" s="23"/>
      <c r="B13" s="24"/>
      <c r="C13" s="27"/>
      <c r="D13" s="25"/>
      <c r="E13" s="25"/>
      <c r="F13" s="25"/>
      <c r="G13" s="24"/>
      <c r="H13" s="24"/>
      <c r="I13" s="23"/>
      <c r="J13" s="24"/>
    </row>
    <row r="14" spans="1:10" ht="16.8" x14ac:dyDescent="0.3">
      <c r="C14" s="23"/>
      <c r="D14" s="24"/>
      <c r="E14" s="24"/>
      <c r="F14" s="24"/>
      <c r="G14" s="23"/>
      <c r="H14" s="23"/>
      <c r="I14" s="25" t="s">
        <v>57</v>
      </c>
      <c r="J14" s="27">
        <f>SUM(J2:J12)</f>
        <v>527624.13913475699</v>
      </c>
    </row>
    <row r="15" spans="1:10" ht="16.8" x14ac:dyDescent="0.3">
      <c r="C15" s="23"/>
      <c r="D15" s="23"/>
      <c r="E15" s="23"/>
      <c r="F15" s="23"/>
      <c r="G15" s="23"/>
      <c r="H15" s="23"/>
      <c r="I15" s="25" t="s">
        <v>34</v>
      </c>
      <c r="J15" s="27">
        <f>J14*21%</f>
        <v>110801.06921829896</v>
      </c>
    </row>
    <row r="16" spans="1:10" ht="16.8" x14ac:dyDescent="0.3">
      <c r="C16" s="23"/>
      <c r="D16" s="23"/>
      <c r="E16" s="23"/>
      <c r="F16" s="23"/>
      <c r="G16" s="23"/>
      <c r="H16" s="23"/>
      <c r="I16" s="25" t="s">
        <v>58</v>
      </c>
      <c r="J16" s="27">
        <f>J14+J15</f>
        <v>638425.20835305599</v>
      </c>
    </row>
    <row r="17" spans="2:12" ht="16.8" x14ac:dyDescent="0.3">
      <c r="D17" s="23"/>
      <c r="E17" s="23"/>
      <c r="F17" s="23"/>
      <c r="G17" s="23"/>
      <c r="H17" s="23"/>
      <c r="I17" s="25"/>
      <c r="J17" s="27"/>
    </row>
    <row r="18" spans="2:12" ht="16.8" x14ac:dyDescent="0.3">
      <c r="C18" s="25"/>
      <c r="D18" s="23"/>
      <c r="E18" s="23"/>
      <c r="F18" s="23"/>
      <c r="G18" s="26"/>
      <c r="H18" s="26"/>
      <c r="I18" s="26"/>
      <c r="J18" s="23"/>
    </row>
    <row r="19" spans="2:12" ht="16.8" x14ac:dyDescent="0.3">
      <c r="C19" s="25"/>
      <c r="D19" s="23"/>
      <c r="E19" s="23"/>
      <c r="F19" s="26"/>
      <c r="G19" s="23"/>
      <c r="H19" s="23"/>
      <c r="I19" s="23"/>
      <c r="J19" s="24"/>
    </row>
    <row r="20" spans="2:12" ht="17.399999999999999" thickBot="1" x14ac:dyDescent="0.35">
      <c r="C20" s="25" t="s">
        <v>165</v>
      </c>
      <c r="D20" s="23"/>
      <c r="E20" s="23"/>
      <c r="F20" s="23"/>
      <c r="G20" s="23"/>
      <c r="H20" s="23"/>
      <c r="I20" s="23"/>
      <c r="J20" s="24"/>
    </row>
    <row r="21" spans="2:12" ht="17.399999999999999" thickBot="1" x14ac:dyDescent="0.35">
      <c r="C21" s="23"/>
      <c r="D21" s="23"/>
      <c r="E21" s="23"/>
      <c r="F21" s="23"/>
      <c r="G21" s="23"/>
      <c r="H21" s="23"/>
      <c r="I21" s="130" t="s">
        <v>12</v>
      </c>
      <c r="J21" s="125" t="s">
        <v>30</v>
      </c>
    </row>
    <row r="22" spans="2:12" ht="28.2" thickBot="1" x14ac:dyDescent="0.35">
      <c r="B22" t="s">
        <v>29</v>
      </c>
      <c r="C22" s="130" t="s">
        <v>12</v>
      </c>
      <c r="D22" s="125" t="s">
        <v>30</v>
      </c>
      <c r="E22" s="23"/>
      <c r="F22" s="23" t="s">
        <v>166</v>
      </c>
      <c r="G22" s="24"/>
      <c r="H22" s="23"/>
      <c r="I22" s="3" t="s">
        <v>13</v>
      </c>
      <c r="J22" s="4">
        <f t="shared" ref="J22:J27" si="1">ROUND(F23,2)</f>
        <v>924060.09</v>
      </c>
    </row>
    <row r="23" spans="2:12" ht="28.2" thickBot="1" x14ac:dyDescent="0.35">
      <c r="C23" s="3" t="s">
        <v>13</v>
      </c>
      <c r="D23" s="4">
        <f>ROUND(D4*I4+D5*I5+D6*I6+D7*I7+D8*I8,2)</f>
        <v>308020.03000000003</v>
      </c>
      <c r="E23" s="23"/>
      <c r="F23" s="24">
        <f t="shared" ref="F23:F28" si="2">ROUND(D23*3,2)</f>
        <v>924060.09</v>
      </c>
      <c r="G23" s="24"/>
      <c r="H23" s="23"/>
      <c r="I23" s="5" t="s">
        <v>35</v>
      </c>
      <c r="J23" s="4">
        <f t="shared" si="1"/>
        <v>314180.43</v>
      </c>
    </row>
    <row r="24" spans="2:12" ht="29.4" thickBot="1" x14ac:dyDescent="0.35">
      <c r="C24" s="5" t="s">
        <v>35</v>
      </c>
      <c r="D24" s="4">
        <f>ROUND((E4-D4)*I4+(E5-D5)*I5+(E6-D6)*I6+(E7-D7)*I7+(E8-D8)*I8,2)</f>
        <v>104726.81</v>
      </c>
      <c r="E24" s="23"/>
      <c r="F24" s="24">
        <f t="shared" si="2"/>
        <v>314180.43</v>
      </c>
      <c r="G24" s="24"/>
      <c r="H24" s="23"/>
      <c r="I24" s="3" t="s">
        <v>212</v>
      </c>
      <c r="J24" s="4">
        <f t="shared" si="1"/>
        <v>12382.41</v>
      </c>
    </row>
    <row r="25" spans="2:12" ht="28.2" thickBot="1" x14ac:dyDescent="0.35">
      <c r="C25" s="3" t="s">
        <v>212</v>
      </c>
      <c r="D25" s="4">
        <f>ROUND((F5-E5)*I5+(F6-E6)*I6+(F7-E7)*I7+(F8-E8)*I8+(F4-E4)*I4,2)</f>
        <v>4127.47</v>
      </c>
      <c r="E25" s="23"/>
      <c r="F25" s="24">
        <f t="shared" si="2"/>
        <v>12382.41</v>
      </c>
      <c r="G25" s="24"/>
      <c r="H25" s="23"/>
      <c r="I25" s="3" t="s">
        <v>31</v>
      </c>
      <c r="J25" s="4">
        <f t="shared" si="1"/>
        <v>0</v>
      </c>
    </row>
    <row r="26" spans="2:12" ht="28.2" thickBot="1" x14ac:dyDescent="0.35">
      <c r="C26" s="3" t="s">
        <v>31</v>
      </c>
      <c r="D26" s="4">
        <v>0</v>
      </c>
      <c r="E26" s="23"/>
      <c r="F26" s="24">
        <f t="shared" si="2"/>
        <v>0</v>
      </c>
      <c r="G26" s="24"/>
      <c r="H26" s="23"/>
      <c r="I26" s="3" t="s">
        <v>32</v>
      </c>
      <c r="J26" s="4">
        <f t="shared" si="1"/>
        <v>659.61</v>
      </c>
    </row>
    <row r="27" spans="2:12" ht="28.2" thickBot="1" x14ac:dyDescent="0.35">
      <c r="C27" s="3" t="s">
        <v>32</v>
      </c>
      <c r="D27" s="4">
        <f>ROUND(C12*I12,2)</f>
        <v>219.87</v>
      </c>
      <c r="E27" s="23"/>
      <c r="F27" s="24">
        <f t="shared" si="2"/>
        <v>659.61</v>
      </c>
      <c r="G27" s="24"/>
      <c r="H27" s="23"/>
      <c r="I27" s="6" t="s">
        <v>14</v>
      </c>
      <c r="J27" s="4">
        <f t="shared" si="1"/>
        <v>1251282.54</v>
      </c>
    </row>
    <row r="28" spans="2:12" ht="17.399999999999999" thickBot="1" x14ac:dyDescent="0.35">
      <c r="C28" s="6" t="s">
        <v>14</v>
      </c>
      <c r="D28" s="4">
        <f>ROUND(SUM(D23:D27),2)</f>
        <v>417094.18</v>
      </c>
      <c r="E28" s="23"/>
      <c r="F28" s="24">
        <f t="shared" si="2"/>
        <v>1251282.54</v>
      </c>
      <c r="G28" s="24"/>
      <c r="H28" s="23"/>
      <c r="I28" s="73" t="s">
        <v>15</v>
      </c>
      <c r="J28" s="126" t="s">
        <v>30</v>
      </c>
    </row>
    <row r="29" spans="2:12" ht="29.4" thickBot="1" x14ac:dyDescent="0.35">
      <c r="C29" s="73" t="s">
        <v>15</v>
      </c>
      <c r="D29" s="126" t="s">
        <v>30</v>
      </c>
      <c r="E29" s="23"/>
      <c r="F29" s="24"/>
      <c r="G29" s="24"/>
      <c r="H29" s="23"/>
      <c r="I29" s="3" t="s">
        <v>36</v>
      </c>
      <c r="J29" s="4">
        <f>ROUND(F30,2)</f>
        <v>187692.39</v>
      </c>
    </row>
    <row r="30" spans="2:12" ht="28.2" thickBot="1" x14ac:dyDescent="0.35">
      <c r="C30" s="3" t="s">
        <v>36</v>
      </c>
      <c r="D30" s="4">
        <f>ROUND((G4-F4)*I4+(G5-F5)*I5+(G6-F6)*I6+(G7-F7)*I7+(G8-F8)*I8+(D12-C12)*I12,2)</f>
        <v>62564.13</v>
      </c>
      <c r="E30" s="23"/>
      <c r="F30" s="24">
        <f>ROUND(D30*3,2)</f>
        <v>187692.39</v>
      </c>
      <c r="G30" s="24"/>
      <c r="H30" s="25"/>
      <c r="I30" s="6" t="s">
        <v>16</v>
      </c>
      <c r="J30" s="4">
        <f>ROUND(F31,2)</f>
        <v>1438974.93</v>
      </c>
    </row>
    <row r="31" spans="2:12" ht="29.4" thickBot="1" x14ac:dyDescent="0.35">
      <c r="C31" s="6" t="s">
        <v>16</v>
      </c>
      <c r="D31" s="4">
        <f>ROUND(D28+D30,2)</f>
        <v>479658.31</v>
      </c>
      <c r="E31" s="25"/>
      <c r="F31" s="24">
        <f>ROUND(D31*3,2)</f>
        <v>1438974.93</v>
      </c>
      <c r="G31" s="24"/>
      <c r="H31" s="26"/>
      <c r="I31" s="3" t="s">
        <v>37</v>
      </c>
      <c r="J31" s="4">
        <f>ROUND(F32,2)</f>
        <v>143897.49</v>
      </c>
    </row>
    <row r="32" spans="2:12" ht="42" thickBot="1" x14ac:dyDescent="0.35">
      <c r="C32" s="3" t="s">
        <v>37</v>
      </c>
      <c r="D32" s="4">
        <f>ROUND((H6-G6)*I6+(H7-G7)*I7+(H8-G8)*I8+(H4-G4)*I4+(H5-G5)*I5+(E12-D12)*I12,2)</f>
        <v>47965.83</v>
      </c>
      <c r="E32" s="26"/>
      <c r="F32" s="24">
        <f>ROUND(D32*3,2)</f>
        <v>143897.49</v>
      </c>
      <c r="G32" s="24"/>
      <c r="H32" s="24"/>
      <c r="I32" s="73" t="s">
        <v>33</v>
      </c>
      <c r="J32" s="126">
        <f>ROUND(J30+J31,2)</f>
        <v>1582872.42</v>
      </c>
      <c r="L32" s="8"/>
    </row>
    <row r="33" spans="3:10" ht="28.2" thickBot="1" x14ac:dyDescent="0.35">
      <c r="C33" s="73" t="s">
        <v>33</v>
      </c>
      <c r="D33" s="126">
        <f>ROUND(D31+D32,2)</f>
        <v>527624.14</v>
      </c>
      <c r="E33" s="23"/>
      <c r="F33" s="24">
        <f>ROUND(D33*3,2)</f>
        <v>1582872.42</v>
      </c>
      <c r="G33" s="24"/>
      <c r="H33" s="24"/>
      <c r="I33" s="75" t="s">
        <v>34</v>
      </c>
      <c r="J33" s="127">
        <f>ROUND(J32*1.21,2)</f>
        <v>1915275.63</v>
      </c>
    </row>
    <row r="34" spans="3:10" ht="17.399999999999999" thickBot="1" x14ac:dyDescent="0.35">
      <c r="C34" s="75" t="s">
        <v>34</v>
      </c>
      <c r="D34" s="127">
        <f>ROUND(D33*1.21,2)</f>
        <v>638425.21</v>
      </c>
      <c r="E34" s="23"/>
      <c r="F34" s="24">
        <f>ROUND(D34*3,2)</f>
        <v>1915275.63</v>
      </c>
      <c r="G34" s="23"/>
      <c r="H34" s="24"/>
      <c r="I34" s="23"/>
      <c r="J34" s="24"/>
    </row>
    <row r="35" spans="3:10" ht="16.8" x14ac:dyDescent="0.3">
      <c r="C35" s="23"/>
      <c r="D35" s="23"/>
      <c r="E35" s="23"/>
      <c r="F35" s="23"/>
      <c r="G35" s="23"/>
      <c r="H35" s="24"/>
      <c r="I35" s="23"/>
      <c r="J35" s="24"/>
    </row>
    <row r="36" spans="3:10" ht="16.8" x14ac:dyDescent="0.3">
      <c r="C36" s="23"/>
      <c r="D36" s="23"/>
      <c r="E36" s="23"/>
      <c r="F36" s="23"/>
      <c r="G36" s="23"/>
      <c r="H36" s="24"/>
      <c r="I36" s="23"/>
      <c r="J36" s="24"/>
    </row>
    <row r="37" spans="3:10" ht="16.8" x14ac:dyDescent="0.3">
      <c r="C37" s="23"/>
      <c r="D37" s="23"/>
    </row>
    <row r="38" spans="3:10" ht="16.8" x14ac:dyDescent="0.3">
      <c r="C38" s="23"/>
      <c r="D38" s="23"/>
    </row>
    <row r="39" spans="3:10" ht="16.8" x14ac:dyDescent="0.3">
      <c r="C39" s="23"/>
      <c r="D39" s="23"/>
    </row>
    <row r="40" spans="3:10" ht="16.8" x14ac:dyDescent="0.3">
      <c r="C40" s="23"/>
      <c r="D40" s="23"/>
    </row>
    <row r="41" spans="3:10" ht="16.8" x14ac:dyDescent="0.3">
      <c r="C41" s="23"/>
      <c r="D41" s="23"/>
    </row>
    <row r="42" spans="3:10" ht="16.8" x14ac:dyDescent="0.3">
      <c r="C42" s="23"/>
      <c r="D42" s="23"/>
    </row>
    <row r="43" spans="3:10" ht="16.8" x14ac:dyDescent="0.3">
      <c r="C43" s="23"/>
      <c r="D43" s="23"/>
    </row>
    <row r="44" spans="3:10" ht="16.8" x14ac:dyDescent="0.3">
      <c r="C44" s="23"/>
      <c r="D44" s="23"/>
    </row>
    <row r="45" spans="3:10" ht="16.8" x14ac:dyDescent="0.3">
      <c r="C45" s="23"/>
      <c r="D45" s="23"/>
    </row>
    <row r="47" spans="3:10" x14ac:dyDescent="0.3">
      <c r="C47" s="22"/>
    </row>
    <row r="48" spans="3:10" x14ac:dyDescent="0.3">
      <c r="C48" s="21"/>
    </row>
    <row r="49" spans="3:3" x14ac:dyDescent="0.3">
      <c r="C49" s="21"/>
    </row>
  </sheetData>
  <hyperlinks>
    <hyperlink ref="C24" location="_ftn1" display="_ftn1" xr:uid="{092A180F-D387-4435-B63F-F30918C414FC}"/>
    <hyperlink ref="I23" location="_ftn1" display="_ftn1" xr:uid="{B93F9F83-14A6-4B4B-BF46-AB779B95C373}"/>
    <hyperlink ref="C22" location="_ftn1" display="_ftn1" xr:uid="{7DDA2040-46CF-4134-893B-64EA424913C8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4ECF-69FC-4AE4-BCB3-E514CB550EE8}">
  <dimension ref="B5:K78"/>
  <sheetViews>
    <sheetView topLeftCell="A43" zoomScale="79" zoomScaleNormal="79" workbookViewId="0">
      <selection activeCell="D70" sqref="D70"/>
    </sheetView>
  </sheetViews>
  <sheetFormatPr defaultColWidth="8.88671875" defaultRowHeight="14.4" x14ac:dyDescent="0.3"/>
  <cols>
    <col min="2" max="2" width="17.6640625" bestFit="1" customWidth="1"/>
    <col min="3" max="3" width="17.5546875" bestFit="1" customWidth="1"/>
    <col min="4" max="4" width="23" customWidth="1"/>
    <col min="5" max="5" width="21.5546875" customWidth="1"/>
    <col min="6" max="6" width="34.109375" customWidth="1"/>
    <col min="7" max="7" width="19.5546875" customWidth="1"/>
    <col min="8" max="8" width="18.6640625" customWidth="1"/>
    <col min="9" max="9" width="20.6640625" customWidth="1"/>
    <col min="10" max="10" width="21.88671875" customWidth="1"/>
    <col min="11" max="11" width="15.5546875" customWidth="1"/>
    <col min="12" max="12" width="11.44140625" bestFit="1" customWidth="1"/>
  </cols>
  <sheetData>
    <row r="5" spans="2:11" ht="28.8" x14ac:dyDescent="0.3">
      <c r="D5" s="28" t="s">
        <v>22</v>
      </c>
      <c r="E5" s="28" t="s">
        <v>151</v>
      </c>
      <c r="F5" s="28" t="s">
        <v>152</v>
      </c>
      <c r="G5" s="28" t="s">
        <v>23</v>
      </c>
      <c r="H5" s="28" t="s">
        <v>24</v>
      </c>
      <c r="I5" s="28" t="s">
        <v>25</v>
      </c>
    </row>
    <row r="6" spans="2:11" x14ac:dyDescent="0.3">
      <c r="B6" t="s">
        <v>163</v>
      </c>
      <c r="C6" t="s">
        <v>197</v>
      </c>
      <c r="D6" s="29" t="s">
        <v>26</v>
      </c>
      <c r="E6" s="86">
        <f>ROUND(NMA!E71,2)</f>
        <v>2320378.92</v>
      </c>
      <c r="F6" s="86">
        <f>ROUND(OGNMA!D33,2)</f>
        <v>527624.14</v>
      </c>
      <c r="G6" s="87">
        <f>E6+F6</f>
        <v>2848003.06</v>
      </c>
      <c r="H6" s="87">
        <f>ROUND(G6*0.21+0.003,2)</f>
        <v>598080.65</v>
      </c>
      <c r="I6" s="87">
        <f>G6+H6</f>
        <v>3446083.71</v>
      </c>
      <c r="K6" s="110"/>
    </row>
    <row r="7" spans="2:11" x14ac:dyDescent="0.3">
      <c r="B7" t="s">
        <v>163</v>
      </c>
      <c r="C7" t="s">
        <v>29</v>
      </c>
      <c r="D7" s="29" t="s">
        <v>27</v>
      </c>
      <c r="E7" s="86">
        <f>ROUND(NMA!E52,2)</f>
        <v>3764170.25</v>
      </c>
      <c r="F7" s="86">
        <f>ROUND(OGNMA!D33,2)</f>
        <v>527624.14</v>
      </c>
      <c r="G7" s="87">
        <f>E7+F7</f>
        <v>4291794.3899999997</v>
      </c>
      <c r="H7" s="87">
        <f>ROUND(G7*0.21,2)</f>
        <v>901276.82</v>
      </c>
      <c r="I7" s="87">
        <f>G7+H7</f>
        <v>5193071.21</v>
      </c>
      <c r="K7" s="110"/>
    </row>
    <row r="8" spans="2:11" x14ac:dyDescent="0.3">
      <c r="B8" t="s">
        <v>163</v>
      </c>
      <c r="C8" t="s">
        <v>29</v>
      </c>
      <c r="D8" s="29" t="s">
        <v>28</v>
      </c>
      <c r="E8" s="86">
        <f>ROUND(NMA!E52,2)</f>
        <v>3764170.25</v>
      </c>
      <c r="F8" s="86">
        <f>ROUND(OGNMA!D33,2)</f>
        <v>527624.14</v>
      </c>
      <c r="G8" s="87">
        <f>E8+F8</f>
        <v>4291794.3899999997</v>
      </c>
      <c r="H8" s="87">
        <f>ROUND(G8*0.21,2)</f>
        <v>901276.82</v>
      </c>
      <c r="I8" s="87">
        <f>G8+H8</f>
        <v>5193071.21</v>
      </c>
      <c r="K8" s="110"/>
    </row>
    <row r="9" spans="2:11" x14ac:dyDescent="0.3">
      <c r="D9" s="29" t="s">
        <v>63</v>
      </c>
      <c r="E9" s="86">
        <f>SUM(E6:E8)</f>
        <v>9848719.4199999999</v>
      </c>
      <c r="F9" s="86">
        <f>SUM(F6:F8)</f>
        <v>1582872.42</v>
      </c>
      <c r="G9" s="86">
        <f>SUM(G6:G8)</f>
        <v>11431591.84</v>
      </c>
      <c r="H9" s="86">
        <f>SUM(H6:H8)</f>
        <v>2400634.29</v>
      </c>
      <c r="I9" s="86">
        <f>SUM(I6:I8)</f>
        <v>13832226.129999999</v>
      </c>
      <c r="K9" s="110"/>
    </row>
    <row r="10" spans="2:11" x14ac:dyDescent="0.3">
      <c r="E10" s="83"/>
      <c r="F10" s="83"/>
    </row>
    <row r="11" spans="2:11" x14ac:dyDescent="0.3">
      <c r="D11" s="121" t="s">
        <v>50</v>
      </c>
      <c r="E11" s="122">
        <f>E9*0.21</f>
        <v>2068231.0781999999</v>
      </c>
      <c r="F11" s="122">
        <f>F9*0.21</f>
        <v>332403.20819999999</v>
      </c>
      <c r="K11" s="8"/>
    </row>
    <row r="12" spans="2:11" x14ac:dyDescent="0.3">
      <c r="D12" s="121" t="s">
        <v>200</v>
      </c>
      <c r="E12" s="122">
        <f>E9+E11</f>
        <v>11916950.498199999</v>
      </c>
      <c r="F12" s="122">
        <f>F9+F11</f>
        <v>1915275.6281999999</v>
      </c>
      <c r="K12" s="8"/>
    </row>
    <row r="13" spans="2:11" ht="15.6" x14ac:dyDescent="0.3">
      <c r="C13" t="s">
        <v>157</v>
      </c>
      <c r="D13" s="9"/>
      <c r="K13" s="8"/>
    </row>
    <row r="14" spans="2:11" ht="60" customHeight="1" thickBot="1" x14ac:dyDescent="0.35">
      <c r="D14" s="10" t="s">
        <v>38</v>
      </c>
      <c r="E14" s="11" t="s">
        <v>39</v>
      </c>
      <c r="F14" s="11" t="s">
        <v>40</v>
      </c>
      <c r="G14" s="11" t="s">
        <v>41</v>
      </c>
      <c r="H14" s="11" t="s">
        <v>42</v>
      </c>
      <c r="I14" s="12" t="s">
        <v>43</v>
      </c>
    </row>
    <row r="15" spans="2:11" ht="15" thickBot="1" x14ac:dyDescent="0.35">
      <c r="D15" s="13" t="s">
        <v>44</v>
      </c>
      <c r="E15" s="15">
        <f>E6</f>
        <v>2320378.92</v>
      </c>
      <c r="F15" s="15">
        <v>0</v>
      </c>
      <c r="G15" s="15">
        <f>ROUND($E$9*0.2/5,2)</f>
        <v>393948.78</v>
      </c>
      <c r="H15" s="19">
        <f>ROUND($F$40/365*225,2)</f>
        <v>68815.22</v>
      </c>
      <c r="I15" s="18">
        <f>SUM(E15:G15)</f>
        <v>2714327.7</v>
      </c>
      <c r="J15" t="s">
        <v>198</v>
      </c>
    </row>
    <row r="16" spans="2:11" ht="15" thickBot="1" x14ac:dyDescent="0.35">
      <c r="D16" s="13" t="s">
        <v>45</v>
      </c>
      <c r="E16" s="15">
        <f>E7</f>
        <v>3764170.25</v>
      </c>
      <c r="F16" s="15">
        <v>0</v>
      </c>
      <c r="G16" s="15">
        <f>ROUND($E$9*0.2/5,2)</f>
        <v>393948.78</v>
      </c>
      <c r="H16" s="19">
        <f>ROUND($F$40,2)</f>
        <v>111633.58</v>
      </c>
      <c r="I16" s="18">
        <f t="shared" ref="I16:I19" si="0">SUM(E16:G16)</f>
        <v>4158119.0300000003</v>
      </c>
      <c r="J16" t="s">
        <v>168</v>
      </c>
    </row>
    <row r="17" spans="2:10" ht="15" thickBot="1" x14ac:dyDescent="0.35">
      <c r="D17" s="13" t="s">
        <v>46</v>
      </c>
      <c r="E17" s="15">
        <f>E8</f>
        <v>3764170.25</v>
      </c>
      <c r="F17" s="15">
        <v>0</v>
      </c>
      <c r="G17" s="15">
        <f>ROUND($E$9*0.2/5,2)</f>
        <v>393948.78</v>
      </c>
      <c r="H17" s="19">
        <f>ROUND($F$40,2)</f>
        <v>111633.58</v>
      </c>
      <c r="I17" s="18">
        <f t="shared" si="0"/>
        <v>4158119.0300000003</v>
      </c>
      <c r="J17" t="s">
        <v>168</v>
      </c>
    </row>
    <row r="18" spans="2:10" ht="15" thickBot="1" x14ac:dyDescent="0.35">
      <c r="D18" s="13" t="s">
        <v>47</v>
      </c>
      <c r="E18" s="15">
        <v>0</v>
      </c>
      <c r="F18" s="15">
        <f>E17</f>
        <v>3764170.25</v>
      </c>
      <c r="G18" s="15">
        <f>ROUND($E$9*0.2/5,2)</f>
        <v>393948.78</v>
      </c>
      <c r="H18" s="19">
        <f>ROUND($F$40,2)</f>
        <v>111633.58</v>
      </c>
      <c r="I18" s="18">
        <f t="shared" si="0"/>
        <v>4158119.0300000003</v>
      </c>
      <c r="J18" t="s">
        <v>168</v>
      </c>
    </row>
    <row r="19" spans="2:10" ht="15" thickBot="1" x14ac:dyDescent="0.35">
      <c r="D19" s="13" t="s">
        <v>48</v>
      </c>
      <c r="E19" s="15">
        <v>0</v>
      </c>
      <c r="F19" s="15">
        <f>E17</f>
        <v>3764170.25</v>
      </c>
      <c r="G19" s="15">
        <f>ROUND($E$9*0.2/5,2)</f>
        <v>393948.78</v>
      </c>
      <c r="H19" s="19">
        <f>ROUND($F$40,2)</f>
        <v>111633.58</v>
      </c>
      <c r="I19" s="18">
        <f t="shared" si="0"/>
        <v>4158119.0300000003</v>
      </c>
      <c r="J19" t="s">
        <v>168</v>
      </c>
    </row>
    <row r="20" spans="2:10" x14ac:dyDescent="0.3">
      <c r="D20" s="14" t="s">
        <v>49</v>
      </c>
      <c r="E20" s="16">
        <f>SUM(E15:E19)</f>
        <v>9848719.4199999999</v>
      </c>
      <c r="F20" s="17">
        <f>SUM(F15:F19)</f>
        <v>7528340.5</v>
      </c>
      <c r="G20" s="17">
        <f>SUM(G15:G19)</f>
        <v>1969743.9000000001</v>
      </c>
      <c r="H20" s="20">
        <f>SUM(H15:H19)</f>
        <v>515349.54000000004</v>
      </c>
      <c r="I20" s="17">
        <f>SUM(I15:I19)</f>
        <v>19346803.820000004</v>
      </c>
    </row>
    <row r="21" spans="2:10" ht="15.6" x14ac:dyDescent="0.3">
      <c r="C21" t="s">
        <v>158</v>
      </c>
      <c r="D21" s="9"/>
    </row>
    <row r="22" spans="2:10" ht="66.75" customHeight="1" thickBot="1" x14ac:dyDescent="0.35">
      <c r="D22" s="10" t="s">
        <v>38</v>
      </c>
      <c r="E22" s="11" t="s">
        <v>39</v>
      </c>
      <c r="F22" s="11" t="s">
        <v>40</v>
      </c>
      <c r="G22" s="11" t="s">
        <v>41</v>
      </c>
      <c r="H22" s="11" t="s">
        <v>42</v>
      </c>
      <c r="I22" s="12" t="s">
        <v>43</v>
      </c>
    </row>
    <row r="23" spans="2:10" ht="15" thickBot="1" x14ac:dyDescent="0.35">
      <c r="D23" s="13" t="s">
        <v>44</v>
      </c>
      <c r="E23" s="15">
        <f>F6</f>
        <v>527624.14</v>
      </c>
      <c r="F23" s="15">
        <v>0</v>
      </c>
      <c r="G23" s="15">
        <f>ROUND($F$9*0.2/5,2)</f>
        <v>63314.9</v>
      </c>
      <c r="H23" s="19">
        <f>F41</f>
        <v>278.13913475700008</v>
      </c>
      <c r="I23" s="18">
        <f>SUM(E23:G23)</f>
        <v>590939.04</v>
      </c>
      <c r="J23" t="s">
        <v>168</v>
      </c>
    </row>
    <row r="24" spans="2:10" ht="15" thickBot="1" x14ac:dyDescent="0.35">
      <c r="D24" s="13" t="s">
        <v>45</v>
      </c>
      <c r="E24" s="15">
        <f>F7</f>
        <v>527624.14</v>
      </c>
      <c r="F24" s="15">
        <v>0</v>
      </c>
      <c r="G24" s="15">
        <f>ROUND($F$9*0.2/5,2)</f>
        <v>63314.9</v>
      </c>
      <c r="H24" s="19">
        <f>F41</f>
        <v>278.13913475700008</v>
      </c>
      <c r="I24" s="18">
        <f t="shared" ref="I24:I27" si="1">SUM(E24:G24)</f>
        <v>590939.04</v>
      </c>
      <c r="J24" t="s">
        <v>168</v>
      </c>
    </row>
    <row r="25" spans="2:10" ht="15" thickBot="1" x14ac:dyDescent="0.35">
      <c r="D25" s="13" t="s">
        <v>46</v>
      </c>
      <c r="E25" s="15">
        <f>F8</f>
        <v>527624.14</v>
      </c>
      <c r="F25" s="15">
        <v>0</v>
      </c>
      <c r="G25" s="15">
        <f>ROUND($F$9*0.2/5,2)</f>
        <v>63314.9</v>
      </c>
      <c r="H25" s="19">
        <f>F41</f>
        <v>278.13913475700008</v>
      </c>
      <c r="I25" s="18">
        <f t="shared" si="1"/>
        <v>590939.04</v>
      </c>
      <c r="J25" t="s">
        <v>168</v>
      </c>
    </row>
    <row r="26" spans="2:10" ht="15" thickBot="1" x14ac:dyDescent="0.35">
      <c r="D26" s="13" t="s">
        <v>47</v>
      </c>
      <c r="E26" s="15">
        <v>0</v>
      </c>
      <c r="F26" s="15">
        <f>E25</f>
        <v>527624.14</v>
      </c>
      <c r="G26" s="15">
        <f>ROUND($F$9*0.2/5,2)</f>
        <v>63314.9</v>
      </c>
      <c r="H26" s="19">
        <f>F41</f>
        <v>278.13913475700008</v>
      </c>
      <c r="I26" s="18">
        <f t="shared" si="1"/>
        <v>590939.04</v>
      </c>
      <c r="J26" t="s">
        <v>168</v>
      </c>
    </row>
    <row r="27" spans="2:10" ht="15" thickBot="1" x14ac:dyDescent="0.35">
      <c r="D27" s="13" t="s">
        <v>48</v>
      </c>
      <c r="E27" s="15">
        <v>0</v>
      </c>
      <c r="F27" s="15">
        <f>E25</f>
        <v>527624.14</v>
      </c>
      <c r="G27" s="15">
        <f>ROUND($F$9*0.2/5,2)</f>
        <v>63314.9</v>
      </c>
      <c r="H27" s="19">
        <f>F41</f>
        <v>278.13913475700008</v>
      </c>
      <c r="I27" s="18">
        <f t="shared" si="1"/>
        <v>590939.04</v>
      </c>
      <c r="J27" t="s">
        <v>168</v>
      </c>
    </row>
    <row r="28" spans="2:10" x14ac:dyDescent="0.3">
      <c r="D28" s="14" t="s">
        <v>49</v>
      </c>
      <c r="E28" s="16">
        <f>SUM(E23:E27)</f>
        <v>1582872.42</v>
      </c>
      <c r="F28" s="17">
        <f>SUM(F23:F27)</f>
        <v>1055248.28</v>
      </c>
      <c r="G28" s="17">
        <f>SUM(G23:G27)</f>
        <v>316574.5</v>
      </c>
      <c r="H28" s="20">
        <f>SUM(H23:H27)</f>
        <v>1390.6956737850005</v>
      </c>
      <c r="I28" s="17">
        <f>SUM(I23:I27)</f>
        <v>2954695.2</v>
      </c>
    </row>
    <row r="29" spans="2:10" ht="15.6" x14ac:dyDescent="0.3">
      <c r="C29" t="s">
        <v>169</v>
      </c>
      <c r="D29" s="9"/>
      <c r="J29" s="1"/>
    </row>
    <row r="30" spans="2:10" ht="78.75" customHeight="1" thickBot="1" x14ac:dyDescent="0.35">
      <c r="D30" s="10" t="s">
        <v>38</v>
      </c>
      <c r="E30" s="11" t="s">
        <v>39</v>
      </c>
      <c r="F30" s="11" t="s">
        <v>40</v>
      </c>
      <c r="G30" s="11" t="s">
        <v>41</v>
      </c>
      <c r="H30" s="11" t="s">
        <v>42</v>
      </c>
      <c r="I30" s="12" t="s">
        <v>43</v>
      </c>
    </row>
    <row r="31" spans="2:10" ht="15" thickBot="1" x14ac:dyDescent="0.35">
      <c r="B31" s="1"/>
      <c r="D31" s="13" t="s">
        <v>44</v>
      </c>
      <c r="E31" s="15">
        <f t="shared" ref="E31:I36" si="2">E15+E23</f>
        <v>2848003.06</v>
      </c>
      <c r="F31" s="15">
        <f t="shared" si="2"/>
        <v>0</v>
      </c>
      <c r="G31" s="15">
        <f t="shared" si="2"/>
        <v>457263.68000000005</v>
      </c>
      <c r="H31" s="19">
        <f t="shared" si="2"/>
        <v>69093.359134757004</v>
      </c>
      <c r="I31" s="18">
        <f t="shared" si="2"/>
        <v>3305266.74</v>
      </c>
      <c r="J31" t="s">
        <v>171</v>
      </c>
    </row>
    <row r="32" spans="2:10" ht="15" thickBot="1" x14ac:dyDescent="0.35">
      <c r="D32" s="13" t="s">
        <v>45</v>
      </c>
      <c r="E32" s="15">
        <f t="shared" si="2"/>
        <v>4291794.3899999997</v>
      </c>
      <c r="F32" s="15">
        <f t="shared" si="2"/>
        <v>0</v>
      </c>
      <c r="G32" s="15">
        <f t="shared" si="2"/>
        <v>457263.68000000005</v>
      </c>
      <c r="H32" s="19">
        <f t="shared" si="2"/>
        <v>111911.719134757</v>
      </c>
      <c r="I32" s="18">
        <f t="shared" si="2"/>
        <v>4749058.07</v>
      </c>
      <c r="J32" t="s">
        <v>62</v>
      </c>
    </row>
    <row r="33" spans="4:10" ht="15" thickBot="1" x14ac:dyDescent="0.35">
      <c r="D33" s="13" t="s">
        <v>46</v>
      </c>
      <c r="E33" s="15">
        <f t="shared" si="2"/>
        <v>4291794.3899999997</v>
      </c>
      <c r="F33" s="15">
        <f t="shared" si="2"/>
        <v>0</v>
      </c>
      <c r="G33" s="15">
        <f t="shared" si="2"/>
        <v>457263.68000000005</v>
      </c>
      <c r="H33" s="19">
        <f t="shared" si="2"/>
        <v>111911.719134757</v>
      </c>
      <c r="I33" s="18">
        <f t="shared" si="2"/>
        <v>4749058.07</v>
      </c>
      <c r="J33" t="s">
        <v>62</v>
      </c>
    </row>
    <row r="34" spans="4:10" ht="15" thickBot="1" x14ac:dyDescent="0.35">
      <c r="D34" s="13" t="s">
        <v>47</v>
      </c>
      <c r="E34" s="15">
        <f t="shared" si="2"/>
        <v>0</v>
      </c>
      <c r="F34" s="15">
        <f t="shared" si="2"/>
        <v>4291794.3899999997</v>
      </c>
      <c r="G34" s="15">
        <f t="shared" si="2"/>
        <v>457263.68000000005</v>
      </c>
      <c r="H34" s="19">
        <f t="shared" si="2"/>
        <v>111911.719134757</v>
      </c>
      <c r="I34" s="18">
        <f t="shared" si="2"/>
        <v>4749058.07</v>
      </c>
      <c r="J34" t="s">
        <v>62</v>
      </c>
    </row>
    <row r="35" spans="4:10" ht="15" thickBot="1" x14ac:dyDescent="0.35">
      <c r="D35" s="13" t="s">
        <v>48</v>
      </c>
      <c r="E35" s="15">
        <f t="shared" si="2"/>
        <v>0</v>
      </c>
      <c r="F35" s="15">
        <f t="shared" si="2"/>
        <v>4291794.3899999997</v>
      </c>
      <c r="G35" s="15">
        <f t="shared" si="2"/>
        <v>457263.68000000005</v>
      </c>
      <c r="H35" s="19">
        <f t="shared" si="2"/>
        <v>111911.719134757</v>
      </c>
      <c r="I35" s="18">
        <f t="shared" si="2"/>
        <v>4749058.07</v>
      </c>
      <c r="J35" t="s">
        <v>62</v>
      </c>
    </row>
    <row r="36" spans="4:10" x14ac:dyDescent="0.3">
      <c r="D36" s="14" t="s">
        <v>49</v>
      </c>
      <c r="E36" s="16">
        <f t="shared" si="2"/>
        <v>11431591.84</v>
      </c>
      <c r="F36" s="16">
        <f t="shared" si="2"/>
        <v>8583588.7799999993</v>
      </c>
      <c r="G36" s="16">
        <f t="shared" si="2"/>
        <v>2286318.4000000004</v>
      </c>
      <c r="H36" s="20">
        <f t="shared" si="2"/>
        <v>516740.23567378504</v>
      </c>
      <c r="I36" s="17">
        <f t="shared" si="2"/>
        <v>22301499.020000003</v>
      </c>
    </row>
    <row r="37" spans="4:10" ht="15.6" x14ac:dyDescent="0.3">
      <c r="D37" s="9"/>
    </row>
    <row r="38" spans="4:10" ht="15.6" x14ac:dyDescent="0.3">
      <c r="D38" s="9"/>
      <c r="F38" s="95" t="s">
        <v>210</v>
      </c>
      <c r="G38" s="135" t="s">
        <v>211</v>
      </c>
    </row>
    <row r="39" spans="4:10" ht="28.8" customHeight="1" x14ac:dyDescent="0.3">
      <c r="D39" s="141" t="s">
        <v>209</v>
      </c>
      <c r="E39" s="141"/>
      <c r="F39" s="131">
        <v>457263.68000000005</v>
      </c>
      <c r="G39" s="132">
        <f>F39*5</f>
        <v>2286318.4000000004</v>
      </c>
      <c r="H39" s="1"/>
      <c r="J39" s="1"/>
    </row>
    <row r="40" spans="4:10" ht="30.75" customHeight="1" x14ac:dyDescent="0.3">
      <c r="D40" s="141" t="s">
        <v>208</v>
      </c>
      <c r="E40" s="141"/>
      <c r="F40" s="133">
        <v>111633.58</v>
      </c>
      <c r="G40" s="134">
        <f>F40*(225/365+4)</f>
        <v>515349.54054794525</v>
      </c>
    </row>
    <row r="41" spans="4:10" ht="30.75" customHeight="1" x14ac:dyDescent="0.3">
      <c r="D41" s="141" t="s">
        <v>207</v>
      </c>
      <c r="E41" s="141"/>
      <c r="F41" s="133">
        <v>278.13913475700008</v>
      </c>
      <c r="G41" s="134">
        <f>F41*5</f>
        <v>1390.6956737850005</v>
      </c>
    </row>
    <row r="42" spans="4:10" ht="20.25" customHeight="1" thickBot="1" x14ac:dyDescent="0.35"/>
    <row r="43" spans="4:10" ht="60.75" customHeight="1" x14ac:dyDescent="0.3">
      <c r="D43" s="139" t="s">
        <v>64</v>
      </c>
      <c r="E43" s="30" t="s">
        <v>65</v>
      </c>
      <c r="F43" s="139" t="s">
        <v>67</v>
      </c>
      <c r="G43" s="30" t="s">
        <v>68</v>
      </c>
      <c r="H43" s="139" t="s">
        <v>204</v>
      </c>
      <c r="I43" s="139" t="s">
        <v>205</v>
      </c>
      <c r="J43" s="30" t="s">
        <v>173</v>
      </c>
    </row>
    <row r="44" spans="4:10" ht="66" customHeight="1" thickBot="1" x14ac:dyDescent="0.35">
      <c r="D44" s="140"/>
      <c r="E44" s="31" t="s">
        <v>66</v>
      </c>
      <c r="F44" s="140"/>
      <c r="G44" s="31" t="s">
        <v>69</v>
      </c>
      <c r="H44" s="140"/>
      <c r="I44" s="140"/>
      <c r="J44" s="31" t="s">
        <v>66</v>
      </c>
    </row>
    <row r="45" spans="4:10" ht="50.25" customHeight="1" thickBot="1" x14ac:dyDescent="0.35">
      <c r="D45" s="32" t="s">
        <v>71</v>
      </c>
      <c r="E45" s="85">
        <f>I9</f>
        <v>13832226.129999999</v>
      </c>
      <c r="F45" s="33">
        <v>0.2</v>
      </c>
      <c r="G45" s="34">
        <f>E45*F45</f>
        <v>2766445.2259999998</v>
      </c>
      <c r="H45" s="34">
        <f>H36*1.21</f>
        <v>625255.68516527989</v>
      </c>
      <c r="I45" s="33">
        <v>1</v>
      </c>
      <c r="J45" s="35">
        <f>-H36*1.21</f>
        <v>-625255.68516527989</v>
      </c>
    </row>
    <row r="46" spans="4:10" ht="15" thickBot="1" x14ac:dyDescent="0.35">
      <c r="D46" s="36" t="s">
        <v>70</v>
      </c>
      <c r="E46" s="37">
        <f>E45</f>
        <v>13832226.129999999</v>
      </c>
      <c r="F46" s="38">
        <v>0.2</v>
      </c>
      <c r="G46" s="39">
        <f>G45</f>
        <v>2766445.2259999998</v>
      </c>
      <c r="H46" s="39">
        <f>H45</f>
        <v>625255.68516527989</v>
      </c>
      <c r="I46" s="38">
        <v>1</v>
      </c>
      <c r="J46" s="40">
        <f>J45</f>
        <v>-625255.68516527989</v>
      </c>
    </row>
    <row r="49" spans="3:11" ht="16.2" thickBot="1" x14ac:dyDescent="0.35">
      <c r="C49" s="84" t="s">
        <v>170</v>
      </c>
      <c r="D49" s="41"/>
    </row>
    <row r="50" spans="3:11" ht="15" thickBot="1" x14ac:dyDescent="0.35">
      <c r="C50" t="s">
        <v>159</v>
      </c>
      <c r="D50" s="42" t="s">
        <v>72</v>
      </c>
      <c r="E50" s="43" t="s">
        <v>73</v>
      </c>
      <c r="F50" s="43" t="s">
        <v>74</v>
      </c>
      <c r="G50" s="43" t="s">
        <v>75</v>
      </c>
      <c r="H50" s="43" t="s">
        <v>50</v>
      </c>
      <c r="I50" s="42" t="s">
        <v>76</v>
      </c>
    </row>
    <row r="51" spans="3:11" ht="15" thickBot="1" x14ac:dyDescent="0.35">
      <c r="D51" s="44">
        <v>2029</v>
      </c>
      <c r="E51" s="45" t="s">
        <v>78</v>
      </c>
      <c r="F51" s="46" t="s">
        <v>77</v>
      </c>
      <c r="G51" s="47">
        <f>F18-H18</f>
        <v>3652536.67</v>
      </c>
      <c r="H51" s="47">
        <f>G51*0.21</f>
        <v>767032.70069999993</v>
      </c>
      <c r="I51" s="81">
        <f>G51+H51</f>
        <v>4419569.3706999999</v>
      </c>
      <c r="J51" s="8"/>
      <c r="K51" s="8"/>
    </row>
    <row r="52" spans="3:11" ht="15" thickBot="1" x14ac:dyDescent="0.35">
      <c r="D52" s="44">
        <v>2030</v>
      </c>
      <c r="E52" s="45" t="s">
        <v>78</v>
      </c>
      <c r="F52" s="46" t="s">
        <v>77</v>
      </c>
      <c r="G52" s="47">
        <f>F19-H19</f>
        <v>3652536.67</v>
      </c>
      <c r="H52" s="47">
        <f>G52*0.21</f>
        <v>767032.70069999993</v>
      </c>
      <c r="I52" s="81">
        <f>G52+H52</f>
        <v>4419569.3706999999</v>
      </c>
      <c r="J52" s="8"/>
      <c r="K52" s="8"/>
    </row>
    <row r="53" spans="3:11" ht="16.2" thickBot="1" x14ac:dyDescent="0.35">
      <c r="D53" s="41"/>
    </row>
    <row r="54" spans="3:11" ht="15" thickBot="1" x14ac:dyDescent="0.35">
      <c r="C54" t="s">
        <v>160</v>
      </c>
      <c r="D54" s="42" t="s">
        <v>72</v>
      </c>
      <c r="E54" s="43" t="s">
        <v>73</v>
      </c>
      <c r="F54" s="43" t="s">
        <v>74</v>
      </c>
      <c r="G54" s="43" t="s">
        <v>75</v>
      </c>
      <c r="H54" s="43" t="s">
        <v>50</v>
      </c>
      <c r="I54" s="42" t="s">
        <v>76</v>
      </c>
    </row>
    <row r="55" spans="3:11" ht="15" thickBot="1" x14ac:dyDescent="0.35">
      <c r="D55" s="44">
        <v>2029</v>
      </c>
      <c r="E55" s="45" t="s">
        <v>78</v>
      </c>
      <c r="F55" s="46" t="s">
        <v>77</v>
      </c>
      <c r="G55" s="47">
        <f>F26-H26</f>
        <v>527346.00086524303</v>
      </c>
      <c r="H55" s="47">
        <f>G55*0.21</f>
        <v>110742.66018170104</v>
      </c>
      <c r="I55" s="81">
        <f>SUM(G55:H55)</f>
        <v>638088.66104694409</v>
      </c>
    </row>
    <row r="56" spans="3:11" ht="15" thickBot="1" x14ac:dyDescent="0.35">
      <c r="D56" s="44">
        <v>2030</v>
      </c>
      <c r="E56" s="45" t="s">
        <v>78</v>
      </c>
      <c r="F56" s="46" t="s">
        <v>77</v>
      </c>
      <c r="G56" s="47">
        <f>F27-H27</f>
        <v>527346.00086524303</v>
      </c>
      <c r="H56" s="47">
        <f>G56*0.21</f>
        <v>110742.66018170104</v>
      </c>
      <c r="I56" s="81">
        <f>SUM(G56:H56)</f>
        <v>638088.66104694409</v>
      </c>
    </row>
    <row r="57" spans="3:11" x14ac:dyDescent="0.3">
      <c r="D57" s="77"/>
      <c r="E57" s="78"/>
      <c r="F57" s="77"/>
      <c r="G57" s="79"/>
      <c r="H57" s="79"/>
      <c r="I57" s="80"/>
    </row>
    <row r="58" spans="3:11" ht="15" thickBot="1" x14ac:dyDescent="0.35">
      <c r="D58" s="77"/>
      <c r="E58" s="78"/>
      <c r="F58" s="77"/>
      <c r="G58" s="79"/>
      <c r="H58" s="79"/>
      <c r="I58" s="80"/>
    </row>
    <row r="59" spans="3:11" ht="15" thickBot="1" x14ac:dyDescent="0.35">
      <c r="C59" t="s">
        <v>161</v>
      </c>
      <c r="D59" s="42" t="s">
        <v>72</v>
      </c>
      <c r="E59" s="43" t="s">
        <v>73</v>
      </c>
      <c r="F59" s="43" t="s">
        <v>74</v>
      </c>
      <c r="G59" s="43" t="s">
        <v>75</v>
      </c>
      <c r="H59" s="43" t="s">
        <v>50</v>
      </c>
      <c r="I59" s="42" t="s">
        <v>76</v>
      </c>
    </row>
    <row r="60" spans="3:11" ht="15" thickBot="1" x14ac:dyDescent="0.35">
      <c r="D60" s="44">
        <v>2029</v>
      </c>
      <c r="E60" s="45" t="s">
        <v>78</v>
      </c>
      <c r="F60" s="46" t="s">
        <v>77</v>
      </c>
      <c r="G60" s="47">
        <f>G51+G55</f>
        <v>4179882.6708652428</v>
      </c>
      <c r="H60" s="47">
        <f>G60*0.21</f>
        <v>877775.360881701</v>
      </c>
      <c r="I60" s="81">
        <f>SUM(G60:H60)</f>
        <v>5057658.0317469435</v>
      </c>
    </row>
    <row r="61" spans="3:11" ht="15" thickBot="1" x14ac:dyDescent="0.35">
      <c r="D61" s="44">
        <v>2030</v>
      </c>
      <c r="E61" s="45" t="s">
        <v>78</v>
      </c>
      <c r="F61" s="46" t="s">
        <v>77</v>
      </c>
      <c r="G61" s="47">
        <f>G52+G56</f>
        <v>4179882.6708652428</v>
      </c>
      <c r="H61" s="47">
        <f>G61*0.21</f>
        <v>877775.360881701</v>
      </c>
      <c r="I61" s="81">
        <f>SUM(G61:H61)</f>
        <v>5057658.0317469435</v>
      </c>
    </row>
    <row r="62" spans="3:11" x14ac:dyDescent="0.3">
      <c r="D62" s="77"/>
      <c r="E62" s="78"/>
      <c r="F62" s="77"/>
      <c r="G62" s="79"/>
      <c r="H62" s="79"/>
      <c r="I62" s="80"/>
    </row>
    <row r="63" spans="3:11" x14ac:dyDescent="0.3">
      <c r="D63" s="77"/>
      <c r="E63" s="78"/>
      <c r="F63" s="77"/>
      <c r="G63" s="79"/>
      <c r="H63" s="79"/>
      <c r="I63" s="80"/>
    </row>
    <row r="65" spans="3:8" ht="15" thickBot="1" x14ac:dyDescent="0.35">
      <c r="C65" s="84" t="s">
        <v>172</v>
      </c>
    </row>
    <row r="66" spans="3:8" ht="15" thickBot="1" x14ac:dyDescent="0.35">
      <c r="D66" s="119" t="s">
        <v>12</v>
      </c>
      <c r="E66" s="2" t="s">
        <v>30</v>
      </c>
      <c r="H66" s="8"/>
    </row>
    <row r="67" spans="3:8" ht="15" thickBot="1" x14ac:dyDescent="0.35">
      <c r="D67" s="3" t="s">
        <v>13</v>
      </c>
      <c r="E67" s="4">
        <f>NMA!K42+OGNMA!J22</f>
        <v>6506041.6000000006</v>
      </c>
    </row>
    <row r="68" spans="3:8" ht="48" customHeight="1" thickBot="1" x14ac:dyDescent="0.35">
      <c r="D68" s="5" t="s">
        <v>35</v>
      </c>
      <c r="E68" s="4">
        <f>NMA!K43+OGNMA!J23</f>
        <v>2212054.15</v>
      </c>
    </row>
    <row r="69" spans="3:8" ht="40.5" customHeight="1" thickBot="1" x14ac:dyDescent="0.35">
      <c r="D69" s="3" t="s">
        <v>212</v>
      </c>
      <c r="E69" s="4">
        <f>NMA!K44+OGNMA!J24</f>
        <v>87180.97</v>
      </c>
    </row>
    <row r="70" spans="3:8" ht="33.75" customHeight="1" thickBot="1" x14ac:dyDescent="0.35">
      <c r="D70" s="3" t="s">
        <v>31</v>
      </c>
      <c r="E70" s="4">
        <f>NMA!K45+OGNMA!J25</f>
        <v>0</v>
      </c>
    </row>
    <row r="71" spans="3:8" ht="31.5" customHeight="1" thickBot="1" x14ac:dyDescent="0.35">
      <c r="D71" s="3" t="s">
        <v>32</v>
      </c>
      <c r="E71" s="4">
        <f>NMA!K46+OGNMA!J26</f>
        <v>231555.13999999998</v>
      </c>
    </row>
    <row r="72" spans="3:8" ht="28.2" thickBot="1" x14ac:dyDescent="0.35">
      <c r="D72" s="6" t="s">
        <v>14</v>
      </c>
      <c r="E72" s="4">
        <f>NMA!K47+OGNMA!J27</f>
        <v>9036831.8599999994</v>
      </c>
      <c r="F72" s="8"/>
    </row>
    <row r="73" spans="3:8" ht="15" thickBot="1" x14ac:dyDescent="0.35">
      <c r="D73" s="73" t="s">
        <v>15</v>
      </c>
      <c r="E73" s="7"/>
    </row>
    <row r="74" spans="3:8" ht="40.5" customHeight="1" thickBot="1" x14ac:dyDescent="0.35">
      <c r="D74" s="3" t="s">
        <v>36</v>
      </c>
      <c r="E74" s="4">
        <f>NMA!G49+OGNMA!J29</f>
        <v>1355524.6800000002</v>
      </c>
    </row>
    <row r="75" spans="3:8" ht="45" customHeight="1" thickBot="1" x14ac:dyDescent="0.35">
      <c r="D75" s="6" t="s">
        <v>16</v>
      </c>
      <c r="E75" s="4">
        <f>NMA!G50+OGNMA!J30</f>
        <v>10392356.549999999</v>
      </c>
    </row>
    <row r="76" spans="3:8" ht="40.5" customHeight="1" thickBot="1" x14ac:dyDescent="0.35">
      <c r="D76" s="3" t="s">
        <v>37</v>
      </c>
      <c r="E76" s="4">
        <f>NMA!G51+OGNMA!J31</f>
        <v>1039235.29</v>
      </c>
    </row>
    <row r="77" spans="3:8" ht="57.75" customHeight="1" thickBot="1" x14ac:dyDescent="0.35">
      <c r="D77" s="73" t="s">
        <v>33</v>
      </c>
      <c r="E77" s="74">
        <f>NMA!K52+OGNMA!J32</f>
        <v>11431591.84</v>
      </c>
      <c r="G77" s="110"/>
    </row>
    <row r="78" spans="3:8" ht="24.75" customHeight="1" thickBot="1" x14ac:dyDescent="0.35">
      <c r="D78" s="75" t="s">
        <v>34</v>
      </c>
      <c r="E78" s="76">
        <f>E77*1.21</f>
        <v>13832226.126399999</v>
      </c>
    </row>
  </sheetData>
  <mergeCells count="7">
    <mergeCell ref="D43:D44"/>
    <mergeCell ref="F43:F44"/>
    <mergeCell ref="I43:I44"/>
    <mergeCell ref="H43:H44"/>
    <mergeCell ref="D39:E39"/>
    <mergeCell ref="D40:E40"/>
    <mergeCell ref="D41:E41"/>
  </mergeCells>
  <hyperlinks>
    <hyperlink ref="D68" location="_ftn1" display="_ftn1" xr:uid="{2AD54C9E-B6BE-4A42-A268-F02B52A0A96E}"/>
  </hyperlinks>
  <pageMargins left="0.7" right="0.7" top="0.75" bottom="0.75" header="0.3" footer="0.3"/>
  <pageSetup paperSize="9" orientation="portrait" r:id="rId1"/>
  <ignoredErrors>
    <ignoredError sqref="H6:H8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B3A66-9C08-4685-8966-698E16173BA6}">
  <dimension ref="C1:U14"/>
  <sheetViews>
    <sheetView workbookViewId="0">
      <selection activeCell="N23" sqref="N23"/>
    </sheetView>
  </sheetViews>
  <sheetFormatPr defaultColWidth="8.88671875" defaultRowHeight="14.4" x14ac:dyDescent="0.3"/>
  <cols>
    <col min="3" max="3" width="9.6640625" bestFit="1" customWidth="1"/>
    <col min="4" max="4" width="25.6640625" bestFit="1" customWidth="1"/>
    <col min="5" max="5" width="15.88671875" customWidth="1"/>
    <col min="6" max="6" width="15.6640625" bestFit="1" customWidth="1"/>
    <col min="7" max="7" width="19.6640625" customWidth="1"/>
    <col min="8" max="8" width="11.5546875" bestFit="1" customWidth="1"/>
    <col min="9" max="9" width="16.44140625" customWidth="1"/>
    <col min="10" max="10" width="11.5546875" bestFit="1" customWidth="1"/>
    <col min="11" max="11" width="14.6640625" bestFit="1" customWidth="1"/>
    <col min="12" max="12" width="10.5546875" bestFit="1" customWidth="1"/>
    <col min="13" max="13" width="14.6640625" bestFit="1" customWidth="1"/>
    <col min="14" max="14" width="12.6640625" customWidth="1"/>
    <col min="16" max="16" width="18.109375" bestFit="1" customWidth="1"/>
    <col min="17" max="17" width="11.5546875" bestFit="1" customWidth="1"/>
    <col min="19" max="20" width="11.5546875" bestFit="1" customWidth="1"/>
    <col min="21" max="21" width="10.33203125" bestFit="1" customWidth="1"/>
    <col min="22" max="23" width="11.5546875" bestFit="1" customWidth="1"/>
  </cols>
  <sheetData>
    <row r="1" spans="3:21" ht="15" thickBot="1" x14ac:dyDescent="0.35"/>
    <row r="2" spans="3:21" x14ac:dyDescent="0.3">
      <c r="D2" s="88" t="s">
        <v>174</v>
      </c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142" t="s">
        <v>175</v>
      </c>
      <c r="Q2" s="143"/>
      <c r="R2" s="143"/>
      <c r="S2" s="143"/>
      <c r="T2" s="143"/>
      <c r="U2" s="144"/>
    </row>
    <row r="3" spans="3:21" s="48" customFormat="1" ht="28.8" x14ac:dyDescent="0.3">
      <c r="D3" s="90" t="s">
        <v>176</v>
      </c>
      <c r="E3" s="91" t="s">
        <v>177</v>
      </c>
      <c r="F3" s="91" t="s">
        <v>178</v>
      </c>
      <c r="G3" s="91" t="s">
        <v>179</v>
      </c>
      <c r="H3" s="91" t="s">
        <v>180</v>
      </c>
      <c r="I3" s="91" t="s">
        <v>181</v>
      </c>
      <c r="J3" s="91" t="s">
        <v>182</v>
      </c>
      <c r="K3" s="91" t="s">
        <v>183</v>
      </c>
      <c r="L3" s="91" t="s">
        <v>184</v>
      </c>
      <c r="M3" s="91" t="s">
        <v>182</v>
      </c>
      <c r="N3" s="91" t="s">
        <v>183</v>
      </c>
      <c r="O3" s="91" t="s">
        <v>184</v>
      </c>
      <c r="P3" s="90" t="s">
        <v>182</v>
      </c>
      <c r="Q3" s="91" t="s">
        <v>183</v>
      </c>
      <c r="R3" s="91" t="s">
        <v>184</v>
      </c>
      <c r="S3" s="91" t="s">
        <v>182</v>
      </c>
      <c r="T3" s="91" t="s">
        <v>183</v>
      </c>
      <c r="U3" s="92" t="s">
        <v>184</v>
      </c>
    </row>
    <row r="4" spans="3:21" x14ac:dyDescent="0.3">
      <c r="C4" s="93" t="s">
        <v>185</v>
      </c>
      <c r="D4" s="94"/>
      <c r="F4" s="95">
        <v>0</v>
      </c>
      <c r="G4" s="96">
        <v>46023</v>
      </c>
      <c r="H4" s="97">
        <v>46387</v>
      </c>
      <c r="I4" s="98">
        <f>_xlfn.DAYS(H4,G4)+1</f>
        <v>365</v>
      </c>
      <c r="J4" s="97">
        <v>46388</v>
      </c>
      <c r="K4" s="97">
        <v>46752</v>
      </c>
      <c r="L4" s="98">
        <f>_xlfn.DAYS(K4,J4)+1</f>
        <v>365</v>
      </c>
      <c r="M4" s="97">
        <v>46753</v>
      </c>
      <c r="N4" s="97">
        <v>47118</v>
      </c>
      <c r="O4" s="98">
        <f>_xlfn.DAYS(N4,M4)+1</f>
        <v>366</v>
      </c>
      <c r="P4" s="96">
        <v>47119</v>
      </c>
      <c r="Q4" s="97">
        <v>47483</v>
      </c>
      <c r="R4" s="98">
        <f>_xlfn.DAYS(Q4,P4)+1</f>
        <v>365</v>
      </c>
      <c r="S4" s="97">
        <v>47484</v>
      </c>
      <c r="T4" s="97">
        <v>47848</v>
      </c>
      <c r="U4" s="99">
        <f>_xlfn.DAYS(T4,S4)+1</f>
        <v>365</v>
      </c>
    </row>
    <row r="5" spans="3:21" ht="15" thickBot="1" x14ac:dyDescent="0.35">
      <c r="C5" s="93" t="s">
        <v>186</v>
      </c>
      <c r="D5" s="100">
        <v>46104</v>
      </c>
      <c r="E5" s="101">
        <v>46162</v>
      </c>
      <c r="F5" s="102">
        <f>_xlfn.DAYS(E5,D5)+1</f>
        <v>59</v>
      </c>
      <c r="G5" s="101">
        <v>46163</v>
      </c>
      <c r="H5" s="101">
        <v>46387</v>
      </c>
      <c r="I5" s="102">
        <f>_xlfn.DAYS(H5,G5)+1</f>
        <v>225</v>
      </c>
      <c r="J5" s="101">
        <v>46388</v>
      </c>
      <c r="K5" s="101">
        <v>46752</v>
      </c>
      <c r="L5" s="102">
        <f>_xlfn.DAYS(K5,J5)+1</f>
        <v>365</v>
      </c>
      <c r="M5" s="101">
        <v>46753</v>
      </c>
      <c r="N5" s="101">
        <v>47118</v>
      </c>
      <c r="O5" s="102">
        <f>_xlfn.DAYS(N5,M5)+1</f>
        <v>366</v>
      </c>
      <c r="P5" s="100">
        <v>47119</v>
      </c>
      <c r="Q5" s="101">
        <v>47483</v>
      </c>
      <c r="R5" s="102">
        <f>_xlfn.DAYS(Q5,P5)+1</f>
        <v>365</v>
      </c>
      <c r="S5" s="101">
        <v>47484</v>
      </c>
      <c r="T5" s="101">
        <v>47848</v>
      </c>
      <c r="U5" s="103">
        <f>_xlfn.DAYS(T5,S5)+1</f>
        <v>365</v>
      </c>
    </row>
    <row r="6" spans="3:21" x14ac:dyDescent="0.3">
      <c r="D6" s="104"/>
    </row>
    <row r="7" spans="3:21" x14ac:dyDescent="0.3">
      <c r="E7" s="105"/>
      <c r="G7" s="104">
        <v>46143</v>
      </c>
    </row>
    <row r="9" spans="3:21" x14ac:dyDescent="0.3">
      <c r="E9" s="106"/>
    </row>
    <row r="11" spans="3:21" s="48" customFormat="1" ht="28.8" x14ac:dyDescent="0.3">
      <c r="D11" s="107" t="s">
        <v>187</v>
      </c>
      <c r="E11" s="107" t="s">
        <v>73</v>
      </c>
      <c r="F11" s="107" t="s">
        <v>188</v>
      </c>
      <c r="G11" s="107" t="s">
        <v>73</v>
      </c>
      <c r="H11" s="107" t="s">
        <v>189</v>
      </c>
      <c r="I11" s="107" t="s">
        <v>73</v>
      </c>
      <c r="J11" s="107" t="s">
        <v>190</v>
      </c>
      <c r="K11" s="107" t="s">
        <v>73</v>
      </c>
    </row>
    <row r="12" spans="3:21" x14ac:dyDescent="0.3">
      <c r="C12" t="s">
        <v>185</v>
      </c>
      <c r="D12" s="95">
        <f>12+12+12</f>
        <v>36</v>
      </c>
      <c r="E12" s="108" t="s">
        <v>191</v>
      </c>
      <c r="F12" s="95">
        <f>D12</f>
        <v>36</v>
      </c>
      <c r="G12" s="108" t="s">
        <v>192</v>
      </c>
      <c r="H12" s="95">
        <v>12</v>
      </c>
      <c r="I12" s="108" t="s">
        <v>193</v>
      </c>
      <c r="J12" s="95">
        <v>12</v>
      </c>
      <c r="K12" s="108" t="s">
        <v>194</v>
      </c>
      <c r="M12" s="95">
        <f>F12+H12+J12</f>
        <v>60</v>
      </c>
    </row>
    <row r="13" spans="3:21" x14ac:dyDescent="0.3">
      <c r="C13" t="s">
        <v>186</v>
      </c>
      <c r="D13" s="123">
        <f>(_xlfn.DAYS(H5,D5)+1)/365*12+12+12</f>
        <v>33.336986301369862</v>
      </c>
      <c r="E13" s="108" t="s">
        <v>195</v>
      </c>
      <c r="F13" s="109">
        <f>(_xlfn.DAYS(H5,G5)+1)/365*12+12+12+3</f>
        <v>34.397260273972606</v>
      </c>
      <c r="G13" s="108" t="s">
        <v>196</v>
      </c>
      <c r="H13" s="95">
        <v>12</v>
      </c>
      <c r="I13" s="108" t="s">
        <v>193</v>
      </c>
      <c r="J13" s="95">
        <v>12</v>
      </c>
      <c r="K13" s="108" t="s">
        <v>194</v>
      </c>
      <c r="M13" s="106">
        <f>D13+H13+J13</f>
        <v>57.336986301369862</v>
      </c>
    </row>
    <row r="14" spans="3:21" x14ac:dyDescent="0.3">
      <c r="D14" s="95" t="s">
        <v>201</v>
      </c>
      <c r="F14" s="124" t="s">
        <v>202</v>
      </c>
      <c r="M14" s="124" t="s">
        <v>203</v>
      </c>
    </row>
  </sheetData>
  <mergeCells count="1">
    <mergeCell ref="P2:U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9FF09ABE2D914BB2D368CCBF8AAECD" ma:contentTypeVersion="15" ma:contentTypeDescription="Crear nuevo documento." ma:contentTypeScope="" ma:versionID="8f45fae43fccd2b4626ca4c213c7fd0f">
  <xsd:schema xmlns:xsd="http://www.w3.org/2001/XMLSchema" xmlns:xs="http://www.w3.org/2001/XMLSchema" xmlns:p="http://schemas.microsoft.com/office/2006/metadata/properties" xmlns:ns2="d633034a-06e5-4bea-a354-1c74a9468abe" xmlns:ns3="e622c71f-d175-48f1-95e7-64a21dec4727" targetNamespace="http://schemas.microsoft.com/office/2006/metadata/properties" ma:root="true" ma:fieldsID="6e649d43a6110626a5e4ceff0bb9da27" ns2:_="" ns3:_="">
    <xsd:import namespace="d633034a-06e5-4bea-a354-1c74a9468abe"/>
    <xsd:import namespace="e622c71f-d175-48f1-95e7-64a21dec4727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33034a-06e5-4bea-a354-1c74a9468ab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3b44abe5-ceb4-4ed7-b8b7-23b1576bff2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22c71f-d175-48f1-95e7-64a21dec4727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a6fd7d80-f500-4814-900e-d92d6b46049a}" ma:internalName="TaxCatchAll" ma:showField="CatchAllData" ma:web="e622c71f-d175-48f1-95e7-64a21dec4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622c71f-d175-48f1-95e7-64a21dec4727" xsi:nil="true"/>
    <lcf76f155ced4ddcb4097134ff3c332f xmlns="d633034a-06e5-4bea-a354-1c74a9468a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523D3F1-1E7D-40EA-A7B8-31E8B66974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33034a-06e5-4bea-a354-1c74a9468abe"/>
    <ds:schemaRef ds:uri="e622c71f-d175-48f1-95e7-64a21dec4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177D13-3432-4B8B-8F2E-77AB561915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69BC72-92CC-4B82-A377-A9AF5BB545F2}">
  <ds:schemaRefs>
    <ds:schemaRef ds:uri="http://schemas.microsoft.com/office/2006/metadata/properties"/>
    <ds:schemaRef ds:uri="http://schemas.microsoft.com/office/infopath/2007/PartnerControls"/>
    <ds:schemaRef ds:uri="e622c71f-d175-48f1-95e7-64a21dec4727"/>
    <ds:schemaRef ds:uri="d633034a-06e5-4bea-a354-1c74a9468ab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NMA</vt:lpstr>
      <vt:lpstr>MATERIAL I REPARACIONS</vt:lpstr>
      <vt:lpstr>CONFLUENCE-POWERBI</vt:lpstr>
      <vt:lpstr>OGNMA</vt:lpstr>
      <vt:lpstr>TOTAL NMA+OGNMA</vt:lpstr>
      <vt:lpstr>Dates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 .</dc:creator>
  <cp:keywords/>
  <dc:description/>
  <cp:lastModifiedBy>HERNAIZ ALZAMORA, DAVID</cp:lastModifiedBy>
  <cp:revision/>
  <dcterms:created xsi:type="dcterms:W3CDTF">2022-05-13T05:22:58Z</dcterms:created>
  <dcterms:modified xsi:type="dcterms:W3CDTF">2025-03-19T07:12:46Z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0x010100ED9FF09ABE2D914BB2D368CCBF8AAECD</vt:lpwstr>
  </property>
  <property fmtid="{D5CDD505-2E9C-101B-9397-08002B2CF9AE}" pid="3" name="MediaServiceImageTags">
    <vt:lpwstr/>
  </property>
  <property fmtid="{D5CDD505-2E9C-101B-9397-08002B2CF9AE}" pid="4" name="MSIP_Label_e463cba9-5f6c-478d-9329-7b2295e4e8ed_Enabled">
    <vt:lpwstr>true</vt:lpwstr>
  </property>
  <property fmtid="{D5CDD505-2E9C-101B-9397-08002B2CF9AE}" pid="5" name="MSIP_Label_e463cba9-5f6c-478d-9329-7b2295e4e8ed_SetDate">
    <vt:lpwstr>2024-09-09T10:27:48Z</vt:lpwstr>
  </property>
  <property fmtid="{D5CDD505-2E9C-101B-9397-08002B2CF9AE}" pid="6" name="MSIP_Label_e463cba9-5f6c-478d-9329-7b2295e4e8ed_Method">
    <vt:lpwstr>Standard</vt:lpwstr>
  </property>
  <property fmtid="{D5CDD505-2E9C-101B-9397-08002B2CF9AE}" pid="7" name="MSIP_Label_e463cba9-5f6c-478d-9329-7b2295e4e8ed_Name">
    <vt:lpwstr>All Employees_2</vt:lpwstr>
  </property>
  <property fmtid="{D5CDD505-2E9C-101B-9397-08002B2CF9AE}" pid="8" name="MSIP_Label_e463cba9-5f6c-478d-9329-7b2295e4e8ed_SiteId">
    <vt:lpwstr>33440fc6-b7c7-412c-bb73-0e70b0198d5a</vt:lpwstr>
  </property>
  <property fmtid="{D5CDD505-2E9C-101B-9397-08002B2CF9AE}" pid="9" name="MSIP_Label_e463cba9-5f6c-478d-9329-7b2295e4e8ed_ActionId">
    <vt:lpwstr>feb6248b-907c-4b93-ad03-8fe0525e0dac</vt:lpwstr>
  </property>
  <property fmtid="{D5CDD505-2E9C-101B-9397-08002B2CF9AE}" pid="10" name="MSIP_Label_e463cba9-5f6c-478d-9329-7b2295e4e8ed_ContentBits">
    <vt:lpwstr>0</vt:lpwstr>
  </property>
</Properties>
</file>