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recció TECNOLOGIA DE DADES\CiTYOS\Nueva carpeta\"/>
    </mc:Choice>
  </mc:AlternateContent>
  <xr:revisionPtr revIDLastSave="0" documentId="13_ncr:1_{7E6B94E4-FDF5-47C5-80D7-A9EB5E7AE807}" xr6:coauthVersionLast="47" xr6:coauthVersionMax="47" xr10:uidLastSave="{00000000-0000-0000-0000-000000000000}"/>
  <bookViews>
    <workbookView xWindow="-110" yWindow="-110" windowWidth="19420" windowHeight="10300" tabRatio="693" xr2:uid="{00000000-000D-0000-FFFF-FFFF00000000}"/>
  </bookViews>
  <sheets>
    <sheet name="Càlcul pressupost " sheetId="2" r:id="rId1"/>
    <sheet name="Perfils" sheetId="1" r:id="rId2"/>
    <sheet name="Taules IJ" sheetId="4" r:id="rId3"/>
    <sheet name="Infraestructura" sheetId="3" r:id="rId4"/>
    <sheet name="Quadre desglossament" sheetId="5" r:id="rId5"/>
  </sheets>
  <externalReferences>
    <externalReference r:id="rId6"/>
    <externalReference r:id="rId7"/>
  </externalReferences>
  <definedNames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G17" i="2"/>
  <c r="F17" i="2"/>
  <c r="N7" i="2"/>
  <c r="E70" i="4"/>
  <c r="E69" i="4"/>
  <c r="E68" i="4"/>
  <c r="B70" i="4"/>
  <c r="D70" i="4"/>
  <c r="D69" i="4"/>
  <c r="D68" i="4"/>
  <c r="C70" i="4"/>
  <c r="C69" i="4"/>
  <c r="C68" i="4"/>
  <c r="B69" i="4"/>
  <c r="F69" i="4" s="1"/>
  <c r="B68" i="4"/>
  <c r="F68" i="4" s="1"/>
  <c r="J16" i="2"/>
  <c r="I16" i="2"/>
  <c r="H16" i="2"/>
  <c r="G16" i="2"/>
  <c r="F16" i="2"/>
  <c r="J15" i="2"/>
  <c r="I15" i="2"/>
  <c r="H15" i="2"/>
  <c r="G15" i="2"/>
  <c r="F15" i="2"/>
  <c r="G40" i="4"/>
  <c r="E40" i="4" s="1"/>
  <c r="G39" i="4"/>
  <c r="E39" i="4" s="1"/>
  <c r="G38" i="4"/>
  <c r="E38" i="4" s="1"/>
  <c r="G37" i="4"/>
  <c r="E37" i="4" s="1"/>
  <c r="G36" i="4"/>
  <c r="E36" i="4" s="1"/>
  <c r="G35" i="4"/>
  <c r="E35" i="4" s="1"/>
  <c r="S16" i="2"/>
  <c r="R16" i="2"/>
  <c r="Q16" i="2"/>
  <c r="P16" i="2"/>
  <c r="O16" i="2"/>
  <c r="S15" i="2"/>
  <c r="R15" i="2"/>
  <c r="Q15" i="2"/>
  <c r="P15" i="2"/>
  <c r="O15" i="2"/>
  <c r="Q13" i="2"/>
  <c r="Q12" i="2"/>
  <c r="Q11" i="2"/>
  <c r="Q10" i="2"/>
  <c r="Q9" i="2"/>
  <c r="Q8" i="2"/>
  <c r="Q7" i="2"/>
  <c r="O13" i="2"/>
  <c r="O12" i="2"/>
  <c r="O11" i="2"/>
  <c r="O10" i="2"/>
  <c r="O9" i="2"/>
  <c r="O8" i="2"/>
  <c r="O7" i="2"/>
  <c r="P13" i="2"/>
  <c r="P12" i="2"/>
  <c r="P11" i="2"/>
  <c r="P10" i="2"/>
  <c r="P9" i="2"/>
  <c r="P8" i="2"/>
  <c r="P7" i="2"/>
  <c r="V13" i="2"/>
  <c r="T13" i="2"/>
  <c r="R12" i="2"/>
  <c r="S12" i="2" s="1"/>
  <c r="R11" i="2"/>
  <c r="S11" i="2" s="1"/>
  <c r="M13" i="2"/>
  <c r="H13" i="2"/>
  <c r="H8" i="2"/>
  <c r="F70" i="4" l="1"/>
  <c r="F71" i="4" s="1"/>
  <c r="E71" i="4"/>
  <c r="D71" i="4"/>
  <c r="C71" i="4"/>
  <c r="D54" i="4"/>
  <c r="G54" i="4" s="1"/>
  <c r="D53" i="4"/>
  <c r="Q14" i="2"/>
  <c r="R13" i="2"/>
  <c r="S13" i="2" s="1"/>
  <c r="P14" i="2"/>
  <c r="R8" i="2"/>
  <c r="S8" i="2" s="1"/>
  <c r="O14" i="2"/>
  <c r="R10" i="2"/>
  <c r="S10" i="2" s="1"/>
  <c r="R7" i="2"/>
  <c r="R9" i="2"/>
  <c r="S9" i="2" s="1"/>
  <c r="D55" i="4"/>
  <c r="G55" i="4" s="1"/>
  <c r="B71" i="4" l="1"/>
  <c r="D56" i="4"/>
  <c r="R14" i="2"/>
  <c r="S7" i="2"/>
  <c r="S14" i="2" s="1"/>
  <c r="K10" i="4"/>
  <c r="K9" i="4"/>
  <c r="K8" i="4"/>
  <c r="G31" i="4" s="1"/>
  <c r="J30" i="4" s="1"/>
  <c r="K7" i="4"/>
  <c r="K6" i="4"/>
  <c r="H10" i="4"/>
  <c r="H9" i="4"/>
  <c r="F9" i="4" s="1"/>
  <c r="G9" i="4" s="1"/>
  <c r="H8" i="4"/>
  <c r="G29" i="4" s="1"/>
  <c r="H7" i="4"/>
  <c r="F7" i="4" s="1"/>
  <c r="G7" i="4" s="1"/>
  <c r="H6" i="4"/>
  <c r="E10" i="4"/>
  <c r="C10" i="4" s="1"/>
  <c r="E9" i="4"/>
  <c r="C9" i="4" s="1"/>
  <c r="D9" i="4" s="1"/>
  <c r="E8" i="4"/>
  <c r="E7" i="4"/>
  <c r="C7" i="4" s="1"/>
  <c r="D7" i="4" s="1"/>
  <c r="E6" i="4"/>
  <c r="H12" i="2"/>
  <c r="H11" i="2"/>
  <c r="F13" i="2"/>
  <c r="F12" i="2"/>
  <c r="F11" i="2"/>
  <c r="F8" i="2"/>
  <c r="G13" i="2"/>
  <c r="G12" i="2"/>
  <c r="G11" i="2"/>
  <c r="G8" i="2"/>
  <c r="K13" i="2"/>
  <c r="I7" i="2"/>
  <c r="G28" i="4" l="1"/>
  <c r="C8" i="4"/>
  <c r="E27" i="4" s="1"/>
  <c r="G27" i="4"/>
  <c r="I6" i="4"/>
  <c r="G30" i="4"/>
  <c r="G26" i="4"/>
  <c r="I10" i="4"/>
  <c r="I8" i="4"/>
  <c r="O8" i="4" s="1"/>
  <c r="K11" i="4"/>
  <c r="M7" i="4"/>
  <c r="N6" i="4"/>
  <c r="L6" i="4" s="1"/>
  <c r="N10" i="4"/>
  <c r="L10" i="4" s="1"/>
  <c r="N8" i="4"/>
  <c r="L8" i="4" s="1"/>
  <c r="C6" i="4"/>
  <c r="M9" i="4"/>
  <c r="E11" i="4"/>
  <c r="N7" i="4"/>
  <c r="L7" i="4" s="1"/>
  <c r="N9" i="4"/>
  <c r="L9" i="4" s="1"/>
  <c r="D10" i="4"/>
  <c r="H11" i="4"/>
  <c r="I7" i="4"/>
  <c r="I9" i="4"/>
  <c r="F6" i="4"/>
  <c r="F8" i="4"/>
  <c r="F10" i="4"/>
  <c r="G10" i="4" s="1"/>
  <c r="I12" i="2"/>
  <c r="I11" i="2"/>
  <c r="I8" i="2"/>
  <c r="H7" i="2"/>
  <c r="H7" i="3"/>
  <c r="J8" i="3"/>
  <c r="K8" i="3" s="1"/>
  <c r="J7" i="3"/>
  <c r="K7" i="3" s="1"/>
  <c r="G39" i="3"/>
  <c r="E39" i="3"/>
  <c r="E35" i="3"/>
  <c r="G35" i="3"/>
  <c r="G36" i="3"/>
  <c r="J3" i="3"/>
  <c r="F3" i="3"/>
  <c r="E35" i="1"/>
  <c r="P8" i="4" l="1"/>
  <c r="D8" i="4"/>
  <c r="F27" i="4" s="1"/>
  <c r="J6" i="4"/>
  <c r="O6" i="4"/>
  <c r="P6" i="4" s="1"/>
  <c r="J7" i="4"/>
  <c r="O7" i="4"/>
  <c r="P7" i="4" s="1"/>
  <c r="J9" i="4"/>
  <c r="O9" i="4"/>
  <c r="P9" i="4" s="1"/>
  <c r="J10" i="4"/>
  <c r="O10" i="4"/>
  <c r="P10" i="4" s="1"/>
  <c r="C11" i="4"/>
  <c r="B17" i="4" s="1"/>
  <c r="G32" i="4"/>
  <c r="J8" i="4"/>
  <c r="F31" i="4" s="1"/>
  <c r="E31" i="4"/>
  <c r="E30" i="4"/>
  <c r="G6" i="4"/>
  <c r="F28" i="4" s="1"/>
  <c r="E28" i="4"/>
  <c r="G8" i="4"/>
  <c r="F29" i="4" s="1"/>
  <c r="E29" i="4"/>
  <c r="D6" i="4"/>
  <c r="L11" i="4"/>
  <c r="F11" i="4"/>
  <c r="B18" i="4" s="1"/>
  <c r="M10" i="4"/>
  <c r="I11" i="4"/>
  <c r="I13" i="4" s="1"/>
  <c r="N11" i="4"/>
  <c r="J9" i="3"/>
  <c r="K3" i="3"/>
  <c r="K9" i="3" s="1"/>
  <c r="N27" i="4" l="1"/>
  <c r="F30" i="4"/>
  <c r="M8" i="4"/>
  <c r="J11" i="4"/>
  <c r="C19" i="4" s="1"/>
  <c r="N28" i="4"/>
  <c r="M6" i="4"/>
  <c r="F26" i="4"/>
  <c r="B19" i="4"/>
  <c r="B20" i="4" s="1"/>
  <c r="C53" i="4"/>
  <c r="G53" i="4" s="1"/>
  <c r="C44" i="4"/>
  <c r="C43" i="4"/>
  <c r="G11" i="4"/>
  <c r="C18" i="4" s="1"/>
  <c r="D18" i="4" s="1"/>
  <c r="D11" i="4"/>
  <c r="C17" i="4" s="1"/>
  <c r="D17" i="4" s="1"/>
  <c r="M11" i="4"/>
  <c r="F39" i="3"/>
  <c r="E36" i="1"/>
  <c r="E37" i="1"/>
  <c r="E38" i="1"/>
  <c r="E39" i="1"/>
  <c r="E40" i="1"/>
  <c r="E41" i="1"/>
  <c r="F32" i="4" l="1"/>
  <c r="D19" i="4"/>
  <c r="C20" i="4"/>
  <c r="D20" i="4"/>
  <c r="H19" i="1"/>
  <c r="H13" i="1"/>
  <c r="H8" i="1"/>
  <c r="F45" i="4" l="1"/>
  <c r="D45" i="4"/>
  <c r="F43" i="4"/>
  <c r="F35" i="3"/>
  <c r="F36" i="3" s="1"/>
  <c r="E34" i="3"/>
  <c r="F29" i="3"/>
  <c r="G29" i="3" s="1"/>
  <c r="H29" i="3" s="1"/>
  <c r="F28" i="3"/>
  <c r="G28" i="3" s="1"/>
  <c r="H28" i="3" s="1"/>
  <c r="F27" i="3"/>
  <c r="G27" i="3" s="1"/>
  <c r="H27" i="3" s="1"/>
  <c r="F26" i="3"/>
  <c r="G26" i="3" s="1"/>
  <c r="H26" i="3" s="1"/>
  <c r="R43" i="3"/>
  <c r="Q43" i="3"/>
  <c r="P43" i="3"/>
  <c r="F25" i="3"/>
  <c r="G25" i="3" s="1"/>
  <c r="H25" i="3" s="1"/>
  <c r="F24" i="3"/>
  <c r="G24" i="3" s="1"/>
  <c r="H24" i="3" s="1"/>
  <c r="F23" i="3"/>
  <c r="G23" i="3" s="1"/>
  <c r="H23" i="3" s="1"/>
  <c r="F22" i="3"/>
  <c r="G22" i="3" s="1"/>
  <c r="H22" i="3" s="1"/>
  <c r="M35" i="3"/>
  <c r="E21" i="3" s="1"/>
  <c r="L35" i="3"/>
  <c r="E20" i="3" s="1"/>
  <c r="K35" i="3"/>
  <c r="C12" i="3" s="1"/>
  <c r="P25" i="2"/>
  <c r="P22" i="2"/>
  <c r="J22" i="2"/>
  <c r="G22" i="2"/>
  <c r="T21" i="2"/>
  <c r="J21" i="2"/>
  <c r="T20" i="2"/>
  <c r="M20" i="2"/>
  <c r="M25" i="2" s="1"/>
  <c r="T19" i="2"/>
  <c r="P18" i="2"/>
  <c r="M18" i="2"/>
  <c r="J18" i="2"/>
  <c r="G18" i="2"/>
  <c r="G4" i="2"/>
  <c r="G3" i="2"/>
  <c r="E12" i="1"/>
  <c r="E11" i="1"/>
  <c r="F11" i="1" s="1"/>
  <c r="B20" i="1"/>
  <c r="B14" i="1"/>
  <c r="B9" i="1"/>
  <c r="B3" i="1"/>
  <c r="D12" i="3" l="1"/>
  <c r="E12" i="3"/>
  <c r="E17" i="1"/>
  <c r="E6" i="1"/>
  <c r="E23" i="1"/>
  <c r="E22" i="1"/>
  <c r="F22" i="1" s="1"/>
  <c r="E7" i="1"/>
  <c r="E16" i="1"/>
  <c r="E9" i="1"/>
  <c r="E20" i="1"/>
  <c r="E14" i="1"/>
  <c r="G5" i="2"/>
  <c r="E4" i="1"/>
  <c r="F4" i="1" s="1"/>
  <c r="E3" i="1"/>
  <c r="E5" i="1"/>
  <c r="F5" i="1" s="1"/>
  <c r="E19" i="3"/>
  <c r="F19" i="3" s="1"/>
  <c r="G19" i="3" s="1"/>
  <c r="H19" i="3" s="1"/>
  <c r="E36" i="3"/>
  <c r="F7" i="3" s="1"/>
  <c r="G7" i="3" s="1"/>
  <c r="F20" i="3"/>
  <c r="G20" i="3" s="1"/>
  <c r="H20" i="3" s="1"/>
  <c r="I7" i="3"/>
  <c r="E10" i="1"/>
  <c r="E24" i="1"/>
  <c r="E18" i="1"/>
  <c r="M22" i="2"/>
  <c r="G11" i="1"/>
  <c r="F12" i="1"/>
  <c r="G12" i="1"/>
  <c r="F21" i="3"/>
  <c r="G21" i="3" s="1"/>
  <c r="H21" i="3" s="1"/>
  <c r="E21" i="1"/>
  <c r="E15" i="1"/>
  <c r="G22" i="1" l="1"/>
  <c r="G6" i="1"/>
  <c r="F6" i="1"/>
  <c r="F23" i="1"/>
  <c r="G23" i="1"/>
  <c r="F17" i="1"/>
  <c r="G17" i="1"/>
  <c r="G4" i="1"/>
  <c r="F14" i="1"/>
  <c r="G14" i="1"/>
  <c r="G20" i="1"/>
  <c r="F20" i="1"/>
  <c r="F9" i="1"/>
  <c r="G9" i="1"/>
  <c r="G3" i="1"/>
  <c r="F3" i="1"/>
  <c r="G5" i="1"/>
  <c r="F18" i="1"/>
  <c r="G18" i="1"/>
  <c r="F15" i="1"/>
  <c r="G15" i="1"/>
  <c r="F24" i="1"/>
  <c r="G24" i="1"/>
  <c r="F10" i="1"/>
  <c r="G10" i="1"/>
  <c r="F30" i="3"/>
  <c r="G30" i="3" s="1"/>
  <c r="G16" i="1"/>
  <c r="F16" i="1"/>
  <c r="G7" i="1"/>
  <c r="F7" i="1"/>
  <c r="G21" i="1"/>
  <c r="F21" i="1"/>
  <c r="G13" i="1" l="1"/>
  <c r="K21" i="2" s="1"/>
  <c r="L21" i="2" s="1"/>
  <c r="L22" i="2" s="1"/>
  <c r="G25" i="1"/>
  <c r="G8" i="1"/>
  <c r="H19" i="2" s="1"/>
  <c r="I19" i="2" s="1"/>
  <c r="I22" i="2" s="1"/>
  <c r="G19" i="1"/>
  <c r="N20" i="2"/>
  <c r="O20" i="2" s="1"/>
  <c r="O22" i="2" s="1"/>
  <c r="H30" i="3"/>
  <c r="H3" i="3"/>
  <c r="G3" i="3" s="1"/>
  <c r="F9" i="2" l="1"/>
  <c r="G10" i="2"/>
  <c r="G9" i="2"/>
  <c r="I3" i="3"/>
  <c r="Q19" i="2"/>
  <c r="H9" i="2" l="1"/>
  <c r="I9" i="2" s="1"/>
  <c r="J9" i="2" s="1"/>
  <c r="H10" i="2"/>
  <c r="H14" i="2"/>
  <c r="H2" i="2" s="1"/>
  <c r="I13" i="2"/>
  <c r="J11" i="2"/>
  <c r="J8" i="2"/>
  <c r="F10" i="2"/>
  <c r="J12" i="2"/>
  <c r="R19" i="2"/>
  <c r="I10" i="2" l="1"/>
  <c r="J10" i="2" s="1"/>
  <c r="K29" i="4"/>
  <c r="R22" i="2"/>
  <c r="R24" i="2" s="1"/>
  <c r="J13" i="2"/>
  <c r="F40" i="4" l="1"/>
  <c r="F38" i="4"/>
  <c r="F36" i="4" l="1"/>
  <c r="K27" i="4"/>
  <c r="K32" i="4" s="1"/>
  <c r="F8" i="3" l="1"/>
  <c r="H8" i="3"/>
  <c r="H9" i="3" s="1"/>
  <c r="I8" i="3" l="1"/>
  <c r="I9" i="3" s="1"/>
  <c r="F19" i="2" s="1"/>
  <c r="F22" i="2" s="1"/>
  <c r="G8" i="3"/>
  <c r="G9" i="3" s="1"/>
  <c r="F7" i="2" s="1"/>
  <c r="F9" i="3"/>
  <c r="G7" i="2" l="1"/>
  <c r="F14" i="2"/>
  <c r="F2" i="2" s="1"/>
  <c r="J7" i="2" l="1"/>
  <c r="G14" i="2"/>
  <c r="G2" i="2" s="1"/>
  <c r="I14" i="2" l="1"/>
  <c r="I2" i="2" s="1"/>
  <c r="J14" i="2"/>
  <c r="B5" i="5"/>
  <c r="B12" i="5" s="1"/>
  <c r="E26" i="4"/>
  <c r="E32" i="4" s="1"/>
  <c r="J2" i="2" l="1"/>
  <c r="A5" i="5"/>
  <c r="C51" i="4"/>
  <c r="G51" i="4" s="1"/>
  <c r="C52" i="4"/>
  <c r="F39" i="4" l="1"/>
  <c r="K2" i="2"/>
  <c r="N2" i="2"/>
  <c r="F37" i="4"/>
  <c r="C56" i="4"/>
  <c r="J26" i="4"/>
  <c r="G43" i="4"/>
  <c r="E43" i="4"/>
  <c r="G52" i="4"/>
  <c r="G56" i="4" s="1"/>
  <c r="C45" i="4"/>
  <c r="G44" i="4"/>
  <c r="G45" i="4" s="1"/>
  <c r="G46" i="4" s="1"/>
  <c r="E44" i="4"/>
  <c r="E45" i="4" s="1"/>
  <c r="E46" i="4" s="1"/>
  <c r="C5" i="5"/>
  <c r="B8" i="5"/>
  <c r="E51" i="4" l="1"/>
  <c r="F35" i="4"/>
  <c r="K31" i="4"/>
  <c r="B9" i="5"/>
  <c r="B10" i="5"/>
  <c r="J28" i="4"/>
  <c r="J32" i="4" s="1"/>
  <c r="B11" i="5" l="1"/>
  <c r="B13" i="5" s="1"/>
  <c r="E54" i="4" l="1"/>
  <c r="F54" i="4" s="1"/>
  <c r="E55" i="4"/>
  <c r="F55" i="4" s="1"/>
  <c r="F51" i="4"/>
  <c r="E53" i="4"/>
  <c r="F53" i="4" s="1"/>
  <c r="E52" i="4"/>
  <c r="B16" i="5"/>
  <c r="B17" i="5" s="1"/>
  <c r="B20" i="5" s="1"/>
  <c r="E56" i="4" l="1"/>
  <c r="F52" i="4"/>
  <c r="F56" i="4" s="1"/>
  <c r="A61" i="4" s="1"/>
  <c r="D63" i="4" s="1"/>
  <c r="B19" i="5"/>
  <c r="B21" i="5" s="1"/>
  <c r="B22" i="5" s="1"/>
  <c r="B24" i="5" s="1"/>
  <c r="C63" i="4" l="1"/>
  <c r="E63" i="4" s="1"/>
  <c r="B63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Ajuntament de Barcelona</author>
  </authors>
  <commentList>
    <comment ref="B3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Ajuntament de Barcelona:
Revisar previsions</t>
        </r>
      </text>
    </comment>
  </commentList>
</comments>
</file>

<file path=xl/sharedStrings.xml><?xml version="1.0" encoding="utf-8"?>
<sst xmlns="http://schemas.openxmlformats.org/spreadsheetml/2006/main" count="360" uniqueCount="226">
  <si>
    <t>Servei plec</t>
  </si>
  <si>
    <t>Perfil</t>
  </si>
  <si>
    <t>% dedicació</t>
  </si>
  <si>
    <t>Preu perfil IVA inclòs</t>
  </si>
  <si>
    <t>Preu perfil IVA exclòs</t>
  </si>
  <si>
    <t>Preu/hora/perfil (IVA inclòs)</t>
  </si>
  <si>
    <t>Cap de projecte / Responsable dels serveis</t>
  </si>
  <si>
    <t>Tècnic infraestructures/sistemes / Consultor sènior</t>
  </si>
  <si>
    <t>Preu perfil tipus</t>
  </si>
  <si>
    <t>Tècnic sistemes junior / Consultor Júnior</t>
  </si>
  <si>
    <t>Tècnic especialista productes / Consultor sènior</t>
  </si>
  <si>
    <t>xdia</t>
  </si>
  <si>
    <t>Perfil Basic</t>
  </si>
  <si>
    <t>Import €/hora amb IVA</t>
  </si>
  <si>
    <t>Preu/hora IVA exclòs</t>
  </si>
  <si>
    <t>Tècnic infraest/sistemes / Consultor sènior</t>
  </si>
  <si>
    <t>2027 amb IVA</t>
  </si>
  <si>
    <t>2028 amb IVA</t>
  </si>
  <si>
    <t>TOTAL amb IVA</t>
  </si>
  <si>
    <t>TOTAL sense IVA</t>
  </si>
  <si>
    <t>CITYOS 2027-2028</t>
  </si>
  <si>
    <t>Contracte 2027-2028</t>
  </si>
  <si>
    <t>Data inici contracte</t>
  </si>
  <si>
    <t>dia inici</t>
  </si>
  <si>
    <t>Data inici servei</t>
  </si>
  <si>
    <t>dia final</t>
  </si>
  <si>
    <t>Data fi del contracte</t>
  </si>
  <si>
    <t>dies</t>
  </si>
  <si>
    <t>Servei</t>
  </si>
  <si>
    <t>cap</t>
  </si>
  <si>
    <t>Import 2027 IVA inclòs</t>
  </si>
  <si>
    <t>Import 2028 IVA inclòs</t>
  </si>
  <si>
    <t>Import Total IVA inclòs</t>
  </si>
  <si>
    <t>Import Total IVA exclòs</t>
  </si>
  <si>
    <t>Total dies 2027</t>
  </si>
  <si>
    <t>Total dies 2028</t>
  </si>
  <si>
    <t>Infraestructura i línies de comunicacions</t>
  </si>
  <si>
    <t>II</t>
  </si>
  <si>
    <t>Manteniment Correctiu</t>
  </si>
  <si>
    <t>Manteniment Recurrent</t>
  </si>
  <si>
    <t>Servei d'evolutius recurrents</t>
  </si>
  <si>
    <t>VI</t>
  </si>
  <si>
    <t>Servei 24x7</t>
  </si>
  <si>
    <t>Import total licitació</t>
  </si>
  <si>
    <t>Nom Servei</t>
  </si>
  <si>
    <t>Codi Aplicació</t>
  </si>
  <si>
    <t>Nom Aplicació</t>
  </si>
  <si>
    <t>Criticitat</t>
  </si>
  <si>
    <t>Infraestructura
IVA INCLÒS</t>
  </si>
  <si>
    <t>Preu/hora
IVA INCLÒS</t>
  </si>
  <si>
    <t>€ Servei</t>
  </si>
  <si>
    <t>SER0490</t>
  </si>
  <si>
    <t>CITY OS Servei Regular</t>
  </si>
  <si>
    <t>APP0974</t>
  </si>
  <si>
    <t>SER0502</t>
  </si>
  <si>
    <t>CITY OS COSMO</t>
  </si>
  <si>
    <t>Total</t>
  </si>
  <si>
    <t>hores anuals base</t>
  </si>
  <si>
    <t>TOTAL</t>
  </si>
  <si>
    <t>Cost any 2027
 (IVA EXCLÒS)</t>
  </si>
  <si>
    <t>Cost any 2027
 (IVA INCLÒS)</t>
  </si>
  <si>
    <t>Cost any 2028
 (IVA EXCLÒS)</t>
  </si>
  <si>
    <t>Cost any 2028
 (IVA INCLÒS)</t>
  </si>
  <si>
    <t>Infraestructura Cloud</t>
  </si>
  <si>
    <t xml:space="preserve">Servidors (2 entorns) </t>
  </si>
  <si>
    <t>Administració S.O.</t>
  </si>
  <si>
    <t>Backups (PRO i PRE)</t>
  </si>
  <si>
    <t>Monitoratge dels servidors i serveis</t>
  </si>
  <si>
    <t>Conectivitat</t>
  </si>
  <si>
    <t>Linia Comunicacions</t>
  </si>
  <si>
    <t>Capacitat actual de CityOS</t>
  </si>
  <si>
    <t>CPU</t>
  </si>
  <si>
    <t>RAM</t>
  </si>
  <si>
    <t>HDD</t>
  </si>
  <si>
    <t>Recurs Cloud</t>
  </si>
  <si>
    <t>Periode</t>
  </si>
  <si>
    <t xml:space="preserve">Cost unitari </t>
  </si>
  <si>
    <t>Número de unitats</t>
  </si>
  <si>
    <t>Cost mensual</t>
  </si>
  <si>
    <t>cost anual</t>
  </si>
  <si>
    <t>cost anual (IVA Inc)</t>
  </si>
  <si>
    <t>cost</t>
  </si>
  <si>
    <t xml:space="preserve">Infraestructura CLOUD </t>
  </si>
  <si>
    <t>vCPU On Demand XL (3.0 Ghz)</t>
  </si>
  <si>
    <t>x hora</t>
  </si>
  <si>
    <t>RAM (GB)</t>
  </si>
  <si>
    <t>HDD (GB)</t>
  </si>
  <si>
    <t>GB RAM On Demand</t>
  </si>
  <si>
    <t>GB Storage Local OnDemand SSD</t>
  </si>
  <si>
    <t xml:space="preserve">Modalitats </t>
  </si>
  <si>
    <t>Backup VM (VM protegida)</t>
  </si>
  <si>
    <t>x mes</t>
  </si>
  <si>
    <t>Backups</t>
  </si>
  <si>
    <t>GB Backup VM (R. Setmanal)</t>
  </si>
  <si>
    <t>GB Backup VM (R. Mensual)</t>
  </si>
  <si>
    <t>GB Backup VM (R. Trimestral)</t>
  </si>
  <si>
    <t>GB Backup VM (R. Anual)Personalitzada</t>
  </si>
  <si>
    <t>Interconexió MMR</t>
  </si>
  <si>
    <t>U's de Espacio en NexicaData</t>
  </si>
  <si>
    <t>Interconexión Fibra SingleMode BCN MRR</t>
  </si>
  <si>
    <t>Service Manager</t>
  </si>
  <si>
    <t>Concepte</t>
  </si>
  <si>
    <t>unitari instal·lació</t>
  </si>
  <si>
    <t>Distribució de pressupost per any i per servei</t>
  </si>
  <si>
    <t>Serveis</t>
  </si>
  <si>
    <t>Capítol</t>
  </si>
  <si>
    <t>Import net</t>
  </si>
  <si>
    <t>IVA 21%</t>
  </si>
  <si>
    <t>Import total</t>
  </si>
  <si>
    <t>Total import net</t>
  </si>
  <si>
    <t>Total IVA 21%</t>
  </si>
  <si>
    <t>Total import contracte</t>
  </si>
  <si>
    <t>manteniment recurrent i correctiu</t>
  </si>
  <si>
    <t>Desenvolupament</t>
  </si>
  <si>
    <t>Oficina de Gestió del servei CityOS</t>
  </si>
  <si>
    <t>Distribució de pressupost per any</t>
  </si>
  <si>
    <t>Any</t>
  </si>
  <si>
    <t>Pressupost net</t>
  </si>
  <si>
    <t>IVA</t>
  </si>
  <si>
    <t>Modificacions de contracte: ampliació / disminució</t>
  </si>
  <si>
    <t>Causes previstes de modificació</t>
  </si>
  <si>
    <t>Import contracte (IVA inclòs)</t>
  </si>
  <si>
    <t>% Ampliació sobre import del contracte</t>
  </si>
  <si>
    <t>Import màxim ampliació (IVA inc)</t>
  </si>
  <si>
    <t>% Disminució sobre import del contracte</t>
  </si>
  <si>
    <t>Import màxim disminució (IVA inc)</t>
  </si>
  <si>
    <t>Modificacions en les volumetries</t>
  </si>
  <si>
    <t>Modificacions en la relació Serveis/Subserveis de l’abast</t>
  </si>
  <si>
    <t> TOTAL</t>
  </si>
  <si>
    <t>IVA EXCLÒS</t>
  </si>
  <si>
    <t>VEC</t>
  </si>
  <si>
    <t>VE prestació</t>
  </si>
  <si>
    <t>VE eventuals pròrrogues</t>
  </si>
  <si>
    <t>VE modificacions contracte amb increment de cost previstes</t>
  </si>
  <si>
    <t>SUMA</t>
  </si>
  <si>
    <t>CÀLCUL COSTOS DIRECTES I INDIRECTES PEL PROJECTE</t>
  </si>
  <si>
    <t>Salari 
Net</t>
  </si>
  <si>
    <t>Altres: infraestructura</t>
  </si>
  <si>
    <t>Costos directes:</t>
  </si>
  <si>
    <t>Costos salarials - Salari Brut</t>
  </si>
  <si>
    <t>Costos salarials - Seguretat Social (34%)</t>
  </si>
  <si>
    <t>Costos formació i prevenció (1%)</t>
  </si>
  <si>
    <t>TOTAL (Suma costos Salarials+Formacio)</t>
  </si>
  <si>
    <t>TOTAL (Suma costos directes)</t>
  </si>
  <si>
    <t>Costos indirectes:</t>
  </si>
  <si>
    <t>Despeses generals d’estructura (15%)</t>
  </si>
  <si>
    <t>TOTAL (Suma costos Salarials+Formacio+Estruct)</t>
  </si>
  <si>
    <t>TOTAL (Suma costos directes + indirectes)</t>
  </si>
  <si>
    <t>Benefici industrial (10%)</t>
  </si>
  <si>
    <t>TOTAL DE COSTOS CONTRACTE</t>
  </si>
  <si>
    <t>IVA (21%)</t>
  </si>
  <si>
    <t>TOTAL IVA INCL</t>
  </si>
  <si>
    <t>2027(11m)</t>
  </si>
  <si>
    <t>PRO  S.O. 2027 - 2028</t>
  </si>
  <si>
    <t>Detall del Recurs 12 mesos</t>
  </si>
  <si>
    <t>PRE  S.O.  2027 - 2028</t>
  </si>
  <si>
    <t>Coordinador/a del contracte</t>
  </si>
  <si>
    <t>C2</t>
  </si>
  <si>
    <t>C6</t>
  </si>
  <si>
    <t>del 1-1 al 31-12</t>
  </si>
  <si>
    <t>Infraestructura i Operació</t>
  </si>
  <si>
    <t>Equips de comunicacions</t>
  </si>
  <si>
    <t>(*) L'import total de l'IVA correspon al sumatori dels imports individuals detallats a la taula anterior (fila 11, columnes C, F, I, L, O) i no a l'aplicació directa de l'IVA actual del 21% sobre el pressupost net totalitzat (files 17 a 21 columna B).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</si>
  <si>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</si>
  <si>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</si>
  <si>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</si>
  <si>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</si>
  <si>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</si>
  <si>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</si>
  <si>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</si>
  <si>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</si>
  <si>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</si>
  <si>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</si>
  <si>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Gestor de projectes</t>
  </si>
  <si>
    <t>Arquitecte de sistemes</t>
  </si>
  <si>
    <t>Desenvolupador</t>
  </si>
  <si>
    <t>Família – Perfil càlcul</t>
  </si>
  <si>
    <t>Experiència – Perfil càlcul</t>
  </si>
  <si>
    <t>Senior especialista</t>
  </si>
  <si>
    <t>Junior especialista</t>
  </si>
  <si>
    <t>IT Manteniment recurrent i correctiu</t>
  </si>
  <si>
    <t>PT Servei d'evolutius recurrents</t>
  </si>
  <si>
    <t>TT Serveis Transversals de manteniment (STM)</t>
  </si>
  <si>
    <t>IT Servei 24x7</t>
  </si>
  <si>
    <r>
      <t>Preu/</t>
    </r>
    <r>
      <rPr>
        <b/>
        <sz val="20"/>
        <color theme="0"/>
        <rFont val="Calibri"/>
        <family val="2"/>
        <scheme val="minor"/>
      </rPr>
      <t>dia</t>
    </r>
    <r>
      <rPr>
        <b/>
        <sz val="12"/>
        <color theme="0"/>
        <rFont val="Calibri"/>
        <family val="2"/>
        <scheme val="minor"/>
      </rPr>
      <t xml:space="preserve">
IVA INCLÒS</t>
    </r>
  </si>
  <si>
    <t>Període</t>
  </si>
  <si>
    <t>Distribució de pressupost de la pòrroga per any per any</t>
  </si>
  <si>
    <t>Mid Especialista</t>
  </si>
  <si>
    <t>Arquitecte de sistemes (perfil d’arquitecte de sistemes)</t>
  </si>
  <si>
    <t>Administrador i Tècnic de  Sistemes (perfil de desenvolupador)</t>
  </si>
  <si>
    <t>Tècnic de sistemes júnior  (perfil de desenvolupador)</t>
  </si>
  <si>
    <t>Analista programador sènior (perfil de desenvolupador)</t>
  </si>
  <si>
    <t>Tècnic especialista dels diferents productes de la plataforma (10.1.1) (perfil de desenvolupador)</t>
  </si>
  <si>
    <t>Cap de projecte  (perfil de gestor/a de projectes sènior especialització tecnològica)</t>
  </si>
  <si>
    <t>Arquitecte / enginyer de dades / responsable de seguretat</t>
  </si>
  <si>
    <t xml:space="preserve">Desenvolupador / Analista programador </t>
  </si>
  <si>
    <t>Cost Unitari</t>
  </si>
  <si>
    <t>Programador/a mid / Analista programador</t>
  </si>
  <si>
    <t>Quota mensual manteniment línia comunicació</t>
  </si>
  <si>
    <t>Preu instal·lació  línia comunicació entre el CPD Nexica i els 2 CPD ajuntament</t>
  </si>
  <si>
    <t>Total dies 2029</t>
  </si>
  <si>
    <t>Import 2029 IVA inclòs</t>
  </si>
  <si>
    <t>2027 - 2029</t>
  </si>
  <si>
    <t>2027(7m)</t>
  </si>
  <si>
    <t>2029(4m)</t>
  </si>
  <si>
    <t>Equips de comunicacions (cost mensual)</t>
  </si>
  <si>
    <t>Cost any 2029
 (IVA EXCLÒS)</t>
  </si>
  <si>
    <t>Cost any 2029
 (IVA INCLÒS)</t>
  </si>
  <si>
    <t>del 1-5 al 31-12</t>
  </si>
  <si>
    <t>del 1-1 al 30-05</t>
  </si>
  <si>
    <t>del 1-1 al 30-04</t>
  </si>
  <si>
    <t>COSTOS PRESENTATS PER NEXICA</t>
  </si>
  <si>
    <t>pròrroga</t>
  </si>
  <si>
    <t>Total dies 2030</t>
  </si>
  <si>
    <t>Total dies 2031</t>
  </si>
  <si>
    <t>Import 2030 IVA inclòs</t>
  </si>
  <si>
    <t>Import 2031 IVA inclòs</t>
  </si>
  <si>
    <t>capIV</t>
  </si>
  <si>
    <t>cap II</t>
  </si>
  <si>
    <t>2029 amb IVA</t>
  </si>
  <si>
    <t>Conectivitat (equips com.)</t>
  </si>
  <si>
    <t>Línia comunicacions</t>
  </si>
  <si>
    <t>Infraestructura cloud</t>
  </si>
  <si>
    <t>Infraestructura Cloud i línies de comunicacions</t>
  </si>
  <si>
    <t>Cost TOTAL
 (IVA INCLÒS)</t>
  </si>
  <si>
    <t>Cost TOTAL
 (IVA EXCLÒS)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</si>
</sst>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&quot;€&quot;"/>
    <numFmt numFmtId="167" formatCode="#,##0.000000\ &quot;€&quot;;[Red]\-#,##0.000000\ &quot;€&quot;"/>
    <numFmt numFmtId="168" formatCode="_-* #,##0\ [$€-C0A]_-;\-* #,##0\ [$€-C0A]_-;_-* &quot;-&quot;\ [$€-C0A]_-;_-@_-"/>
    <numFmt numFmtId="169" formatCode="#,##0\ &quot;€&quot;"/>
    <numFmt numFmtId="170" formatCode="_-* #,##0.00\ _€_-;\-* #,##0.00\ _€_-;_-* &quot;-&quot;??\ _€_-;_-@_-"/>
    <numFmt numFmtId="171" formatCode="_-* #,##0.00&quot; €&quot;_-;\-* #,##0.00&quot; €&quot;_-;_-* \-??&quot; €&quot;_-;_-@_-"/>
    <numFmt numFmtId="172" formatCode="###0.0_);[Red]\(###0.0\)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theme="0"/>
      <name val="Calibri"/>
      <family val="2"/>
      <scheme val="minor"/>
    </font>
    <font>
      <sz val="11"/>
      <name val="Calibri"/>
      <family val="2"/>
    </font>
    <font>
      <b/>
      <sz val="11"/>
      <name val="&quot;Calibri&quot;"/>
    </font>
    <font>
      <sz val="11"/>
      <name val="&quot;Calibri&quot;"/>
    </font>
    <font>
      <b/>
      <sz val="11"/>
      <color rgb="FF000000"/>
      <name val="&quot;Calibri&quot;"/>
    </font>
    <font>
      <sz val="11"/>
      <color rgb="FF0000FF"/>
      <name val="Calibri"/>
      <family val="2"/>
    </font>
    <font>
      <b/>
      <sz val="11"/>
      <color rgb="FF0000FF"/>
      <name val="Calibri"/>
      <family val="2"/>
    </font>
    <font>
      <sz val="10"/>
      <name val="Arial"/>
      <family val="2"/>
    </font>
    <font>
      <sz val="10"/>
      <name val="Geneva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9"/>
      <color indexed="12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8"/>
      <name val="Verdana"/>
      <family val="2"/>
    </font>
    <font>
      <sz val="9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rgb="FF000000"/>
      <name val="Verdana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b/>
      <sz val="20"/>
      <color theme="0"/>
      <name val="Calibri"/>
      <family val="2"/>
      <scheme val="minor"/>
    </font>
    <font>
      <b/>
      <sz val="10"/>
      <color rgb="FFFFFFFF"/>
      <name val="Source Sans Pro"/>
      <family val="2"/>
    </font>
    <font>
      <sz val="10"/>
      <color rgb="FF000000"/>
      <name val="Source Sans Pro"/>
      <family val="2"/>
    </font>
    <font>
      <sz val="10"/>
      <color theme="1"/>
      <name val="Source Sans Pro"/>
      <family val="2"/>
    </font>
    <font>
      <sz val="8"/>
      <color theme="1"/>
      <name val="Calibri"/>
      <family val="2"/>
      <scheme val="minor"/>
    </font>
    <font>
      <sz val="12"/>
      <color theme="1"/>
      <name val="Source Sans Pro"/>
      <family val="2"/>
    </font>
    <font>
      <b/>
      <sz val="9"/>
      <color rgb="FF000000"/>
      <name val="Verdana"/>
      <family val="2"/>
    </font>
    <font>
      <b/>
      <sz val="12"/>
      <color theme="1"/>
      <name val="Source Sans Pro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DDEBF7"/>
        <bgColor rgb="FFDDEBF7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rgb="FF8B894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 style="medium">
        <color indexed="64"/>
      </bottom>
      <diagonal/>
    </border>
    <border>
      <left/>
      <right style="thin">
        <color theme="2"/>
      </right>
      <top style="thin">
        <color theme="2"/>
      </top>
      <bottom style="medium">
        <color indexed="64"/>
      </bottom>
      <diagonal/>
    </border>
    <border>
      <left/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/>
      <right style="thin">
        <color theme="2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52">
    <xf numFmtId="0" fontId="0" fillId="0" borderId="0"/>
    <xf numFmtId="44" fontId="1" fillId="0" borderId="0"/>
    <xf numFmtId="9" fontId="1" fillId="0" borderId="0"/>
    <xf numFmtId="170" fontId="10" fillId="0" borderId="0"/>
    <xf numFmtId="170" fontId="1" fillId="0" borderId="0"/>
    <xf numFmtId="171" fontId="10" fillId="0" borderId="0"/>
    <xf numFmtId="0" fontId="10" fillId="0" borderId="0"/>
    <xf numFmtId="0" fontId="11" fillId="0" borderId="0"/>
    <xf numFmtId="0" fontId="1" fillId="0" borderId="0"/>
    <xf numFmtId="0" fontId="1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1" fillId="12" borderId="0">
      <alignment horizontal="right" vertical="top" wrapText="1"/>
    </xf>
    <xf numFmtId="0" fontId="31" fillId="13" borderId="0">
      <alignment horizontal="right" vertical="top" wrapText="1"/>
    </xf>
    <xf numFmtId="0" fontId="29" fillId="0" borderId="0"/>
    <xf numFmtId="44" fontId="29" fillId="0" borderId="0"/>
    <xf numFmtId="38" fontId="32" fillId="14" borderId="0"/>
    <xf numFmtId="0" fontId="33" fillId="0" borderId="21">
      <alignment horizontal="left" vertical="center"/>
    </xf>
    <xf numFmtId="0" fontId="33" fillId="0" borderId="11">
      <alignment horizontal="left" vertical="center"/>
    </xf>
    <xf numFmtId="0" fontId="34" fillId="0" borderId="0">
      <alignment vertical="top"/>
      <protection locked="0"/>
    </xf>
    <xf numFmtId="0" fontId="35" fillId="0" borderId="0">
      <alignment vertical="top"/>
      <protection locked="0"/>
    </xf>
    <xf numFmtId="10" fontId="32" fillId="15" borderId="1"/>
    <xf numFmtId="3" fontId="36" fillId="14" borderId="0">
      <alignment horizontal="right"/>
      <protection locked="0"/>
    </xf>
    <xf numFmtId="0" fontId="37" fillId="0" borderId="0"/>
    <xf numFmtId="172" fontId="29" fillId="0" borderId="0"/>
    <xf numFmtId="0" fontId="29" fillId="0" borderId="0"/>
    <xf numFmtId="3" fontId="31" fillId="0" borderId="0"/>
    <xf numFmtId="10" fontId="29" fillId="0" borderId="0"/>
    <xf numFmtId="0" fontId="38" fillId="0" borderId="0">
      <alignment horizontal="left"/>
    </xf>
    <xf numFmtId="15" fontId="38" fillId="0" borderId="0"/>
    <xf numFmtId="4" fontId="38" fillId="0" borderId="0"/>
    <xf numFmtId="0" fontId="39" fillId="0" borderId="18">
      <alignment horizontal="center"/>
    </xf>
    <xf numFmtId="3" fontId="38" fillId="0" borderId="0"/>
    <xf numFmtId="0" fontId="38" fillId="16" borderId="0"/>
    <xf numFmtId="0" fontId="29" fillId="0" borderId="0"/>
    <xf numFmtId="44" fontId="29" fillId="0" borderId="0"/>
    <xf numFmtId="9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</cellStyleXfs>
  <cellXfs count="299">
    <xf numFmtId="0" fontId="0" fillId="0" borderId="0" xfId="0"/>
    <xf numFmtId="0" fontId="2" fillId="0" borderId="0" xfId="0" applyFont="1"/>
    <xf numFmtId="0" fontId="0" fillId="0" borderId="1" xfId="0" applyBorder="1"/>
    <xf numFmtId="0" fontId="9" fillId="0" borderId="0" xfId="0" applyFont="1" applyAlignment="1">
      <alignment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10" fontId="0" fillId="0" borderId="7" xfId="0" applyNumberFormat="1" applyBorder="1"/>
    <xf numFmtId="2" fontId="0" fillId="0" borderId="7" xfId="0" applyNumberFormat="1" applyBorder="1"/>
    <xf numFmtId="0" fontId="2" fillId="5" borderId="7" xfId="0" applyFont="1" applyFill="1" applyBorder="1" applyAlignment="1">
      <alignment horizontal="left"/>
    </xf>
    <xf numFmtId="10" fontId="0" fillId="0" borderId="0" xfId="0" applyNumberFormat="1"/>
    <xf numFmtId="0" fontId="7" fillId="3" borderId="2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14" fontId="5" fillId="0" borderId="7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horizontal="left"/>
    </xf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/>
    </xf>
    <xf numFmtId="164" fontId="6" fillId="5" borderId="0" xfId="0" applyNumberFormat="1" applyFont="1" applyFill="1"/>
    <xf numFmtId="4" fontId="6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wrapText="1"/>
    </xf>
    <xf numFmtId="0" fontId="0" fillId="5" borderId="8" xfId="0" applyFill="1" applyBorder="1" applyAlignment="1">
      <alignment wrapText="1"/>
    </xf>
    <xf numFmtId="0" fontId="0" fillId="5" borderId="9" xfId="0" applyFill="1" applyBorder="1" applyAlignment="1">
      <alignment horizontal="left"/>
    </xf>
    <xf numFmtId="0" fontId="0" fillId="5" borderId="9" xfId="0" applyFill="1" applyBorder="1" applyAlignment="1">
      <alignment wrapText="1"/>
    </xf>
    <xf numFmtId="0" fontId="12" fillId="6" borderId="0" xfId="0" applyFont="1" applyFill="1" applyAlignment="1">
      <alignment horizontal="center" vertical="center" wrapText="1"/>
    </xf>
    <xf numFmtId="14" fontId="2" fillId="0" borderId="0" xfId="0" applyNumberFormat="1" applyFont="1"/>
    <xf numFmtId="0" fontId="12" fillId="3" borderId="0" xfId="0" applyFont="1" applyFill="1" applyAlignment="1">
      <alignment horizontal="center" vertical="center" wrapText="1"/>
    </xf>
    <xf numFmtId="165" fontId="1" fillId="0" borderId="0" xfId="2" applyNumberFormat="1"/>
    <xf numFmtId="164" fontId="1" fillId="0" borderId="0" xfId="0" applyNumberFormat="1" applyFont="1"/>
    <xf numFmtId="4" fontId="2" fillId="5" borderId="0" xfId="0" applyNumberFormat="1" applyFont="1" applyFill="1" applyAlignment="1">
      <alignment horizontal="left" wrapText="1"/>
    </xf>
    <xf numFmtId="164" fontId="1" fillId="0" borderId="0" xfId="0" applyNumberFormat="1" applyFont="1" applyAlignment="1">
      <alignment vertical="center"/>
    </xf>
    <xf numFmtId="14" fontId="1" fillId="0" borderId="0" xfId="0" applyNumberFormat="1" applyFont="1"/>
    <xf numFmtId="14" fontId="0" fillId="0" borderId="0" xfId="0" applyNumberFormat="1"/>
    <xf numFmtId="8" fontId="1" fillId="0" borderId="0" xfId="0" applyNumberFormat="1" applyFont="1" applyAlignment="1">
      <alignment horizontal="right" wrapText="1"/>
    </xf>
    <xf numFmtId="0" fontId="7" fillId="6" borderId="0" xfId="0" applyFont="1" applyFill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6" fillId="0" borderId="0" xfId="0" applyFont="1" applyProtection="1">
      <protection hidden="1"/>
    </xf>
    <xf numFmtId="14" fontId="0" fillId="0" borderId="0" xfId="0" applyNumberFormat="1" applyAlignment="1">
      <alignment wrapText="1"/>
    </xf>
    <xf numFmtId="0" fontId="13" fillId="7" borderId="0" xfId="0" applyFont="1" applyFill="1" applyAlignment="1" applyProtection="1">
      <alignment horizontal="left" vertical="center"/>
      <protection hidden="1"/>
    </xf>
    <xf numFmtId="0" fontId="1" fillId="7" borderId="0" xfId="0" applyFont="1" applyFill="1" applyAlignment="1">
      <alignment wrapText="1"/>
    </xf>
    <xf numFmtId="0" fontId="14" fillId="0" borderId="0" xfId="0" applyFont="1"/>
    <xf numFmtId="44" fontId="14" fillId="0" borderId="0" xfId="0" applyNumberFormat="1" applyFont="1"/>
    <xf numFmtId="8" fontId="15" fillId="0" borderId="1" xfId="0" applyNumberFormat="1" applyFont="1" applyBorder="1" applyAlignment="1">
      <alignment horizontal="right" vertical="center"/>
    </xf>
    <xf numFmtId="8" fontId="16" fillId="5" borderId="1" xfId="0" applyNumberFormat="1" applyFont="1" applyFill="1" applyBorder="1" applyAlignment="1">
      <alignment horizontal="right" vertical="center"/>
    </xf>
    <xf numFmtId="44" fontId="16" fillId="5" borderId="1" xfId="0" applyNumberFormat="1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44" fontId="15" fillId="0" borderId="1" xfId="0" applyNumberFormat="1" applyFont="1" applyBorder="1" applyAlignment="1">
      <alignment horizontal="right" vertical="center"/>
    </xf>
    <xf numFmtId="0" fontId="18" fillId="3" borderId="10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9" fillId="0" borderId="0" xfId="0" applyFont="1"/>
    <xf numFmtId="0" fontId="14" fillId="8" borderId="1" xfId="0" applyFont="1" applyFill="1" applyBorder="1" applyAlignment="1">
      <alignment horizontal="right"/>
    </xf>
    <xf numFmtId="8" fontId="15" fillId="8" borderId="1" xfId="0" applyNumberFormat="1" applyFont="1" applyFill="1" applyBorder="1" applyAlignment="1">
      <alignment horizontal="right" vertical="center"/>
    </xf>
    <xf numFmtId="164" fontId="16" fillId="5" borderId="1" xfId="0" applyNumberFormat="1" applyFont="1" applyFill="1" applyBorder="1" applyAlignment="1">
      <alignment horizontal="right" vertical="center" wrapText="1"/>
    </xf>
    <xf numFmtId="0" fontId="20" fillId="5" borderId="1" xfId="0" applyFont="1" applyFill="1" applyBorder="1" applyAlignment="1">
      <alignment horizontal="left" vertical="center"/>
    </xf>
    <xf numFmtId="164" fontId="15" fillId="0" borderId="1" xfId="0" applyNumberFormat="1" applyFont="1" applyBorder="1" applyAlignment="1">
      <alignment horizontal="right" vertical="center" wrapText="1"/>
    </xf>
    <xf numFmtId="0" fontId="21" fillId="3" borderId="1" xfId="0" applyFont="1" applyFill="1" applyBorder="1" applyAlignment="1">
      <alignment horizontal="center" vertical="center" wrapText="1"/>
    </xf>
    <xf numFmtId="44" fontId="14" fillId="5" borderId="1" xfId="0" applyNumberFormat="1" applyFont="1" applyFill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vertical="center"/>
    </xf>
    <xf numFmtId="0" fontId="22" fillId="3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vertical="center" wrapText="1"/>
    </xf>
    <xf numFmtId="0" fontId="19" fillId="0" borderId="0" xfId="0" applyFont="1" applyAlignment="1">
      <alignment horizontal="left"/>
    </xf>
    <xf numFmtId="10" fontId="0" fillId="0" borderId="16" xfId="0" applyNumberFormat="1" applyBorder="1"/>
    <xf numFmtId="0" fontId="2" fillId="0" borderId="0" xfId="0" applyFont="1" applyAlignment="1">
      <alignment horizontal="center"/>
    </xf>
    <xf numFmtId="4" fontId="5" fillId="2" borderId="0" xfId="0" applyNumberFormat="1" applyFont="1" applyFill="1" applyAlignment="1">
      <alignment horizontal="center" vertical="center"/>
    </xf>
    <xf numFmtId="3" fontId="0" fillId="0" borderId="20" xfId="0" applyNumberFormat="1" applyBorder="1" applyAlignment="1">
      <alignment horizontal="right"/>
    </xf>
    <xf numFmtId="3" fontId="0" fillId="0" borderId="19" xfId="0" applyNumberForma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7" fillId="3" borderId="24" xfId="0" applyFont="1" applyFill="1" applyBorder="1" applyAlignment="1">
      <alignment horizontal="left" vertical="center" wrapText="1"/>
    </xf>
    <xf numFmtId="164" fontId="2" fillId="5" borderId="25" xfId="0" applyNumberFormat="1" applyFont="1" applyFill="1" applyBorder="1" applyAlignment="1">
      <alignment wrapText="1"/>
    </xf>
    <xf numFmtId="0" fontId="0" fillId="5" borderId="25" xfId="0" applyFill="1" applyBorder="1" applyAlignment="1">
      <alignment wrapText="1"/>
    </xf>
    <xf numFmtId="3" fontId="0" fillId="0" borderId="0" xfId="0" applyNumberFormat="1" applyAlignment="1">
      <alignment horizontal="right"/>
    </xf>
    <xf numFmtId="0" fontId="0" fillId="0" borderId="1" xfId="0" applyBorder="1" applyAlignment="1">
      <alignment wrapText="1"/>
    </xf>
    <xf numFmtId="0" fontId="14" fillId="0" borderId="0" xfId="0" applyFont="1" applyAlignment="1">
      <alignment vertical="center" wrapText="1"/>
    </xf>
    <xf numFmtId="164" fontId="0" fillId="0" borderId="0" xfId="0" applyNumberFormat="1"/>
    <xf numFmtId="164" fontId="3" fillId="0" borderId="0" xfId="0" applyNumberFormat="1" applyFont="1" applyAlignment="1">
      <alignment horizontal="right" vertical="center" readingOrder="1"/>
    </xf>
    <xf numFmtId="0" fontId="0" fillId="0" borderId="0" xfId="0" applyAlignment="1">
      <alignment horizontal="left" vertical="center" wrapText="1"/>
    </xf>
    <xf numFmtId="0" fontId="28" fillId="11" borderId="13" xfId="0" applyFont="1" applyFill="1" applyBorder="1" applyAlignment="1" applyProtection="1">
      <alignment horizontal="center"/>
      <protection locked="0"/>
    </xf>
    <xf numFmtId="166" fontId="27" fillId="11" borderId="13" xfId="0" applyNumberFormat="1" applyFont="1" applyFill="1" applyBorder="1" applyAlignment="1" applyProtection="1">
      <alignment horizontal="center"/>
      <protection locked="0"/>
    </xf>
    <xf numFmtId="0" fontId="26" fillId="10" borderId="13" xfId="0" applyFont="1" applyFill="1" applyBorder="1" applyAlignment="1" applyProtection="1">
      <alignment horizontal="left" vertical="top"/>
      <protection locked="0"/>
    </xf>
    <xf numFmtId="0" fontId="23" fillId="10" borderId="13" xfId="0" applyFont="1" applyFill="1" applyBorder="1" applyAlignment="1" applyProtection="1">
      <alignment vertical="top"/>
      <protection locked="0"/>
    </xf>
    <xf numFmtId="0" fontId="24" fillId="10" borderId="13" xfId="0" applyFont="1" applyFill="1" applyBorder="1" applyAlignment="1" applyProtection="1">
      <alignment vertical="top"/>
      <protection locked="0"/>
    </xf>
    <xf numFmtId="164" fontId="23" fillId="10" borderId="14" xfId="0" applyNumberFormat="1" applyFont="1" applyFill="1" applyBorder="1" applyAlignment="1" applyProtection="1">
      <alignment vertical="top"/>
      <protection locked="0"/>
    </xf>
    <xf numFmtId="0" fontId="24" fillId="10" borderId="13" xfId="0" applyFont="1" applyFill="1" applyBorder="1" applyAlignment="1" applyProtection="1">
      <alignment horizontal="right" vertical="top"/>
      <protection locked="0"/>
    </xf>
    <xf numFmtId="164" fontId="24" fillId="10" borderId="12" xfId="0" applyNumberFormat="1" applyFont="1" applyFill="1" applyBorder="1" applyAlignment="1" applyProtection="1">
      <alignment horizontal="right" vertical="top"/>
      <protection locked="0"/>
    </xf>
    <xf numFmtId="0" fontId="0" fillId="0" borderId="0" xfId="0" applyProtection="1">
      <protection locked="0"/>
    </xf>
    <xf numFmtId="0" fontId="25" fillId="0" borderId="13" xfId="0" applyFont="1" applyBorder="1" applyAlignment="1" applyProtection="1">
      <alignment vertical="top"/>
      <protection locked="0"/>
    </xf>
    <xf numFmtId="164" fontId="25" fillId="0" borderId="14" xfId="0" applyNumberFormat="1" applyFont="1" applyBorder="1" applyAlignment="1" applyProtection="1">
      <alignment horizontal="right" vertical="top"/>
      <protection locked="0"/>
    </xf>
    <xf numFmtId="0" fontId="25" fillId="0" borderId="13" xfId="0" applyFont="1" applyBorder="1" applyAlignment="1" applyProtection="1">
      <alignment horizontal="right" vertical="top"/>
      <protection locked="0"/>
    </xf>
    <xf numFmtId="164" fontId="24" fillId="0" borderId="14" xfId="0" applyNumberFormat="1" applyFont="1" applyBorder="1" applyAlignment="1" applyProtection="1">
      <alignment horizontal="right" vertical="top"/>
      <protection locked="0"/>
    </xf>
    <xf numFmtId="0" fontId="23" fillId="0" borderId="15" xfId="0" applyFont="1" applyBorder="1" applyAlignment="1" applyProtection="1">
      <alignment vertical="top"/>
      <protection locked="0"/>
    </xf>
    <xf numFmtId="164" fontId="23" fillId="0" borderId="15" xfId="0" applyNumberFormat="1" applyFont="1" applyBorder="1" applyAlignment="1" applyProtection="1">
      <alignment vertical="top"/>
      <protection locked="0"/>
    </xf>
    <xf numFmtId="0" fontId="25" fillId="0" borderId="13" xfId="0" applyFont="1" applyBorder="1" applyAlignment="1" applyProtection="1">
      <alignment horizontal="left" vertical="top"/>
      <protection locked="0"/>
    </xf>
    <xf numFmtId="164" fontId="24" fillId="0" borderId="12" xfId="0" applyNumberFormat="1" applyFont="1" applyBorder="1" applyAlignment="1" applyProtection="1">
      <alignment horizontal="right" vertical="top"/>
      <protection locked="0"/>
    </xf>
    <xf numFmtId="164" fontId="0" fillId="0" borderId="0" xfId="0" applyNumberFormat="1" applyProtection="1">
      <protection locked="0"/>
    </xf>
    <xf numFmtId="0" fontId="42" fillId="0" borderId="0" xfId="0" applyFont="1" applyAlignment="1">
      <alignment vertical="top"/>
    </xf>
    <xf numFmtId="0" fontId="43" fillId="19" borderId="1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vertical="center"/>
    </xf>
    <xf numFmtId="0" fontId="4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4" fontId="41" fillId="0" borderId="1" xfId="1" applyFont="1" applyBorder="1" applyAlignment="1">
      <alignment horizontal="right" vertical="center" shrinkToFit="1"/>
    </xf>
    <xf numFmtId="44" fontId="0" fillId="0" borderId="1" xfId="1" applyFont="1" applyBorder="1"/>
    <xf numFmtId="0" fontId="0" fillId="19" borderId="0" xfId="0" applyFill="1"/>
    <xf numFmtId="0" fontId="0" fillId="17" borderId="0" xfId="0" applyFill="1"/>
    <xf numFmtId="0" fontId="43" fillId="20" borderId="1" xfId="0" applyFont="1" applyFill="1" applyBorder="1" applyAlignment="1">
      <alignment horizontal="center" vertical="center" wrapText="1"/>
    </xf>
    <xf numFmtId="44" fontId="0" fillId="17" borderId="1" xfId="1" applyFont="1" applyFill="1" applyBorder="1"/>
    <xf numFmtId="0" fontId="0" fillId="20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168" fontId="2" fillId="0" borderId="1" xfId="0" applyNumberFormat="1" applyFont="1" applyBorder="1" applyAlignment="1">
      <alignment horizontal="right"/>
    </xf>
    <xf numFmtId="44" fontId="0" fillId="19" borderId="1" xfId="1" applyFont="1" applyFill="1" applyBorder="1"/>
    <xf numFmtId="0" fontId="0" fillId="0" borderId="0" xfId="0" applyAlignment="1">
      <alignment vertical="center"/>
    </xf>
    <xf numFmtId="168" fontId="2" fillId="0" borderId="0" xfId="0" applyNumberFormat="1" applyFont="1"/>
    <xf numFmtId="44" fontId="0" fillId="0" borderId="0" xfId="0" applyNumberFormat="1"/>
    <xf numFmtId="164" fontId="0" fillId="0" borderId="0" xfId="0" applyNumberFormat="1" applyAlignment="1">
      <alignment vertical="center"/>
    </xf>
    <xf numFmtId="2" fontId="2" fillId="5" borderId="7" xfId="0" applyNumberFormat="1" applyFont="1" applyFill="1" applyBorder="1" applyAlignment="1">
      <alignment horizontal="right"/>
    </xf>
    <xf numFmtId="0" fontId="20" fillId="0" borderId="1" xfId="0" applyFont="1" applyBorder="1" applyAlignment="1">
      <alignment horizontal="left" vertical="center" wrapText="1"/>
    </xf>
    <xf numFmtId="10" fontId="15" fillId="0" borderId="1" xfId="0" applyNumberFormat="1" applyFont="1" applyBorder="1" applyAlignment="1">
      <alignment horizontal="center" vertical="center" wrapText="1"/>
    </xf>
    <xf numFmtId="10" fontId="16" fillId="5" borderId="1" xfId="0" applyNumberFormat="1" applyFont="1" applyFill="1" applyBorder="1" applyAlignment="1">
      <alignment horizontal="center" vertical="center" wrapText="1"/>
    </xf>
    <xf numFmtId="164" fontId="24" fillId="10" borderId="14" xfId="0" applyNumberFormat="1" applyFont="1" applyFill="1" applyBorder="1" applyAlignment="1" applyProtection="1">
      <alignment vertical="top"/>
      <protection locked="0"/>
    </xf>
    <xf numFmtId="0" fontId="28" fillId="11" borderId="13" xfId="0" applyFont="1" applyFill="1" applyBorder="1" applyAlignment="1" applyProtection="1">
      <alignment horizontal="center" wrapText="1"/>
      <protection locked="0"/>
    </xf>
    <xf numFmtId="9" fontId="0" fillId="0" borderId="0" xfId="2" applyFont="1"/>
    <xf numFmtId="0" fontId="2" fillId="5" borderId="22" xfId="0" applyFont="1" applyFill="1" applyBorder="1"/>
    <xf numFmtId="0" fontId="2" fillId="5" borderId="0" xfId="0" applyFont="1" applyFill="1"/>
    <xf numFmtId="0" fontId="2" fillId="5" borderId="31" xfId="0" applyFont="1" applyFill="1" applyBorder="1"/>
    <xf numFmtId="0" fontId="14" fillId="8" borderId="1" xfId="0" applyFont="1" applyFill="1" applyBorder="1" applyAlignment="1">
      <alignment horizontal="right" vertical="center"/>
    </xf>
    <xf numFmtId="0" fontId="14" fillId="17" borderId="0" xfId="0" applyFont="1" applyFill="1" applyAlignment="1">
      <alignment horizontal="right"/>
    </xf>
    <xf numFmtId="0" fontId="14" fillId="17" borderId="0" xfId="0" applyFont="1" applyFill="1"/>
    <xf numFmtId="0" fontId="7" fillId="3" borderId="0" xfId="0" applyFont="1" applyFill="1" applyAlignment="1">
      <alignment horizontal="center" vertical="center" wrapText="1"/>
    </xf>
    <xf numFmtId="4" fontId="2" fillId="0" borderId="0" xfId="0" applyNumberFormat="1" applyFont="1" applyAlignment="1">
      <alignment horizontal="center" wrapText="1"/>
    </xf>
    <xf numFmtId="8" fontId="1" fillId="0" borderId="0" xfId="0" applyNumberFormat="1" applyFont="1" applyAlignment="1" applyProtection="1">
      <alignment wrapText="1"/>
      <protection locked="0"/>
    </xf>
    <xf numFmtId="0" fontId="22" fillId="3" borderId="10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1" fillId="17" borderId="0" xfId="0" applyFont="1" applyFill="1" applyAlignment="1">
      <alignment horizontal="center" vertical="center" wrapText="1"/>
    </xf>
    <xf numFmtId="0" fontId="45" fillId="17" borderId="0" xfId="0" applyFont="1" applyFill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44" fontId="0" fillId="0" borderId="0" xfId="1" applyFont="1"/>
    <xf numFmtId="44" fontId="3" fillId="0" borderId="0" xfId="1" applyFont="1" applyAlignment="1">
      <alignment vertical="top" readingOrder="1"/>
    </xf>
    <xf numFmtId="0" fontId="7" fillId="3" borderId="0" xfId="0" applyFont="1" applyFill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19" borderId="1" xfId="0" applyFont="1" applyFill="1" applyBorder="1" applyAlignment="1">
      <alignment horizontal="center" vertical="center" wrapText="1"/>
    </xf>
    <xf numFmtId="44" fontId="3" fillId="19" borderId="1" xfId="1" applyFont="1" applyFill="1" applyBorder="1" applyAlignment="1">
      <alignment horizontal="center" vertical="center" wrapText="1"/>
    </xf>
    <xf numFmtId="44" fontId="0" fillId="0" borderId="1" xfId="0" applyNumberFormat="1" applyBorder="1"/>
    <xf numFmtId="164" fontId="0" fillId="19" borderId="1" xfId="0" applyNumberFormat="1" applyFill="1" applyBorder="1"/>
    <xf numFmtId="0" fontId="46" fillId="0" borderId="1" xfId="0" applyFont="1" applyBorder="1"/>
    <xf numFmtId="164" fontId="0" fillId="0" borderId="1" xfId="0" applyNumberFormat="1" applyBorder="1"/>
    <xf numFmtId="164" fontId="5" fillId="0" borderId="0" xfId="0" applyNumberFormat="1" applyFont="1" applyAlignment="1">
      <alignment horizontal="center" vertical="center"/>
    </xf>
    <xf numFmtId="0" fontId="1" fillId="22" borderId="0" xfId="0" applyFont="1" applyFill="1"/>
    <xf numFmtId="44" fontId="1" fillId="0" borderId="0" xfId="1"/>
    <xf numFmtId="4" fontId="5" fillId="2" borderId="37" xfId="0" applyNumberFormat="1" applyFont="1" applyFill="1" applyBorder="1" applyAlignment="1">
      <alignment horizontal="center" vertical="center"/>
    </xf>
    <xf numFmtId="44" fontId="1" fillId="0" borderId="0" xfId="1" applyAlignment="1" applyProtection="1">
      <alignment wrapText="1"/>
      <protection locked="0"/>
    </xf>
    <xf numFmtId="44" fontId="1" fillId="0" borderId="0" xfId="1" applyProtection="1">
      <protection locked="0"/>
    </xf>
    <xf numFmtId="169" fontId="1" fillId="0" borderId="0" xfId="0" applyNumberFormat="1" applyFont="1" applyAlignment="1">
      <alignment vertical="center"/>
    </xf>
    <xf numFmtId="1" fontId="1" fillId="0" borderId="0" xfId="2" applyNumberFormat="1"/>
    <xf numFmtId="44" fontId="14" fillId="0" borderId="0" xfId="1" applyFont="1" applyAlignment="1">
      <alignment vertical="center"/>
    </xf>
    <xf numFmtId="10" fontId="2" fillId="5" borderId="0" xfId="0" applyNumberFormat="1" applyFont="1" applyFill="1"/>
    <xf numFmtId="2" fontId="2" fillId="19" borderId="1" xfId="0" applyNumberFormat="1" applyFont="1" applyFill="1" applyBorder="1" applyAlignment="1">
      <alignment horizontal="center"/>
    </xf>
    <xf numFmtId="0" fontId="1" fillId="0" borderId="3" xfId="0" applyFont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0" fontId="7" fillId="7" borderId="4" xfId="0" applyFont="1" applyFill="1" applyBorder="1" applyProtection="1">
      <protection locked="0"/>
    </xf>
    <xf numFmtId="0" fontId="7" fillId="7" borderId="4" xfId="0" applyFont="1" applyFill="1" applyBorder="1"/>
    <xf numFmtId="0" fontId="7" fillId="7" borderId="5" xfId="0" applyFont="1" applyFill="1" applyBorder="1"/>
    <xf numFmtId="0" fontId="0" fillId="0" borderId="0" xfId="0" applyAlignment="1">
      <alignment horizontal="left"/>
    </xf>
    <xf numFmtId="164" fontId="6" fillId="23" borderId="0" xfId="0" applyNumberFormat="1" applyFont="1" applyFill="1"/>
    <xf numFmtId="1" fontId="1" fillId="0" borderId="0" xfId="0" applyNumberFormat="1" applyFont="1" applyAlignment="1">
      <alignment vertical="center"/>
    </xf>
    <xf numFmtId="8" fontId="48" fillId="0" borderId="0" xfId="0" applyNumberFormat="1" applyFont="1"/>
    <xf numFmtId="8" fontId="1" fillId="0" borderId="0" xfId="0" applyNumberFormat="1" applyFont="1"/>
    <xf numFmtId="8" fontId="1" fillId="0" borderId="0" xfId="0" applyNumberFormat="1" applyFont="1" applyProtection="1">
      <protection locked="0"/>
    </xf>
    <xf numFmtId="164" fontId="2" fillId="23" borderId="18" xfId="1" applyNumberFormat="1" applyFont="1" applyFill="1" applyBorder="1" applyAlignment="1">
      <alignment vertical="center"/>
    </xf>
    <xf numFmtId="164" fontId="1" fillId="0" borderId="19" xfId="1" applyNumberFormat="1" applyBorder="1" applyAlignment="1">
      <alignment vertical="center"/>
    </xf>
    <xf numFmtId="0" fontId="2" fillId="5" borderId="24" xfId="0" applyFont="1" applyFill="1" applyBorder="1" applyAlignment="1">
      <alignment horizontal="left"/>
    </xf>
    <xf numFmtId="2" fontId="2" fillId="5" borderId="24" xfId="0" applyNumberFormat="1" applyFont="1" applyFill="1" applyBorder="1" applyAlignment="1">
      <alignment horizontal="right"/>
    </xf>
    <xf numFmtId="2" fontId="0" fillId="0" borderId="0" xfId="0" applyNumberFormat="1"/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0" fontId="47" fillId="0" borderId="0" xfId="0" applyFont="1"/>
    <xf numFmtId="0" fontId="7" fillId="7" borderId="5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44" fontId="20" fillId="0" borderId="0" xfId="0" applyNumberFormat="1" applyFont="1" applyAlignment="1">
      <alignment horizontal="center" wrapText="1"/>
    </xf>
    <xf numFmtId="0" fontId="21" fillId="3" borderId="5" xfId="0" applyFont="1" applyFill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center" vertical="center" wrapText="1"/>
    </xf>
    <xf numFmtId="0" fontId="21" fillId="21" borderId="37" xfId="0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44" fontId="20" fillId="0" borderId="1" xfId="0" applyNumberFormat="1" applyFont="1" applyBorder="1" applyAlignment="1">
      <alignment horizontal="right" vertical="center" wrapText="1"/>
    </xf>
    <xf numFmtId="164" fontId="19" fillId="5" borderId="1" xfId="0" applyNumberFormat="1" applyFont="1" applyFill="1" applyBorder="1" applyAlignment="1">
      <alignment horizontal="right" vertical="center"/>
    </xf>
    <xf numFmtId="44" fontId="14" fillId="5" borderId="0" xfId="0" applyNumberFormat="1" applyFont="1" applyFill="1" applyAlignment="1">
      <alignment horizontal="center" vertical="center"/>
    </xf>
    <xf numFmtId="0" fontId="49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50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vertical="center" wrapText="1"/>
    </xf>
    <xf numFmtId="0" fontId="21" fillId="3" borderId="42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 wrapText="1"/>
    </xf>
    <xf numFmtId="44" fontId="20" fillId="0" borderId="1" xfId="0" applyNumberFormat="1" applyFont="1" applyBorder="1" applyAlignment="1">
      <alignment horizontal="center" wrapText="1"/>
    </xf>
    <xf numFmtId="0" fontId="20" fillId="0" borderId="1" xfId="0" applyFont="1" applyBorder="1" applyAlignment="1">
      <alignment horizontal="center" vertical="center" wrapText="1"/>
    </xf>
    <xf numFmtId="0" fontId="45" fillId="24" borderId="1" xfId="0" applyFont="1" applyFill="1" applyBorder="1" applyAlignment="1">
      <alignment horizontal="center" vertical="center" wrapText="1"/>
    </xf>
    <xf numFmtId="44" fontId="45" fillId="24" borderId="1" xfId="0" applyNumberFormat="1" applyFont="1" applyFill="1" applyBorder="1" applyAlignment="1">
      <alignment horizontal="center" vertical="center" wrapText="1"/>
    </xf>
    <xf numFmtId="0" fontId="51" fillId="0" borderId="1" xfId="0" applyFont="1" applyBorder="1" applyAlignment="1">
      <alignment horizontal="center" wrapText="1"/>
    </xf>
    <xf numFmtId="8" fontId="14" fillId="2" borderId="0" xfId="0" applyNumberFormat="1" applyFont="1" applyFill="1"/>
    <xf numFmtId="0" fontId="14" fillId="2" borderId="0" xfId="0" applyFont="1" applyFill="1" applyAlignment="1">
      <alignment horizontal="center"/>
    </xf>
    <xf numFmtId="0" fontId="14" fillId="0" borderId="0" xfId="0" quotePrefix="1" applyFont="1" applyAlignment="1">
      <alignment horizontal="center"/>
    </xf>
    <xf numFmtId="0" fontId="14" fillId="0" borderId="0" xfId="0" quotePrefix="1" applyFont="1"/>
    <xf numFmtId="0" fontId="0" fillId="0" borderId="0" xfId="0" applyAlignment="1" applyProtection="1">
      <alignment horizontal="right"/>
      <protection locked="0"/>
    </xf>
    <xf numFmtId="0" fontId="0" fillId="0" borderId="1" xfId="0" applyBorder="1" applyAlignment="1">
      <alignment horizontal="left" wrapText="1"/>
    </xf>
    <xf numFmtId="164" fontId="19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>
      <alignment horizontal="right" vertical="center"/>
    </xf>
    <xf numFmtId="164" fontId="19" fillId="5" borderId="42" xfId="0" applyNumberFormat="1" applyFont="1" applyFill="1" applyBorder="1" applyAlignment="1">
      <alignment horizontal="center" vertical="center"/>
    </xf>
    <xf numFmtId="164" fontId="19" fillId="5" borderId="42" xfId="0" applyNumberFormat="1" applyFont="1" applyFill="1" applyBorder="1" applyAlignment="1">
      <alignment horizontal="right" vertical="center"/>
    </xf>
    <xf numFmtId="0" fontId="45" fillId="0" borderId="0" xfId="0" applyFont="1" applyAlignment="1">
      <alignment horizontal="center" vertical="center" wrapText="1"/>
    </xf>
    <xf numFmtId="44" fontId="45" fillId="0" borderId="0" xfId="0" applyNumberFormat="1" applyFont="1" applyAlignment="1">
      <alignment horizontal="center" vertical="center" wrapText="1"/>
    </xf>
    <xf numFmtId="0" fontId="55" fillId="21" borderId="37" xfId="0" applyFont="1" applyFill="1" applyBorder="1" applyAlignment="1">
      <alignment horizontal="center" vertical="center" wrapText="1"/>
    </xf>
    <xf numFmtId="0" fontId="55" fillId="21" borderId="43" xfId="0" applyFont="1" applyFill="1" applyBorder="1" applyAlignment="1">
      <alignment horizontal="center" vertical="center" wrapText="1"/>
    </xf>
    <xf numFmtId="0" fontId="56" fillId="0" borderId="17" xfId="0" applyFont="1" applyBorder="1" applyAlignment="1">
      <alignment horizontal="center" vertical="center"/>
    </xf>
    <xf numFmtId="0" fontId="56" fillId="0" borderId="19" xfId="0" applyFont="1" applyBorder="1" applyAlignment="1">
      <alignment horizontal="center" vertical="center"/>
    </xf>
    <xf numFmtId="0" fontId="58" fillId="0" borderId="0" xfId="0" applyFont="1" applyAlignment="1">
      <alignment horizontal="left" vertical="center"/>
    </xf>
    <xf numFmtId="44" fontId="56" fillId="0" borderId="19" xfId="0" applyNumberFormat="1" applyFont="1" applyBorder="1" applyAlignment="1">
      <alignment horizontal="right" vertical="center"/>
    </xf>
    <xf numFmtId="44" fontId="57" fillId="0" borderId="19" xfId="0" applyNumberFormat="1" applyFont="1" applyBorder="1" applyAlignment="1">
      <alignment horizontal="right" vertical="center"/>
    </xf>
    <xf numFmtId="0" fontId="59" fillId="0" borderId="44" xfId="0" applyFont="1" applyBorder="1" applyAlignment="1">
      <alignment horizontal="center" vertical="center" wrapText="1"/>
    </xf>
    <xf numFmtId="0" fontId="56" fillId="0" borderId="45" xfId="0" applyFont="1" applyBorder="1" applyAlignment="1">
      <alignment horizontal="left" vertical="center" wrapText="1"/>
    </xf>
    <xf numFmtId="0" fontId="57" fillId="0" borderId="45" xfId="0" applyFont="1" applyBorder="1" applyAlignment="1">
      <alignment horizontal="left" vertical="center" wrapText="1"/>
    </xf>
    <xf numFmtId="0" fontId="59" fillId="0" borderId="45" xfId="0" applyFont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/>
    </xf>
    <xf numFmtId="44" fontId="0" fillId="2" borderId="36" xfId="1" applyFont="1" applyFill="1" applyBorder="1"/>
    <xf numFmtId="44" fontId="0" fillId="2" borderId="1" xfId="1" applyFont="1" applyFill="1" applyBorder="1"/>
    <xf numFmtId="0" fontId="60" fillId="19" borderId="1" xfId="0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1" xfId="0" applyFont="1" applyBorder="1" applyAlignment="1">
      <alignment wrapText="1"/>
    </xf>
    <xf numFmtId="164" fontId="1" fillId="2" borderId="18" xfId="1" applyNumberFormat="1" applyFill="1" applyBorder="1" applyAlignment="1">
      <alignment vertical="center"/>
    </xf>
    <xf numFmtId="164" fontId="1" fillId="2" borderId="19" xfId="1" applyNumberFormat="1" applyFill="1" applyBorder="1" applyAlignment="1">
      <alignment vertical="center"/>
    </xf>
    <xf numFmtId="44" fontId="14" fillId="0" borderId="0" xfId="0" applyNumberFormat="1" applyFont="1" applyAlignment="1">
      <alignment vertical="center" wrapText="1"/>
    </xf>
    <xf numFmtId="1" fontId="1" fillId="0" borderId="0" xfId="2" applyNumberFormat="1" applyAlignment="1">
      <alignment horizontal="right"/>
    </xf>
    <xf numFmtId="4" fontId="5" fillId="0" borderId="0" xfId="0" applyNumberFormat="1" applyFont="1" applyAlignment="1">
      <alignment horizontal="right" vertical="center"/>
    </xf>
    <xf numFmtId="44" fontId="0" fillId="0" borderId="4" xfId="0" applyNumberFormat="1" applyBorder="1" applyAlignment="1">
      <alignment horizontal="center" vertical="center"/>
    </xf>
    <xf numFmtId="44" fontId="14" fillId="0" borderId="0" xfId="1" applyFont="1"/>
    <xf numFmtId="0" fontId="12" fillId="3" borderId="0" xfId="0" applyFont="1" applyFill="1" applyAlignment="1">
      <alignment horizontal="center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Protection="1">
      <protection locked="0"/>
    </xf>
    <xf numFmtId="0" fontId="13" fillId="7" borderId="20" xfId="0" applyFont="1" applyFill="1" applyBorder="1" applyAlignment="1">
      <alignment horizontal="center"/>
    </xf>
    <xf numFmtId="0" fontId="0" fillId="0" borderId="18" xfId="0" applyBorder="1"/>
    <xf numFmtId="0" fontId="8" fillId="4" borderId="4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/>
    <xf numFmtId="0" fontId="14" fillId="0" borderId="3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2" fillId="3" borderId="34" xfId="0" applyFont="1" applyFill="1" applyBorder="1" applyAlignment="1">
      <alignment horizontal="center" vertical="center" wrapText="1"/>
    </xf>
    <xf numFmtId="0" fontId="52" fillId="3" borderId="35" xfId="0" applyFont="1" applyFill="1" applyBorder="1" applyAlignment="1">
      <alignment horizontal="center" vertical="center" wrapText="1"/>
    </xf>
    <xf numFmtId="0" fontId="53" fillId="3" borderId="10" xfId="0" applyFont="1" applyFill="1" applyBorder="1" applyAlignment="1">
      <alignment horizontal="center" vertical="center" wrapText="1"/>
    </xf>
    <xf numFmtId="0" fontId="53" fillId="3" borderId="6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right" vertical="center" readingOrder="1"/>
    </xf>
    <xf numFmtId="44" fontId="0" fillId="0" borderId="4" xfId="0" applyNumberFormat="1" applyBorder="1" applyAlignment="1">
      <alignment horizontal="center" vertical="center"/>
    </xf>
    <xf numFmtId="0" fontId="43" fillId="20" borderId="1" xfId="0" applyFont="1" applyFill="1" applyBorder="1" applyAlignment="1">
      <alignment horizontal="center" vertical="center" wrapText="1"/>
    </xf>
    <xf numFmtId="0" fontId="0" fillId="0" borderId="38" xfId="0" applyBorder="1"/>
    <xf numFmtId="0" fontId="0" fillId="0" borderId="32" xfId="0" applyBorder="1"/>
    <xf numFmtId="0" fontId="7" fillId="3" borderId="24" xfId="0" applyFont="1" applyFill="1" applyBorder="1" applyAlignment="1">
      <alignment horizontal="center" vertical="center"/>
    </xf>
    <xf numFmtId="0" fontId="0" fillId="0" borderId="26" xfId="0" applyBorder="1"/>
    <xf numFmtId="0" fontId="3" fillId="0" borderId="4" xfId="0" applyFont="1" applyBorder="1" applyAlignment="1">
      <alignment horizontal="left" vertical="top" readingOrder="1"/>
    </xf>
    <xf numFmtId="0" fontId="0" fillId="0" borderId="4" xfId="0" applyBorder="1"/>
    <xf numFmtId="0" fontId="40" fillId="19" borderId="1" xfId="1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readingOrder="1"/>
    </xf>
    <xf numFmtId="0" fontId="43" fillId="19" borderId="1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4" xfId="0" applyBorder="1" applyAlignment="1">
      <alignment horizontal="left" vertical="center" wrapText="1"/>
    </xf>
    <xf numFmtId="0" fontId="2" fillId="0" borderId="37" xfId="0" applyFont="1" applyBorder="1" applyAlignment="1">
      <alignment horizontal="center"/>
    </xf>
    <xf numFmtId="0" fontId="0" fillId="0" borderId="17" xfId="0" applyBorder="1"/>
    <xf numFmtId="0" fontId="0" fillId="0" borderId="4" xfId="0" applyBorder="1" applyAlignment="1">
      <alignment horizontal="center" vertical="center" wrapText="1"/>
    </xf>
    <xf numFmtId="1" fontId="40" fillId="19" borderId="1" xfId="1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18" borderId="0" xfId="1" applyNumberFormat="1" applyFont="1" applyFill="1" applyAlignment="1">
      <alignment horizontal="center"/>
    </xf>
    <xf numFmtId="0" fontId="3" fillId="0" borderId="0" xfId="0" applyFont="1" applyAlignment="1">
      <alignment horizontal="center" vertical="top" readingOrder="1"/>
    </xf>
    <xf numFmtId="0" fontId="0" fillId="5" borderId="39" xfId="0" applyFill="1" applyBorder="1" applyAlignment="1">
      <alignment horizontal="center" wrapText="1"/>
    </xf>
    <xf numFmtId="0" fontId="0" fillId="0" borderId="29" xfId="0" applyBorder="1"/>
    <xf numFmtId="0" fontId="0" fillId="0" borderId="30" xfId="0" applyBorder="1"/>
    <xf numFmtId="0" fontId="28" fillId="0" borderId="13" xfId="0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61" fillId="0" borderId="0" xfId="0" applyFont="1"/>
    <xf numFmtId="0" fontId="0" fillId="0" borderId="4" xfId="0" applyBorder="1" applyAlignment="1">
      <alignment vertical="center" wrapText="1"/>
    </xf>
    <xf numFmtId="44" fontId="0" fillId="0" borderId="0" xfId="0" applyNumberFormat="1" applyBorder="1" applyAlignment="1">
      <alignment horizontal="center" vertical="center"/>
    </xf>
    <xf numFmtId="164" fontId="2" fillId="5" borderId="0" xfId="0" applyNumberFormat="1" applyFont="1" applyFill="1" applyBorder="1" applyAlignment="1">
      <alignment wrapText="1"/>
    </xf>
    <xf numFmtId="9" fontId="1" fillId="0" borderId="0" xfId="2"/>
  </cellXfs>
  <cellStyles count="52">
    <cellStyle name="0,0_x000a__x000a_NA_x000a__x000a_" xfId="12" xr:uid="{00000000-0005-0000-0000-00000C000000}"/>
    <cellStyle name="0,0_x000d__x000a_NA_x000d__x000a_" xfId="13" xr:uid="{00000000-0005-0000-0000-00000D000000}"/>
    <cellStyle name="1R" xfId="14" xr:uid="{00000000-0005-0000-0000-00000E000000}"/>
    <cellStyle name="2R" xfId="15" xr:uid="{00000000-0005-0000-0000-00000F000000}"/>
    <cellStyle name="Coma 2" xfId="3" xr:uid="{00000000-0005-0000-0000-000003000000}"/>
    <cellStyle name="Diseño" xfId="16" xr:uid="{00000000-0005-0000-0000-000010000000}"/>
    <cellStyle name="Estilo 1" xfId="11" xr:uid="{00000000-0005-0000-0000-00000B000000}"/>
    <cellStyle name="Euro" xfId="17" xr:uid="{00000000-0005-0000-0000-000011000000}"/>
    <cellStyle name="Grey" xfId="18" xr:uid="{00000000-0005-0000-0000-000012000000}"/>
    <cellStyle name="Header1" xfId="19" xr:uid="{00000000-0005-0000-0000-000013000000}"/>
    <cellStyle name="Header2" xfId="20" xr:uid="{00000000-0005-0000-0000-000014000000}"/>
    <cellStyle name="Hyperlink" xfId="21" xr:uid="{00000000-0005-0000-0000-000015000000}"/>
    <cellStyle name="Hyperlink seguido" xfId="22" xr:uid="{00000000-0005-0000-0000-000016000000}"/>
    <cellStyle name="Input [yellow]" xfId="23" xr:uid="{00000000-0005-0000-0000-000017000000}"/>
    <cellStyle name="Input 0" xfId="24" xr:uid="{00000000-0005-0000-0000-000018000000}"/>
    <cellStyle name="Jun" xfId="25" xr:uid="{00000000-0005-0000-0000-000019000000}"/>
    <cellStyle name="Millares 2" xfId="4" xr:uid="{00000000-0005-0000-0000-000004000000}"/>
    <cellStyle name="Moneda" xfId="1" builtinId="4"/>
    <cellStyle name="Moneda 2" xfId="5" xr:uid="{00000000-0005-0000-0000-000005000000}"/>
    <cellStyle name="Moneda 3" xfId="37" xr:uid="{00000000-0005-0000-0000-000025000000}"/>
    <cellStyle name="Normal" xfId="0" builtinId="0"/>
    <cellStyle name="Normal - Style1" xfId="26" xr:uid="{00000000-0005-0000-0000-00001A000000}"/>
    <cellStyle name="Normal 10" xfId="46" xr:uid="{00000000-0005-0000-0000-00002E000000}"/>
    <cellStyle name="Normal 11" xfId="41" xr:uid="{00000000-0005-0000-0000-000029000000}"/>
    <cellStyle name="Normal 12" xfId="45" xr:uid="{00000000-0005-0000-0000-00002D000000}"/>
    <cellStyle name="Normal 13" xfId="42" xr:uid="{00000000-0005-0000-0000-00002A000000}"/>
    <cellStyle name="Normal 14" xfId="44" xr:uid="{00000000-0005-0000-0000-00002C000000}"/>
    <cellStyle name="Normal 15" xfId="43" xr:uid="{00000000-0005-0000-0000-00002B000000}"/>
    <cellStyle name="Normal 16" xfId="48" xr:uid="{00000000-0005-0000-0000-000030000000}"/>
    <cellStyle name="Normal 17" xfId="50" xr:uid="{00000000-0005-0000-0000-000032000000}"/>
    <cellStyle name="Normal 18" xfId="49" xr:uid="{00000000-0005-0000-0000-000031000000}"/>
    <cellStyle name="Normal 19" xfId="51" xr:uid="{00000000-0005-0000-0000-000033000000}"/>
    <cellStyle name="Normal 2" xfId="6" xr:uid="{00000000-0005-0000-0000-000006000000}"/>
    <cellStyle name="Normal 3" xfId="7" xr:uid="{00000000-0005-0000-0000-000007000000}"/>
    <cellStyle name="Normal 4" xfId="8" xr:uid="{00000000-0005-0000-0000-000008000000}"/>
    <cellStyle name="Normal 5" xfId="9" xr:uid="{00000000-0005-0000-0000-000009000000}"/>
    <cellStyle name="Normal 6" xfId="10" xr:uid="{00000000-0005-0000-0000-00000A000000}"/>
    <cellStyle name="Normal 7" xfId="39" xr:uid="{00000000-0005-0000-0000-000027000000}"/>
    <cellStyle name="Normal 8" xfId="47" xr:uid="{00000000-0005-0000-0000-00002F000000}"/>
    <cellStyle name="Normal 9" xfId="40" xr:uid="{00000000-0005-0000-0000-000028000000}"/>
    <cellStyle name="Option" xfId="27" xr:uid="{00000000-0005-0000-0000-00001B000000}"/>
    <cellStyle name="PATXI" xfId="28" xr:uid="{00000000-0005-0000-0000-00001C000000}"/>
    <cellStyle name="Percent [2]" xfId="29" xr:uid="{00000000-0005-0000-0000-00001D000000}"/>
    <cellStyle name="Percentatge" xfId="2" builtinId="5"/>
    <cellStyle name="Percentatge 2" xfId="38" xr:uid="{00000000-0005-0000-0000-000026000000}"/>
    <cellStyle name="PSChar" xfId="30" xr:uid="{00000000-0005-0000-0000-00001E000000}"/>
    <cellStyle name="PSDate" xfId="31" xr:uid="{00000000-0005-0000-0000-00001F000000}"/>
    <cellStyle name="PSDec" xfId="32" xr:uid="{00000000-0005-0000-0000-000020000000}"/>
    <cellStyle name="PSHeading" xfId="33" xr:uid="{00000000-0005-0000-0000-000021000000}"/>
    <cellStyle name="PSInt" xfId="34" xr:uid="{00000000-0005-0000-0000-000022000000}"/>
    <cellStyle name="PSSpacer" xfId="35" xr:uid="{00000000-0005-0000-0000-000023000000}"/>
    <cellStyle name="Unit" xfId="36" xr:uid="{00000000-0005-0000-0000-00002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ull1"/>
  <dimension ref="A1:X35"/>
  <sheetViews>
    <sheetView tabSelected="1" topLeftCell="A3" zoomScale="77" zoomScaleNormal="80" workbookViewId="0">
      <selection activeCell="H17" sqref="H17"/>
    </sheetView>
  </sheetViews>
  <sheetFormatPr defaultColWidth="11.453125" defaultRowHeight="14.5"/>
  <cols>
    <col min="1" max="1" width="19.1796875" style="13" bestFit="1" customWidth="1"/>
    <col min="2" max="2" width="21.81640625" style="15" bestFit="1" customWidth="1"/>
    <col min="3" max="3" width="32.1796875" style="14" bestFit="1" customWidth="1"/>
    <col min="4" max="4" width="24.453125" style="15" customWidth="1"/>
    <col min="5" max="5" width="14.26953125" style="15" customWidth="1"/>
    <col min="6" max="6" width="17.453125" style="14" customWidth="1"/>
    <col min="7" max="7" width="17.81640625" style="14" customWidth="1"/>
    <col min="8" max="8" width="16.453125" style="13" customWidth="1"/>
    <col min="9" max="9" width="18.453125" style="13" bestFit="1" customWidth="1"/>
    <col min="10" max="10" width="18.453125" style="13" customWidth="1"/>
    <col min="11" max="11" width="13.36328125" style="13" customWidth="1"/>
    <col min="12" max="12" width="12.81640625" style="13" customWidth="1"/>
    <col min="13" max="13" width="13.453125" style="13" bestFit="1" customWidth="1"/>
    <col min="14" max="14" width="20" style="13" customWidth="1"/>
    <col min="15" max="15" width="18.453125" style="13" bestFit="1" customWidth="1"/>
    <col min="16" max="17" width="15.453125" style="13" customWidth="1"/>
    <col min="18" max="18" width="14" style="13" customWidth="1"/>
    <col min="19" max="19" width="15" style="13" customWidth="1"/>
    <col min="20" max="21" width="14.453125" style="13" customWidth="1"/>
    <col min="22" max="23" width="17.81640625" style="13" bestFit="1" customWidth="1"/>
    <col min="24" max="24" width="14.453125" style="13" customWidth="1"/>
    <col min="25" max="25" width="11.453125" style="13" bestFit="1" customWidth="1"/>
    <col min="26" max="26" width="18.453125" style="13" bestFit="1" customWidth="1"/>
    <col min="27" max="27" width="17.453125" style="13" customWidth="1"/>
    <col min="28" max="28" width="14" style="13" customWidth="1"/>
    <col min="29" max="30" width="11.453125" style="13" customWidth="1"/>
    <col min="31" max="31" width="12.453125" style="13" bestFit="1" customWidth="1"/>
    <col min="32" max="35" width="11.453125" style="13" customWidth="1"/>
    <col min="36" max="16384" width="11.453125" style="13"/>
  </cols>
  <sheetData>
    <row r="1" spans="1:24">
      <c r="C1" s="166"/>
      <c r="D1" s="167"/>
      <c r="E1" s="167"/>
      <c r="F1" s="168" t="s">
        <v>16</v>
      </c>
      <c r="G1" s="168" t="s">
        <v>17</v>
      </c>
      <c r="H1" s="168" t="s">
        <v>219</v>
      </c>
      <c r="I1" s="169" t="s">
        <v>18</v>
      </c>
      <c r="J1" s="170" t="s">
        <v>19</v>
      </c>
      <c r="K1" s="186" t="s">
        <v>118</v>
      </c>
    </row>
    <row r="2" spans="1:24" ht="31.5" customHeight="1" thickBot="1">
      <c r="A2" s="44" t="s">
        <v>20</v>
      </c>
      <c r="B2" s="45"/>
      <c r="C2" s="250" t="s">
        <v>21</v>
      </c>
      <c r="D2" s="251"/>
      <c r="E2" s="251"/>
      <c r="F2" s="177">
        <f>F14</f>
        <v>652122.58000000007</v>
      </c>
      <c r="G2" s="177">
        <f>G14</f>
        <v>1024367.5800000001</v>
      </c>
      <c r="H2" s="177">
        <f>H14</f>
        <v>341191.77999999997</v>
      </c>
      <c r="I2" s="240">
        <f>I14</f>
        <v>2017681.9400000002</v>
      </c>
      <c r="J2" s="241">
        <f>J14</f>
        <v>1667505.7400000002</v>
      </c>
      <c r="K2" s="178">
        <f>I2-J2</f>
        <v>350176.19999999995</v>
      </c>
      <c r="L2" s="34"/>
      <c r="N2" s="174">
        <f>J2*1.21</f>
        <v>2017681.9454000003</v>
      </c>
    </row>
    <row r="3" spans="1:24">
      <c r="A3" s="42" t="s">
        <v>22</v>
      </c>
      <c r="B3" s="43">
        <v>46508</v>
      </c>
      <c r="C3" s="37"/>
      <c r="D3" s="16"/>
      <c r="E3" s="16"/>
      <c r="G3" s="37">
        <f>B3</f>
        <v>46508</v>
      </c>
      <c r="H3" s="37" t="s">
        <v>23</v>
      </c>
    </row>
    <row r="4" spans="1:24" ht="16" customHeight="1">
      <c r="A4" s="1" t="s">
        <v>24</v>
      </c>
      <c r="B4" s="43">
        <v>46508</v>
      </c>
      <c r="C4" s="37"/>
      <c r="D4" s="16"/>
      <c r="E4" s="16"/>
      <c r="G4" s="37">
        <f>+B5</f>
        <v>47238</v>
      </c>
      <c r="H4" s="43" t="s">
        <v>25</v>
      </c>
      <c r="K4" s="37"/>
    </row>
    <row r="5" spans="1:24">
      <c r="A5" s="42" t="s">
        <v>26</v>
      </c>
      <c r="B5" s="43">
        <v>47238</v>
      </c>
      <c r="C5" s="37"/>
      <c r="D5" s="16"/>
      <c r="E5" s="16"/>
      <c r="G5" s="13">
        <f>G4-G3+1</f>
        <v>731</v>
      </c>
      <c r="H5" s="13" t="s">
        <v>27</v>
      </c>
      <c r="M5" s="33"/>
      <c r="O5" s="135" t="s">
        <v>212</v>
      </c>
      <c r="P5" s="135"/>
      <c r="Q5" s="135"/>
      <c r="R5" s="135"/>
      <c r="S5" s="135"/>
      <c r="T5" s="135"/>
      <c r="U5" s="135"/>
      <c r="V5" s="135"/>
    </row>
    <row r="6" spans="1:24" ht="30" customHeight="1">
      <c r="A6" s="42"/>
      <c r="B6" s="41"/>
      <c r="C6" s="147" t="s">
        <v>28</v>
      </c>
      <c r="D6" s="135"/>
      <c r="E6" s="135" t="s">
        <v>29</v>
      </c>
      <c r="F6" s="135" t="s">
        <v>30</v>
      </c>
      <c r="G6" s="135" t="s">
        <v>31</v>
      </c>
      <c r="H6" s="135" t="s">
        <v>201</v>
      </c>
      <c r="I6" s="40" t="s">
        <v>32</v>
      </c>
      <c r="J6" s="40" t="s">
        <v>33</v>
      </c>
      <c r="K6" s="135" t="s">
        <v>34</v>
      </c>
      <c r="L6" s="135" t="s">
        <v>35</v>
      </c>
      <c r="M6" s="135" t="s">
        <v>200</v>
      </c>
      <c r="O6" s="135" t="s">
        <v>201</v>
      </c>
      <c r="P6" s="135" t="s">
        <v>215</v>
      </c>
      <c r="Q6" s="135" t="s">
        <v>216</v>
      </c>
      <c r="R6" s="40" t="s">
        <v>32</v>
      </c>
      <c r="S6" s="40" t="s">
        <v>33</v>
      </c>
      <c r="T6" s="135" t="s">
        <v>200</v>
      </c>
      <c r="U6" s="135" t="s">
        <v>213</v>
      </c>
      <c r="V6" s="135" t="s">
        <v>214</v>
      </c>
    </row>
    <row r="7" spans="1:24" ht="16" customHeight="1">
      <c r="A7" s="39"/>
      <c r="B7" s="39"/>
      <c r="C7" s="249" t="s">
        <v>36</v>
      </c>
      <c r="D7" s="249"/>
      <c r="E7" s="136" t="s">
        <v>37</v>
      </c>
      <c r="F7" s="36">
        <f>Infraestructura!G9</f>
        <v>274528.33</v>
      </c>
      <c r="G7" s="36">
        <f>Infraestructura!I9</f>
        <v>458174.27</v>
      </c>
      <c r="H7" s="36">
        <f>Infraestructura!K9</f>
        <v>152724.75999999998</v>
      </c>
      <c r="I7" s="36">
        <f>SUM(F7:H7)</f>
        <v>885427.3600000001</v>
      </c>
      <c r="J7" s="36">
        <f t="shared" ref="J7:J13" si="0">+ROUND(I7/1.21,2)</f>
        <v>731758.15</v>
      </c>
      <c r="K7" s="36"/>
      <c r="L7" s="36"/>
      <c r="M7" s="36"/>
      <c r="N7" s="157">
        <f>I7-J7</f>
        <v>153669.21000000008</v>
      </c>
      <c r="O7" s="36">
        <f>P7/12*8</f>
        <v>305449.51333333337</v>
      </c>
      <c r="P7" s="36">
        <f>G7</f>
        <v>458174.27</v>
      </c>
      <c r="Q7" s="36">
        <f>P7/12*4</f>
        <v>152724.75666666668</v>
      </c>
      <c r="R7" s="36">
        <f>SUM(O7:Q7)</f>
        <v>916348.54000000015</v>
      </c>
      <c r="S7" s="36">
        <f t="shared" ref="S7:S13" si="1">+ROUND(R7/1.21,2)</f>
        <v>757312.84</v>
      </c>
      <c r="T7" s="36"/>
      <c r="U7" s="36"/>
      <c r="V7" s="36"/>
      <c r="W7" s="38"/>
    </row>
    <row r="8" spans="1:24" ht="16" customHeight="1">
      <c r="A8" s="39"/>
      <c r="B8" s="39"/>
      <c r="C8" s="249" t="s">
        <v>180</v>
      </c>
      <c r="D8" s="249"/>
      <c r="E8" s="136" t="s">
        <v>37</v>
      </c>
      <c r="F8" s="36">
        <f>ROUND(I22/12*8,2)</f>
        <v>36068.5</v>
      </c>
      <c r="G8" s="36">
        <f>ROUND(I22,2)</f>
        <v>54102.75</v>
      </c>
      <c r="H8" s="36">
        <f>ROUND(I22/12*4,2)</f>
        <v>18034.25</v>
      </c>
      <c r="I8" s="36">
        <f t="shared" ref="I8:I13" si="2">SUM(F8:H8)</f>
        <v>108205.5</v>
      </c>
      <c r="J8" s="36">
        <f t="shared" si="0"/>
        <v>89426.03</v>
      </c>
      <c r="K8" s="36"/>
      <c r="L8" s="36"/>
      <c r="M8" s="36"/>
      <c r="N8" s="162"/>
      <c r="O8" s="36">
        <f t="shared" ref="O8:O12" si="3">P8/12*8</f>
        <v>36068.5</v>
      </c>
      <c r="P8" s="36">
        <f t="shared" ref="P8:P12" si="4">G8</f>
        <v>54102.75</v>
      </c>
      <c r="Q8" s="36">
        <f t="shared" ref="Q8:Q12" si="5">P8/12*4</f>
        <v>18034.25</v>
      </c>
      <c r="R8" s="36">
        <f t="shared" ref="R8:R13" si="6">SUM(O8:Q8)</f>
        <v>108205.5</v>
      </c>
      <c r="S8" s="36">
        <f t="shared" si="1"/>
        <v>89426.03</v>
      </c>
      <c r="T8" s="36"/>
      <c r="U8" s="36"/>
      <c r="V8" s="36"/>
      <c r="W8" s="38"/>
    </row>
    <row r="9" spans="1:24" ht="16" customHeight="1">
      <c r="A9" s="39"/>
      <c r="B9" s="39"/>
      <c r="C9" s="213" t="s">
        <v>38</v>
      </c>
      <c r="D9" s="93"/>
      <c r="E9" s="136" t="s">
        <v>37</v>
      </c>
      <c r="F9" s="36">
        <f>F8*0.25</f>
        <v>9017.125</v>
      </c>
      <c r="G9" s="36">
        <f>G8*0.25</f>
        <v>13525.6875</v>
      </c>
      <c r="H9" s="36">
        <f>H8*0.25</f>
        <v>4508.5625</v>
      </c>
      <c r="I9" s="36">
        <f t="shared" si="2"/>
        <v>27051.375</v>
      </c>
      <c r="J9" s="36">
        <f t="shared" si="0"/>
        <v>22356.51</v>
      </c>
      <c r="K9" s="36"/>
      <c r="L9" s="36"/>
      <c r="M9" s="36"/>
      <c r="O9" s="36">
        <f t="shared" si="3"/>
        <v>9017.125</v>
      </c>
      <c r="P9" s="36">
        <f t="shared" si="4"/>
        <v>13525.6875</v>
      </c>
      <c r="Q9" s="36">
        <f t="shared" si="5"/>
        <v>4508.5625</v>
      </c>
      <c r="R9" s="36">
        <f t="shared" si="6"/>
        <v>27051.375</v>
      </c>
      <c r="S9" s="36">
        <f t="shared" si="1"/>
        <v>22356.51</v>
      </c>
      <c r="T9" s="36"/>
      <c r="U9" s="36"/>
      <c r="V9" s="36"/>
      <c r="W9" s="38"/>
      <c r="X9" s="157"/>
    </row>
    <row r="10" spans="1:24" ht="16" customHeight="1">
      <c r="A10" s="39"/>
      <c r="B10" s="39"/>
      <c r="C10" s="213" t="s">
        <v>39</v>
      </c>
      <c r="D10" s="93"/>
      <c r="E10" s="136" t="s">
        <v>37</v>
      </c>
      <c r="F10" s="36">
        <f>F8*0.75</f>
        <v>27051.375</v>
      </c>
      <c r="G10" s="36">
        <f>G8*0.75</f>
        <v>40577.0625</v>
      </c>
      <c r="H10" s="36">
        <f>H8*0.75</f>
        <v>13525.6875</v>
      </c>
      <c r="I10" s="36">
        <f t="shared" si="2"/>
        <v>81154.125</v>
      </c>
      <c r="J10" s="36">
        <f t="shared" si="0"/>
        <v>67069.52</v>
      </c>
      <c r="K10" s="36"/>
      <c r="L10" s="36"/>
      <c r="M10" s="36"/>
      <c r="O10" s="36">
        <f t="shared" si="3"/>
        <v>27051.375</v>
      </c>
      <c r="P10" s="36">
        <f t="shared" si="4"/>
        <v>40577.0625</v>
      </c>
      <c r="Q10" s="36">
        <f t="shared" si="5"/>
        <v>13525.6875</v>
      </c>
      <c r="R10" s="36">
        <f t="shared" si="6"/>
        <v>81154.125</v>
      </c>
      <c r="S10" s="36">
        <f t="shared" si="1"/>
        <v>67069.52</v>
      </c>
      <c r="T10" s="36"/>
      <c r="U10" s="36"/>
      <c r="V10" s="36"/>
      <c r="W10" s="38"/>
      <c r="X10" s="157"/>
    </row>
    <row r="11" spans="1:24" ht="16" customHeight="1">
      <c r="A11" s="39"/>
      <c r="B11" s="39"/>
      <c r="C11" s="249" t="s">
        <v>181</v>
      </c>
      <c r="D11" s="249"/>
      <c r="E11" s="136" t="s">
        <v>41</v>
      </c>
      <c r="F11" s="121">
        <f>ROUND(L22/12*8,2)</f>
        <v>235500</v>
      </c>
      <c r="G11" s="36">
        <f>ROUND(L22,2)</f>
        <v>353250</v>
      </c>
      <c r="H11" s="36">
        <f>ROUND(L22/12*4,2)</f>
        <v>117750</v>
      </c>
      <c r="I11" s="36">
        <f t="shared" si="2"/>
        <v>706500</v>
      </c>
      <c r="J11" s="36">
        <f t="shared" si="0"/>
        <v>583884.30000000005</v>
      </c>
      <c r="K11" s="36"/>
      <c r="L11" s="36"/>
      <c r="M11" s="36"/>
      <c r="N11" s="162"/>
      <c r="O11" s="36">
        <f t="shared" si="3"/>
        <v>235500</v>
      </c>
      <c r="P11" s="36">
        <f t="shared" si="4"/>
        <v>353250</v>
      </c>
      <c r="Q11" s="36">
        <f t="shared" si="5"/>
        <v>117750</v>
      </c>
      <c r="R11" s="36">
        <f t="shared" si="6"/>
        <v>706500</v>
      </c>
      <c r="S11" s="36">
        <f t="shared" si="1"/>
        <v>583884.30000000005</v>
      </c>
      <c r="T11" s="36"/>
      <c r="U11" s="36"/>
      <c r="V11" s="36"/>
      <c r="W11" s="38"/>
      <c r="X11" s="157"/>
    </row>
    <row r="12" spans="1:24" ht="16" customHeight="1">
      <c r="A12" s="39"/>
      <c r="B12" s="39"/>
      <c r="C12" s="249" t="s">
        <v>182</v>
      </c>
      <c r="D12" s="249"/>
      <c r="E12" s="136" t="s">
        <v>37</v>
      </c>
      <c r="F12" s="36">
        <f>ROUND(O22/12*8,2)</f>
        <v>73675.95</v>
      </c>
      <c r="G12" s="36">
        <f>ROUND(O22,2)</f>
        <v>110513.92</v>
      </c>
      <c r="H12" s="36">
        <f>ROUND(O22/12*4,2)</f>
        <v>36837.97</v>
      </c>
      <c r="I12" s="36">
        <f t="shared" si="2"/>
        <v>221027.84</v>
      </c>
      <c r="J12" s="36">
        <f t="shared" si="0"/>
        <v>182667.64</v>
      </c>
      <c r="K12" s="36"/>
      <c r="L12" s="161"/>
      <c r="M12" s="161"/>
      <c r="N12" s="162"/>
      <c r="O12" s="36">
        <f t="shared" si="3"/>
        <v>73675.94666666667</v>
      </c>
      <c r="P12" s="36">
        <f t="shared" si="4"/>
        <v>110513.92</v>
      </c>
      <c r="Q12" s="36">
        <f t="shared" si="5"/>
        <v>36837.973333333335</v>
      </c>
      <c r="R12" s="36">
        <f t="shared" si="6"/>
        <v>221027.84</v>
      </c>
      <c r="S12" s="36">
        <f t="shared" si="1"/>
        <v>182667.64</v>
      </c>
      <c r="T12" s="36"/>
      <c r="U12" s="161"/>
      <c r="V12" s="161"/>
      <c r="W12" s="37"/>
      <c r="X12" s="157"/>
    </row>
    <row r="13" spans="1:24" ht="16" customHeight="1">
      <c r="A13" s="39"/>
      <c r="B13" s="39"/>
      <c r="C13" s="248" t="s">
        <v>183</v>
      </c>
      <c r="D13" s="249"/>
      <c r="E13" s="136" t="s">
        <v>37</v>
      </c>
      <c r="F13" s="36">
        <f>ROUND(Q19*K13,2)</f>
        <v>32349.8</v>
      </c>
      <c r="G13" s="36">
        <f>ROUND(Q19*L13,2)</f>
        <v>48326.64</v>
      </c>
      <c r="H13" s="36">
        <f>ROUND(Q19*M13,2)</f>
        <v>15844.8</v>
      </c>
      <c r="I13" s="36">
        <f t="shared" si="2"/>
        <v>96521.24</v>
      </c>
      <c r="J13" s="36">
        <f t="shared" si="0"/>
        <v>79769.62</v>
      </c>
      <c r="K13" s="173">
        <f>31+30+31+31+30+31+30+31</f>
        <v>245</v>
      </c>
      <c r="L13" s="173">
        <v>366</v>
      </c>
      <c r="M13" s="173">
        <f>31+28+31+30</f>
        <v>120</v>
      </c>
      <c r="N13" s="162"/>
      <c r="O13" s="36">
        <f>Q19*T13</f>
        <v>32349.8</v>
      </c>
      <c r="P13" s="36">
        <f>Q19*U13</f>
        <v>48194.6</v>
      </c>
      <c r="Q13" s="36">
        <f>Q19*V13</f>
        <v>15844.8</v>
      </c>
      <c r="R13" s="36">
        <f t="shared" si="6"/>
        <v>96389.2</v>
      </c>
      <c r="S13" s="36">
        <f t="shared" si="1"/>
        <v>79660.5</v>
      </c>
      <c r="T13" s="173">
        <f>31+30+31+31+30+31+30+31</f>
        <v>245</v>
      </c>
      <c r="U13" s="173">
        <v>365</v>
      </c>
      <c r="V13" s="173">
        <f>31+28+31+30</f>
        <v>120</v>
      </c>
      <c r="W13" s="37"/>
      <c r="X13" s="157"/>
    </row>
    <row r="14" spans="1:24" ht="16" customHeight="1">
      <c r="A14" s="137"/>
      <c r="B14" s="137"/>
      <c r="C14" s="176"/>
      <c r="D14" s="35" t="s">
        <v>43</v>
      </c>
      <c r="E14" s="35"/>
      <c r="F14" s="24">
        <f>F7+F8+F11+F12+F13</f>
        <v>652122.58000000007</v>
      </c>
      <c r="G14" s="172">
        <f>G7+G8+G11+G12+G13</f>
        <v>1024367.5800000001</v>
      </c>
      <c r="H14" s="172">
        <f>H7+H8+H11+H12+H13</f>
        <v>341191.77999999997</v>
      </c>
      <c r="I14" s="24">
        <f>I7+I8+I11+I12+I13</f>
        <v>2017681.9400000002</v>
      </c>
      <c r="J14" s="24">
        <f>J7+J8+J11+J12+J13</f>
        <v>1667505.7400000002</v>
      </c>
      <c r="K14" s="36"/>
      <c r="L14" s="36"/>
      <c r="M14" s="36"/>
      <c r="N14" s="162"/>
      <c r="O14" s="24">
        <f>O7+O8+O11+O12+O13</f>
        <v>683043.76000000013</v>
      </c>
      <c r="P14" s="172">
        <f>P7+P8+P11+P12+P13</f>
        <v>1024235.54</v>
      </c>
      <c r="Q14" s="172">
        <f>Q7+Q8+Q11+Q12+Q13</f>
        <v>341191.78</v>
      </c>
      <c r="R14" s="24">
        <f>R7+R8+R11+R12+R13</f>
        <v>2048471.08</v>
      </c>
      <c r="S14" s="24">
        <f>S7+S8+S11+S12+S13</f>
        <v>1692951.31</v>
      </c>
      <c r="T14" s="36"/>
      <c r="U14" s="36"/>
      <c r="V14" s="36"/>
      <c r="X14" s="157"/>
    </row>
    <row r="15" spans="1:24">
      <c r="B15" s="137"/>
      <c r="C15" s="175"/>
      <c r="D15" s="16"/>
      <c r="E15" s="136" t="s">
        <v>37</v>
      </c>
      <c r="F15" s="34">
        <f t="shared" ref="F15:J15" si="7">F7+F8+F12+F13</f>
        <v>416622.58</v>
      </c>
      <c r="G15" s="34">
        <f t="shared" si="7"/>
        <v>671117.58000000007</v>
      </c>
      <c r="H15" s="34">
        <f t="shared" si="7"/>
        <v>223441.77999999997</v>
      </c>
      <c r="I15" s="34">
        <f t="shared" si="7"/>
        <v>1311181.9400000002</v>
      </c>
      <c r="J15" s="34">
        <f t="shared" si="7"/>
        <v>1083621.44</v>
      </c>
      <c r="M15" s="162"/>
      <c r="N15" s="243" t="s">
        <v>218</v>
      </c>
      <c r="O15" s="34">
        <f>O7+O8+O12+O13</f>
        <v>447543.76</v>
      </c>
      <c r="P15" s="34">
        <f t="shared" ref="P15:S15" si="8">P7+P8+P12+P13</f>
        <v>670985.54</v>
      </c>
      <c r="Q15" s="34">
        <f t="shared" si="8"/>
        <v>223441.78</v>
      </c>
      <c r="R15" s="34">
        <f t="shared" si="8"/>
        <v>1341971.08</v>
      </c>
      <c r="S15" s="34">
        <f t="shared" si="8"/>
        <v>1109067.01</v>
      </c>
    </row>
    <row r="16" spans="1:24" s="1" customFormat="1">
      <c r="A16" s="23"/>
      <c r="B16" s="22"/>
      <c r="C16" s="21"/>
      <c r="D16" s="20"/>
      <c r="E16" s="136" t="s">
        <v>41</v>
      </c>
      <c r="F16" s="18">
        <f t="shared" ref="F16:J16" si="9">F11</f>
        <v>235500</v>
      </c>
      <c r="G16" s="18">
        <f t="shared" si="9"/>
        <v>353250</v>
      </c>
      <c r="H16" s="18">
        <f t="shared" si="9"/>
        <v>117750</v>
      </c>
      <c r="I16" s="18">
        <f t="shared" si="9"/>
        <v>706500</v>
      </c>
      <c r="J16" s="18">
        <f t="shared" si="9"/>
        <v>583884.30000000005</v>
      </c>
      <c r="K16" s="19"/>
      <c r="L16" s="19"/>
      <c r="M16" s="19"/>
      <c r="N16" s="244" t="s">
        <v>217</v>
      </c>
      <c r="O16" s="18">
        <f>O11</f>
        <v>235500</v>
      </c>
      <c r="P16" s="18">
        <f t="shared" ref="P16:S16" si="10">P11</f>
        <v>353250</v>
      </c>
      <c r="Q16" s="18">
        <f t="shared" si="10"/>
        <v>117750</v>
      </c>
      <c r="R16" s="18">
        <f t="shared" si="10"/>
        <v>706500</v>
      </c>
      <c r="S16" s="18">
        <f t="shared" si="10"/>
        <v>583884.30000000005</v>
      </c>
      <c r="T16" s="17"/>
      <c r="U16" s="19"/>
    </row>
    <row r="17" spans="1:23" ht="15.75" customHeight="1">
      <c r="A17" s="247" t="s">
        <v>202</v>
      </c>
      <c r="B17" s="247"/>
      <c r="C17" s="247"/>
      <c r="D17" s="247"/>
      <c r="E17" s="247"/>
      <c r="F17" s="298">
        <f>(F15+F16)/ F16</f>
        <v>2.7690980042462847</v>
      </c>
      <c r="G17" s="298">
        <f t="shared" ref="G17:H17" si="11">(G15+G16)/ G16</f>
        <v>2.8998374522292996</v>
      </c>
      <c r="H17" s="298">
        <f t="shared" si="11"/>
        <v>2.8975947346072184</v>
      </c>
      <c r="V17" s="1"/>
      <c r="W17" s="1"/>
    </row>
    <row r="18" spans="1:23" s="1" customFormat="1" ht="45" customHeight="1">
      <c r="A18" s="30" t="s">
        <v>28</v>
      </c>
      <c r="B18" s="30" t="s">
        <v>44</v>
      </c>
      <c r="C18" s="30" t="s">
        <v>45</v>
      </c>
      <c r="D18" s="30" t="s">
        <v>46</v>
      </c>
      <c r="E18" s="30" t="s">
        <v>47</v>
      </c>
      <c r="F18" s="32" t="s">
        <v>48</v>
      </c>
      <c r="G18" s="32" t="str">
        <f>$C$8</f>
        <v>IT Manteniment recurrent i correctiu</v>
      </c>
      <c r="H18" s="32" t="s">
        <v>49</v>
      </c>
      <c r="I18" s="32" t="s">
        <v>50</v>
      </c>
      <c r="J18" s="32" t="str">
        <f>$C$11</f>
        <v>PT Servei d'evolutius recurrents</v>
      </c>
      <c r="K18" s="32" t="s">
        <v>49</v>
      </c>
      <c r="L18" s="32" t="s">
        <v>50</v>
      </c>
      <c r="M18" s="32" t="str">
        <f>$C$12</f>
        <v>TT Serveis Transversals de manteniment (STM)</v>
      </c>
      <c r="N18" s="32" t="s">
        <v>49</v>
      </c>
      <c r="O18" s="32" t="s">
        <v>50</v>
      </c>
      <c r="P18" s="32" t="str">
        <f>$C$13</f>
        <v>IT Servei 24x7</v>
      </c>
      <c r="Q18" s="32" t="s">
        <v>184</v>
      </c>
      <c r="R18" s="32" t="s">
        <v>50</v>
      </c>
      <c r="S18" s="30"/>
      <c r="T18" s="30" t="s">
        <v>24</v>
      </c>
      <c r="U18" s="13"/>
      <c r="W18" s="31"/>
    </row>
    <row r="19" spans="1:23" s="1" customFormat="1" ht="15.75" customHeight="1" thickBot="1">
      <c r="A19" s="2" t="s">
        <v>51</v>
      </c>
      <c r="B19" s="2" t="s">
        <v>52</v>
      </c>
      <c r="C19" s="2" t="s">
        <v>53</v>
      </c>
      <c r="D19" s="2" t="s">
        <v>52</v>
      </c>
      <c r="E19" s="2">
        <v>1</v>
      </c>
      <c r="F19" s="19">
        <f>+Infraestructura!I9</f>
        <v>458174.27</v>
      </c>
      <c r="G19" s="71">
        <v>775</v>
      </c>
      <c r="H19" s="19">
        <f>+Perfils!G8</f>
        <v>69.81</v>
      </c>
      <c r="I19" s="18">
        <f>ROUND(H19*G19,2)</f>
        <v>54102.75</v>
      </c>
      <c r="J19" s="18"/>
      <c r="K19" s="19"/>
      <c r="L19" s="18"/>
      <c r="M19" s="19"/>
      <c r="N19" s="19"/>
      <c r="O19" s="18"/>
      <c r="P19" s="71">
        <v>365</v>
      </c>
      <c r="Q19" s="19">
        <f>+Perfils!G25</f>
        <v>132.04</v>
      </c>
      <c r="R19" s="18">
        <f>ROUND(Q19*P19,2)</f>
        <v>48194.6</v>
      </c>
      <c r="S19" s="17"/>
      <c r="T19" s="17">
        <f>+$B$4</f>
        <v>46508</v>
      </c>
      <c r="U19" s="13"/>
      <c r="W19" s="31"/>
    </row>
    <row r="20" spans="1:23" s="1" customFormat="1" ht="15.75" customHeight="1" thickBot="1">
      <c r="A20" t="s">
        <v>54</v>
      </c>
      <c r="B20" s="2" t="s">
        <v>55</v>
      </c>
      <c r="C20" s="2" t="s">
        <v>53</v>
      </c>
      <c r="D20" s="2" t="s">
        <v>55</v>
      </c>
      <c r="E20" s="2">
        <v>1</v>
      </c>
      <c r="F20" s="19"/>
      <c r="G20" s="19"/>
      <c r="H20" s="19"/>
      <c r="I20" s="18"/>
      <c r="J20" s="18"/>
      <c r="K20" s="18"/>
      <c r="L20" s="18"/>
      <c r="M20" s="158">
        <f>2000 - 2000 +K28*0.8</f>
        <v>1408</v>
      </c>
      <c r="N20" s="19">
        <f>+Perfils!G19</f>
        <v>78.489999999999995</v>
      </c>
      <c r="O20" s="18">
        <f>ROUND(N20*M20,2)</f>
        <v>110513.92</v>
      </c>
      <c r="P20" s="19"/>
      <c r="Q20" s="19"/>
      <c r="R20" s="18"/>
      <c r="S20" s="17"/>
      <c r="T20" s="17">
        <f>+$B$4</f>
        <v>46508</v>
      </c>
      <c r="U20" s="13"/>
    </row>
    <row r="21" spans="1:23" s="1" customFormat="1" ht="16" customHeight="1">
      <c r="A21" s="2"/>
      <c r="B21" s="115" t="s">
        <v>40</v>
      </c>
      <c r="C21" s="2"/>
      <c r="D21" s="80"/>
      <c r="E21" s="2"/>
      <c r="F21" s="19"/>
      <c r="G21" s="19"/>
      <c r="H21" s="19"/>
      <c r="I21" s="18"/>
      <c r="J21" s="71">
        <f>4500</f>
        <v>4500</v>
      </c>
      <c r="K21" s="155">
        <f>+Perfils!G13</f>
        <v>78.5</v>
      </c>
      <c r="L21" s="18">
        <f>ROUND(K21*J21,2)</f>
        <v>353250</v>
      </c>
      <c r="M21" s="18"/>
      <c r="N21" s="19"/>
      <c r="O21" s="18"/>
      <c r="P21" s="19"/>
      <c r="Q21" s="19"/>
      <c r="R21" s="18"/>
      <c r="S21" s="17"/>
      <c r="T21" s="17">
        <f>+$B$4</f>
        <v>46508</v>
      </c>
      <c r="U21" s="13"/>
    </row>
    <row r="22" spans="1:23" s="1" customFormat="1" ht="15.75" customHeight="1">
      <c r="A22" s="30" t="s">
        <v>56</v>
      </c>
      <c r="B22" s="29"/>
      <c r="C22" s="28"/>
      <c r="D22" s="27"/>
      <c r="E22" s="26"/>
      <c r="F22" s="25">
        <f>SUM(F19:F20)</f>
        <v>458174.27</v>
      </c>
      <c r="G22" s="25">
        <f>SUM(G19:G20)</f>
        <v>775</v>
      </c>
      <c r="H22" s="25"/>
      <c r="I22" s="24">
        <f>SUM(I19:I20)</f>
        <v>54102.75</v>
      </c>
      <c r="J22" s="25">
        <f>SUM(J19:J21)</f>
        <v>4500</v>
      </c>
      <c r="K22" s="25"/>
      <c r="L22" s="24">
        <f>SUM(L19:L21)</f>
        <v>353250</v>
      </c>
      <c r="M22" s="25">
        <f>SUM(M19:M20)</f>
        <v>1408</v>
      </c>
      <c r="N22" s="25"/>
      <c r="O22" s="24">
        <f>SUM(O19:O20)</f>
        <v>110513.92</v>
      </c>
      <c r="P22" s="25">
        <f>SUM(P19:P20)</f>
        <v>365</v>
      </c>
      <c r="Q22" s="25"/>
      <c r="R22" s="24">
        <f>SUM(R19:R20)</f>
        <v>48194.6</v>
      </c>
      <c r="S22" s="25"/>
      <c r="T22" s="25"/>
      <c r="U22" s="13"/>
    </row>
    <row r="23" spans="1:23">
      <c r="M23" s="14"/>
      <c r="P23" s="14"/>
    </row>
    <row r="24" spans="1:23">
      <c r="R24" s="34">
        <f>R22/12</f>
        <v>4016.2166666666667</v>
      </c>
    </row>
    <row r="25" spans="1:23" ht="16" customHeight="1">
      <c r="G25" s="13"/>
      <c r="M25" s="156">
        <f>M20/K28</f>
        <v>0.8</v>
      </c>
      <c r="P25" s="156">
        <f>P19/K28</f>
        <v>0.20738636363636365</v>
      </c>
      <c r="R25" s="34">
        <v>0</v>
      </c>
    </row>
    <row r="28" spans="1:23">
      <c r="K28" s="156">
        <v>1760</v>
      </c>
      <c r="L28" s="156" t="s">
        <v>57</v>
      </c>
    </row>
    <row r="33" spans="2:8" ht="45" customHeight="1"/>
    <row r="34" spans="2:8">
      <c r="B34" s="159"/>
      <c r="C34" s="160"/>
      <c r="D34" s="159"/>
      <c r="E34" s="159"/>
      <c r="F34" s="160"/>
      <c r="G34" s="160"/>
      <c r="H34" s="157"/>
    </row>
    <row r="35" spans="2:8">
      <c r="B35" s="159"/>
      <c r="C35" s="160"/>
      <c r="D35" s="159"/>
      <c r="E35" s="159"/>
      <c r="F35" s="160"/>
      <c r="G35" s="160"/>
      <c r="H35" s="157"/>
    </row>
  </sheetData>
  <mergeCells count="7">
    <mergeCell ref="C13:D13"/>
    <mergeCell ref="C2:E2"/>
    <mergeCell ref="C12:D12"/>
    <mergeCell ref="C7:D7"/>
    <mergeCell ref="C8:D8"/>
    <mergeCell ref="C11:D11"/>
    <mergeCell ref="A17:E17"/>
  </mergeCells>
  <pageMargins left="0.7" right="0.7" top="0.75" bottom="0.75" header="0.3" footer="0.3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5"/>
  <sheetViews>
    <sheetView showGridLines="0" topLeftCell="A27" zoomScale="80" zoomScaleNormal="80" workbookViewId="0">
      <selection activeCell="B37" sqref="B37"/>
    </sheetView>
  </sheetViews>
  <sheetFormatPr defaultColWidth="11.453125" defaultRowHeight="14.5"/>
  <cols>
    <col min="1" max="1" width="16.453125" customWidth="1"/>
    <col min="2" max="2" width="49" customWidth="1"/>
    <col min="3" max="3" width="56.453125" customWidth="1"/>
    <col min="4" max="4" width="17.7265625" customWidth="1"/>
    <col min="5" max="6" width="12.453125" customWidth="1"/>
    <col min="7" max="7" width="17.7265625" customWidth="1"/>
    <col min="9" max="9" width="16" customWidth="1"/>
    <col min="10" max="10" width="30.453125" bestFit="1" customWidth="1"/>
    <col min="12" max="12" width="14.26953125" customWidth="1"/>
  </cols>
  <sheetData>
    <row r="1" spans="1:12" ht="12" customHeight="1">
      <c r="B1" s="3"/>
    </row>
    <row r="2" spans="1:12" ht="30" customHeight="1">
      <c r="B2" s="4" t="s">
        <v>0</v>
      </c>
      <c r="C2" s="4" t="s">
        <v>1</v>
      </c>
      <c r="D2" s="4" t="s">
        <v>2</v>
      </c>
      <c r="E2" s="5" t="s">
        <v>3</v>
      </c>
      <c r="F2" s="5" t="s">
        <v>4</v>
      </c>
      <c r="G2" s="5" t="s">
        <v>5</v>
      </c>
      <c r="H2" s="184"/>
      <c r="I2" s="184"/>
      <c r="J2" s="184"/>
      <c r="K2" s="184"/>
      <c r="L2" s="184"/>
    </row>
    <row r="3" spans="1:12">
      <c r="A3">
        <v>1</v>
      </c>
      <c r="B3" s="252" t="str">
        <f>'Càlcul pressupost '!C8</f>
        <v>IT Manteniment recurrent i correctiu</v>
      </c>
      <c r="C3" s="6" t="s">
        <v>156</v>
      </c>
      <c r="D3" s="7">
        <v>0.01</v>
      </c>
      <c r="E3" s="8">
        <f>+$E$36</f>
        <v>93.22</v>
      </c>
      <c r="F3" s="8">
        <f>+ROUND(E3/1.21,2)</f>
        <v>77.040000000000006</v>
      </c>
      <c r="G3" s="8">
        <f>ROUND(E3*D3,2)</f>
        <v>0.93</v>
      </c>
      <c r="H3" s="10"/>
    </row>
    <row r="4" spans="1:12">
      <c r="A4">
        <v>2</v>
      </c>
      <c r="B4" s="253"/>
      <c r="C4" s="6" t="s">
        <v>6</v>
      </c>
      <c r="D4" s="7">
        <v>0.04</v>
      </c>
      <c r="E4" s="8">
        <f>+$E$36</f>
        <v>93.22</v>
      </c>
      <c r="F4" s="8">
        <f>+ROUND(E4/1.21,2)</f>
        <v>77.040000000000006</v>
      </c>
      <c r="G4" s="8">
        <f>ROUND(E4*D4,2)</f>
        <v>3.73</v>
      </c>
      <c r="H4" s="10"/>
    </row>
    <row r="5" spans="1:12">
      <c r="A5">
        <v>6</v>
      </c>
      <c r="B5" s="253"/>
      <c r="C5" s="2" t="s">
        <v>7</v>
      </c>
      <c r="D5" s="69">
        <v>0.2</v>
      </c>
      <c r="E5" s="8">
        <f>E41</f>
        <v>87.31</v>
      </c>
      <c r="F5" s="8">
        <f>+ROUND(E5/1.21,2)</f>
        <v>72.16</v>
      </c>
      <c r="G5" s="8">
        <f>ROUND(E5*D5,2)</f>
        <v>17.46</v>
      </c>
      <c r="H5" s="10"/>
    </row>
    <row r="6" spans="1:12">
      <c r="A6">
        <v>7</v>
      </c>
      <c r="B6" s="253"/>
      <c r="C6" s="2" t="s">
        <v>10</v>
      </c>
      <c r="D6" s="69">
        <v>0.2</v>
      </c>
      <c r="E6" s="8">
        <f>E41</f>
        <v>87.31</v>
      </c>
      <c r="F6" s="8">
        <f>+ROUND(E6/1.21,2)</f>
        <v>72.16</v>
      </c>
      <c r="G6" s="8">
        <f>ROUND(E6*D6,2)</f>
        <v>17.46</v>
      </c>
      <c r="H6" s="10"/>
    </row>
    <row r="7" spans="1:12">
      <c r="A7">
        <v>5</v>
      </c>
      <c r="B7" s="253"/>
      <c r="C7" s="6" t="s">
        <v>9</v>
      </c>
      <c r="D7" s="7">
        <v>0.55000000000000004</v>
      </c>
      <c r="E7" s="8">
        <f>+$E$39</f>
        <v>54.96</v>
      </c>
      <c r="F7" s="8">
        <f>+ROUND(E7/1.21,2)</f>
        <v>45.42</v>
      </c>
      <c r="G7" s="8">
        <f>ROUND(E7*D7,2)</f>
        <v>30.23</v>
      </c>
      <c r="H7" s="10"/>
    </row>
    <row r="8" spans="1:12">
      <c r="A8" s="145"/>
      <c r="B8" s="254"/>
      <c r="C8" s="129" t="s">
        <v>8</v>
      </c>
      <c r="D8" s="164"/>
      <c r="E8" s="131"/>
      <c r="F8" s="122"/>
      <c r="G8" s="122">
        <f>SUM(G3:G7)</f>
        <v>69.81</v>
      </c>
      <c r="H8" s="10">
        <f>SUM(D3:D7)</f>
        <v>1</v>
      </c>
    </row>
    <row r="9" spans="1:12" ht="15" customHeight="1">
      <c r="A9">
        <v>1</v>
      </c>
      <c r="B9" s="252" t="str">
        <f>'Càlcul pressupost '!C11</f>
        <v>PT Servei d'evolutius recurrents</v>
      </c>
      <c r="C9" s="6" t="s">
        <v>156</v>
      </c>
      <c r="D9" s="7">
        <v>0.01</v>
      </c>
      <c r="E9" s="8">
        <f>$E$36</f>
        <v>93.22</v>
      </c>
      <c r="F9" s="8">
        <f>+ROUND(E9/1.21,2)</f>
        <v>77.040000000000006</v>
      </c>
      <c r="G9" s="8">
        <f>ROUND(E9*D9,2)</f>
        <v>0.93</v>
      </c>
      <c r="H9" s="10"/>
    </row>
    <row r="10" spans="1:12" ht="15" customHeight="1">
      <c r="A10">
        <v>2</v>
      </c>
      <c r="B10" s="253"/>
      <c r="C10" s="6" t="s">
        <v>6</v>
      </c>
      <c r="D10" s="7">
        <v>0.04</v>
      </c>
      <c r="E10" s="8">
        <f>$E$36</f>
        <v>93.22</v>
      </c>
      <c r="F10" s="8">
        <f>+ROUND(E10/1.21,2)</f>
        <v>77.040000000000006</v>
      </c>
      <c r="G10" s="8">
        <f>ROUND(E10*D10,2)</f>
        <v>3.73</v>
      </c>
      <c r="H10" s="10"/>
    </row>
    <row r="11" spans="1:12">
      <c r="A11">
        <v>3</v>
      </c>
      <c r="B11" s="253"/>
      <c r="C11" s="6" t="s">
        <v>194</v>
      </c>
      <c r="D11" s="69">
        <v>0.15</v>
      </c>
      <c r="E11" s="8">
        <f>$E$37</f>
        <v>101.47</v>
      </c>
      <c r="F11" s="8">
        <f>+ROUND(E11/1.21,2)</f>
        <v>83.86</v>
      </c>
      <c r="G11" s="8">
        <f>ROUND(E11*D11,2)</f>
        <v>15.22</v>
      </c>
      <c r="H11" s="10"/>
    </row>
    <row r="12" spans="1:12">
      <c r="A12">
        <v>4</v>
      </c>
      <c r="B12" s="253"/>
      <c r="C12" s="6" t="s">
        <v>195</v>
      </c>
      <c r="D12" s="69">
        <v>0.8</v>
      </c>
      <c r="E12" s="8">
        <f>+$E$38</f>
        <v>73.28</v>
      </c>
      <c r="F12" s="8">
        <f>+ROUND(E12/1.21,2)</f>
        <v>60.56</v>
      </c>
      <c r="G12" s="8">
        <f>ROUND(E12*D12,2)</f>
        <v>58.62</v>
      </c>
      <c r="H12" s="10"/>
    </row>
    <row r="13" spans="1:12">
      <c r="A13" s="145"/>
      <c r="B13" s="254"/>
      <c r="C13" s="129" t="s">
        <v>8</v>
      </c>
      <c r="D13" s="130"/>
      <c r="E13" s="131"/>
      <c r="F13" s="9"/>
      <c r="G13" s="122">
        <f>SUM(G9:G12)</f>
        <v>78.5</v>
      </c>
      <c r="H13" s="10">
        <f>SUM(D9:D12)</f>
        <v>1</v>
      </c>
    </row>
    <row r="14" spans="1:12">
      <c r="A14">
        <v>1</v>
      </c>
      <c r="B14" s="255" t="str">
        <f>'Càlcul pressupost '!C12</f>
        <v>TT Serveis Transversals de manteniment (STM)</v>
      </c>
      <c r="C14" s="6" t="s">
        <v>156</v>
      </c>
      <c r="D14" s="7">
        <v>0.05</v>
      </c>
      <c r="E14" s="8">
        <f>+$E$36</f>
        <v>93.22</v>
      </c>
      <c r="F14" s="8">
        <f>+ROUND(E14/1.21,2)</f>
        <v>77.040000000000006</v>
      </c>
      <c r="G14" s="8">
        <f>ROUND(E14*D14,2)</f>
        <v>4.66</v>
      </c>
      <c r="H14" s="10"/>
    </row>
    <row r="15" spans="1:12">
      <c r="A15">
        <v>2</v>
      </c>
      <c r="B15" s="256"/>
      <c r="C15" s="6" t="s">
        <v>6</v>
      </c>
      <c r="D15" s="7">
        <v>0.1</v>
      </c>
      <c r="E15" s="8">
        <f>+$E$36</f>
        <v>93.22</v>
      </c>
      <c r="F15" s="8">
        <f>+ROUND(E15/1.21,2)</f>
        <v>77.040000000000006</v>
      </c>
      <c r="G15" s="8">
        <f>ROUND(E15*D15,2)</f>
        <v>9.32</v>
      </c>
      <c r="H15" s="10"/>
    </row>
    <row r="16" spans="1:12">
      <c r="A16">
        <v>5</v>
      </c>
      <c r="B16" s="256"/>
      <c r="C16" s="6" t="s">
        <v>9</v>
      </c>
      <c r="D16" s="69">
        <v>0.3</v>
      </c>
      <c r="E16" s="8">
        <f>+$E$39</f>
        <v>54.96</v>
      </c>
      <c r="F16" s="8">
        <f>+ROUND(E16/1.21,2)</f>
        <v>45.42</v>
      </c>
      <c r="G16" s="8">
        <f>ROUND(E16*D16,2)</f>
        <v>16.489999999999998</v>
      </c>
      <c r="H16" s="10"/>
    </row>
    <row r="17" spans="1:13">
      <c r="A17">
        <v>7</v>
      </c>
      <c r="B17" s="256"/>
      <c r="C17" s="2" t="s">
        <v>10</v>
      </c>
      <c r="D17" s="69">
        <v>0.25</v>
      </c>
      <c r="E17" s="8">
        <f>E41</f>
        <v>87.31</v>
      </c>
      <c r="F17" s="8">
        <f>+ROUND(E17/1.21,2)</f>
        <v>72.16</v>
      </c>
      <c r="G17" s="8">
        <f>ROUND(E17*D17,2)</f>
        <v>21.83</v>
      </c>
      <c r="H17" s="10"/>
    </row>
    <row r="18" spans="1:13">
      <c r="A18">
        <v>6</v>
      </c>
      <c r="B18" s="256"/>
      <c r="C18" s="2" t="s">
        <v>7</v>
      </c>
      <c r="D18" s="7">
        <v>0.3</v>
      </c>
      <c r="E18" s="8">
        <f>+$E$40</f>
        <v>87.31</v>
      </c>
      <c r="F18" s="8">
        <f>+ROUND(E18/1.21,2)</f>
        <v>72.16</v>
      </c>
      <c r="G18" s="8">
        <f>ROUND(E18*D18,2)</f>
        <v>26.19</v>
      </c>
      <c r="H18" s="10"/>
    </row>
    <row r="19" spans="1:13">
      <c r="A19" s="145"/>
      <c r="B19" s="257"/>
      <c r="C19" s="129" t="s">
        <v>8</v>
      </c>
      <c r="D19" s="130"/>
      <c r="E19" s="131"/>
      <c r="F19" s="9"/>
      <c r="G19" s="122">
        <f>SUM(G14:G18)</f>
        <v>78.489999999999995</v>
      </c>
      <c r="H19" s="10">
        <f>SUM(D14:D18)</f>
        <v>1</v>
      </c>
    </row>
    <row r="20" spans="1:13">
      <c r="A20">
        <v>1</v>
      </c>
      <c r="B20" s="255" t="str">
        <f>'Càlcul pressupost '!C13</f>
        <v>IT Servei 24x7</v>
      </c>
      <c r="C20" s="6" t="s">
        <v>156</v>
      </c>
      <c r="D20" s="7">
        <v>0.01</v>
      </c>
      <c r="E20" s="8">
        <f>$E$36</f>
        <v>93.22</v>
      </c>
      <c r="F20" s="8">
        <f>+ROUND(E20/1.21,2)</f>
        <v>77.040000000000006</v>
      </c>
      <c r="G20" s="8">
        <f>ROUND(E20*D20,2)</f>
        <v>0.93</v>
      </c>
      <c r="H20" s="10"/>
    </row>
    <row r="21" spans="1:13">
      <c r="A21">
        <v>2</v>
      </c>
      <c r="B21" s="256"/>
      <c r="C21" s="6" t="s">
        <v>6</v>
      </c>
      <c r="D21" s="7">
        <v>0.04</v>
      </c>
      <c r="E21" s="8">
        <f>$E$36</f>
        <v>93.22</v>
      </c>
      <c r="F21" s="8">
        <f>+ROUND(E21/1.21,2)</f>
        <v>77.040000000000006</v>
      </c>
      <c r="G21" s="8">
        <f>ROUND(E21*D21,2)</f>
        <v>3.73</v>
      </c>
      <c r="H21" s="10"/>
    </row>
    <row r="22" spans="1:13">
      <c r="A22">
        <v>5</v>
      </c>
      <c r="B22" s="256"/>
      <c r="C22" s="6" t="s">
        <v>9</v>
      </c>
      <c r="D22" s="7">
        <v>2</v>
      </c>
      <c r="E22" s="8">
        <f>+$E$39</f>
        <v>54.96</v>
      </c>
      <c r="F22" s="8">
        <f>+ROUND(E22/1.21,2)</f>
        <v>45.42</v>
      </c>
      <c r="G22" s="8">
        <f>ROUND(E22*D22,2)</f>
        <v>109.92</v>
      </c>
      <c r="H22" s="10"/>
    </row>
    <row r="23" spans="1:13">
      <c r="A23">
        <v>7</v>
      </c>
      <c r="B23" s="256"/>
      <c r="C23" s="2" t="s">
        <v>10</v>
      </c>
      <c r="D23" s="7">
        <v>0.1</v>
      </c>
      <c r="E23" s="8">
        <f>E41</f>
        <v>87.31</v>
      </c>
      <c r="F23" s="8">
        <f>+ROUND(E23/1.21,2)</f>
        <v>72.16</v>
      </c>
      <c r="G23" s="8">
        <f>ROUND(E23*D23,2)</f>
        <v>8.73</v>
      </c>
      <c r="H23" s="10"/>
    </row>
    <row r="24" spans="1:13">
      <c r="A24">
        <v>6</v>
      </c>
      <c r="B24" s="256"/>
      <c r="C24" s="2" t="s">
        <v>7</v>
      </c>
      <c r="D24" s="7">
        <v>0.1</v>
      </c>
      <c r="E24" s="8">
        <f>+$E$40</f>
        <v>87.31</v>
      </c>
      <c r="F24" s="8">
        <f>+ROUND(E24/1.21,2)</f>
        <v>72.16</v>
      </c>
      <c r="G24" s="8">
        <f>ROUND(E24*D24,2)</f>
        <v>8.73</v>
      </c>
      <c r="H24" s="10"/>
    </row>
    <row r="25" spans="1:13" ht="15.75" customHeight="1">
      <c r="A25" s="145"/>
      <c r="B25" s="257"/>
      <c r="C25" s="129" t="s">
        <v>8</v>
      </c>
      <c r="D25" s="130"/>
      <c r="E25" s="131" t="s">
        <v>11</v>
      </c>
      <c r="F25" s="179" t="s">
        <v>11</v>
      </c>
      <c r="G25" s="180">
        <f>SUM(G20:G24)</f>
        <v>132.04</v>
      </c>
      <c r="H25" s="10"/>
      <c r="L25" s="185"/>
      <c r="M25" s="185"/>
    </row>
    <row r="26" spans="1:13">
      <c r="B26" s="258"/>
      <c r="C26" s="171"/>
      <c r="D26" s="10"/>
      <c r="E26" s="181"/>
      <c r="F26" s="181"/>
      <c r="G26" s="181"/>
      <c r="H26" s="10"/>
    </row>
    <row r="27" spans="1:13">
      <c r="B27" s="259"/>
      <c r="C27" s="171"/>
      <c r="D27" s="10"/>
      <c r="E27" s="181"/>
      <c r="F27" s="181"/>
      <c r="G27" s="181"/>
      <c r="H27" s="10"/>
    </row>
    <row r="28" spans="1:13">
      <c r="B28" s="259"/>
      <c r="D28" s="10"/>
      <c r="E28" s="181"/>
      <c r="F28" s="181"/>
      <c r="G28" s="181"/>
      <c r="H28" s="10"/>
    </row>
    <row r="29" spans="1:13">
      <c r="B29" s="259"/>
      <c r="C29" s="171"/>
      <c r="D29" s="10"/>
      <c r="E29" s="181"/>
      <c r="F29" s="181"/>
      <c r="G29" s="181"/>
      <c r="H29" s="10"/>
    </row>
    <row r="30" spans="1:13" ht="15" customHeight="1">
      <c r="A30" s="145"/>
      <c r="B30" s="259"/>
      <c r="C30" s="1"/>
      <c r="D30" s="1"/>
      <c r="E30" s="1"/>
      <c r="F30" s="182"/>
      <c r="G30" s="183"/>
    </row>
    <row r="31" spans="1:13">
      <c r="C31" s="171"/>
    </row>
    <row r="33" spans="1:11" ht="15.75" customHeight="1" thickBot="1">
      <c r="E33" s="70"/>
      <c r="F33" s="12"/>
    </row>
    <row r="34" spans="1:11" ht="30" customHeight="1" thickBot="1">
      <c r="B34" s="11" t="s">
        <v>12</v>
      </c>
      <c r="C34" s="11" t="s">
        <v>176</v>
      </c>
      <c r="D34" s="11" t="s">
        <v>177</v>
      </c>
      <c r="E34" s="11" t="s">
        <v>13</v>
      </c>
      <c r="F34" s="11" t="s">
        <v>14</v>
      </c>
      <c r="G34" s="228" t="s">
        <v>1</v>
      </c>
      <c r="I34" s="82"/>
    </row>
    <row r="35" spans="1:11" ht="16.5" thickBot="1">
      <c r="A35">
        <v>1</v>
      </c>
      <c r="B35" s="6" t="s">
        <v>156</v>
      </c>
      <c r="C35" s="2" t="s">
        <v>173</v>
      </c>
      <c r="D35" s="214" t="s">
        <v>178</v>
      </c>
      <c r="E35" s="187">
        <f>ROUND(F35*1.21,2)</f>
        <v>93.22</v>
      </c>
      <c r="F35" s="165">
        <v>77.040000000000006</v>
      </c>
      <c r="G35" s="231"/>
    </row>
    <row r="36" spans="1:11" ht="65.5" thickBot="1">
      <c r="A36">
        <v>2</v>
      </c>
      <c r="B36" s="6" t="s">
        <v>6</v>
      </c>
      <c r="C36" s="2" t="s">
        <v>173</v>
      </c>
      <c r="D36" s="214" t="s">
        <v>178</v>
      </c>
      <c r="E36" s="187">
        <f t="shared" ref="E36:E41" si="0">ROUND(F36*1.21,2)</f>
        <v>93.22</v>
      </c>
      <c r="F36" s="165">
        <v>77.040000000000006</v>
      </c>
      <c r="G36" s="229" t="s">
        <v>193</v>
      </c>
    </row>
    <row r="37" spans="1:11" ht="52.5" thickBot="1">
      <c r="A37">
        <v>3</v>
      </c>
      <c r="B37" s="6" t="s">
        <v>194</v>
      </c>
      <c r="C37" s="2" t="s">
        <v>174</v>
      </c>
      <c r="D37" s="214" t="s">
        <v>178</v>
      </c>
      <c r="E37" s="187">
        <f t="shared" si="0"/>
        <v>101.47</v>
      </c>
      <c r="F37" s="165">
        <v>83.86</v>
      </c>
      <c r="G37" s="230" t="s">
        <v>188</v>
      </c>
    </row>
    <row r="38" spans="1:11" ht="39.5" thickBot="1">
      <c r="A38">
        <v>4</v>
      </c>
      <c r="B38" s="6" t="s">
        <v>197</v>
      </c>
      <c r="C38" s="2" t="s">
        <v>175</v>
      </c>
      <c r="D38" s="214" t="s">
        <v>187</v>
      </c>
      <c r="E38" s="187">
        <f t="shared" si="0"/>
        <v>73.28</v>
      </c>
      <c r="F38" s="165">
        <v>60.56</v>
      </c>
      <c r="G38" s="230" t="s">
        <v>191</v>
      </c>
      <c r="I38" s="171"/>
    </row>
    <row r="39" spans="1:11" ht="39.5" thickBot="1">
      <c r="A39">
        <v>5</v>
      </c>
      <c r="B39" s="6" t="s">
        <v>9</v>
      </c>
      <c r="C39" t="s">
        <v>175</v>
      </c>
      <c r="D39" s="214" t="s">
        <v>179</v>
      </c>
      <c r="E39" s="187">
        <f t="shared" si="0"/>
        <v>54.96</v>
      </c>
      <c r="F39" s="165">
        <v>45.42</v>
      </c>
      <c r="G39" s="230" t="s">
        <v>190</v>
      </c>
      <c r="I39" s="171"/>
    </row>
    <row r="40" spans="1:11" ht="52.5" thickBot="1">
      <c r="A40">
        <v>6</v>
      </c>
      <c r="B40" s="2" t="s">
        <v>15</v>
      </c>
      <c r="C40" s="2" t="s">
        <v>175</v>
      </c>
      <c r="D40" s="214" t="s">
        <v>178</v>
      </c>
      <c r="E40" s="187">
        <f t="shared" si="0"/>
        <v>87.31</v>
      </c>
      <c r="F40" s="165">
        <v>72.16</v>
      </c>
      <c r="G40" s="230" t="s">
        <v>189</v>
      </c>
    </row>
    <row r="41" spans="1:11" ht="78.5" thickBot="1">
      <c r="A41">
        <v>7</v>
      </c>
      <c r="B41" s="2" t="s">
        <v>10</v>
      </c>
      <c r="C41" s="2" t="s">
        <v>175</v>
      </c>
      <c r="D41" s="214" t="s">
        <v>178</v>
      </c>
      <c r="E41" s="187">
        <f t="shared" si="0"/>
        <v>87.31</v>
      </c>
      <c r="F41" s="165">
        <v>72.16</v>
      </c>
      <c r="G41" s="230" t="s">
        <v>192</v>
      </c>
      <c r="K41" s="171"/>
    </row>
    <row r="42" spans="1:11">
      <c r="G42" s="225"/>
    </row>
    <row r="45" spans="1:11" ht="1.5" customHeight="1"/>
  </sheetData>
  <mergeCells count="5">
    <mergeCell ref="B9:B13"/>
    <mergeCell ref="B14:B19"/>
    <mergeCell ref="B20:B25"/>
    <mergeCell ref="B26:B30"/>
    <mergeCell ref="B3:B8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71"/>
  <sheetViews>
    <sheetView showGridLines="0" topLeftCell="A64" zoomScaleNormal="100" workbookViewId="0">
      <selection activeCell="I73" sqref="I73"/>
    </sheetView>
  </sheetViews>
  <sheetFormatPr defaultColWidth="10.81640625" defaultRowHeight="13"/>
  <cols>
    <col min="1" max="1" width="28.453125" style="46" customWidth="1"/>
    <col min="2" max="2" width="16.81640625" style="46" customWidth="1"/>
    <col min="3" max="3" width="15.81640625" style="46" customWidth="1"/>
    <col min="4" max="4" width="16.1796875" style="46" customWidth="1"/>
    <col min="5" max="5" width="18.1796875" style="46" customWidth="1"/>
    <col min="6" max="6" width="18.453125" style="46" customWidth="1"/>
    <col min="7" max="7" width="15.81640625" style="46" customWidth="1"/>
    <col min="8" max="8" width="14.1796875" style="46" bestFit="1" customWidth="1"/>
    <col min="9" max="9" width="14.08984375" style="46" bestFit="1" customWidth="1"/>
    <col min="10" max="10" width="14.1796875" style="46" bestFit="1" customWidth="1"/>
    <col min="11" max="11" width="18.453125" style="46" customWidth="1"/>
    <col min="12" max="12" width="14.1796875" style="46" bestFit="1" customWidth="1"/>
    <col min="13" max="13" width="17.36328125" style="46" customWidth="1"/>
    <col min="14" max="14" width="15.54296875" style="46" customWidth="1"/>
    <col min="15" max="15" width="15.453125" style="46" customWidth="1"/>
    <col min="16" max="16" width="14.453125" style="46" customWidth="1"/>
    <col min="17" max="17" width="18.1796875" style="46" customWidth="1"/>
    <col min="18" max="21" width="10.81640625" style="46" customWidth="1"/>
    <col min="22" max="16384" width="10.81640625" style="46"/>
  </cols>
  <sheetData>
    <row r="1" spans="1:16" ht="14.5">
      <c r="C1" s="157"/>
      <c r="D1" s="157"/>
    </row>
    <row r="2" spans="1:16">
      <c r="A2" s="68" t="s">
        <v>103</v>
      </c>
      <c r="B2" s="68"/>
    </row>
    <row r="4" spans="1:16">
      <c r="C4" s="138"/>
      <c r="D4" s="139">
        <v>2027</v>
      </c>
      <c r="E4" s="140"/>
      <c r="F4" s="138"/>
      <c r="G4" s="139">
        <v>2028</v>
      </c>
      <c r="H4" s="140"/>
      <c r="I4" s="138"/>
      <c r="J4" s="139">
        <v>2029</v>
      </c>
      <c r="K4" s="140"/>
    </row>
    <row r="5" spans="1:16" ht="15" customHeight="1">
      <c r="A5" s="67" t="s">
        <v>104</v>
      </c>
      <c r="B5" s="143" t="s">
        <v>105</v>
      </c>
      <c r="C5" s="66" t="s">
        <v>106</v>
      </c>
      <c r="D5" s="66" t="s">
        <v>107</v>
      </c>
      <c r="E5" s="66" t="s">
        <v>108</v>
      </c>
      <c r="F5" s="66" t="s">
        <v>106</v>
      </c>
      <c r="G5" s="66" t="s">
        <v>107</v>
      </c>
      <c r="H5" s="66" t="s">
        <v>108</v>
      </c>
      <c r="I5" s="66" t="s">
        <v>106</v>
      </c>
      <c r="J5" s="66" t="s">
        <v>107</v>
      </c>
      <c r="K5" s="66" t="s">
        <v>108</v>
      </c>
      <c r="L5" s="66" t="s">
        <v>109</v>
      </c>
      <c r="M5" s="66" t="s">
        <v>110</v>
      </c>
      <c r="N5" s="66" t="s">
        <v>111</v>
      </c>
    </row>
    <row r="6" spans="1:16">
      <c r="A6" s="65" t="s">
        <v>36</v>
      </c>
      <c r="B6" s="144" t="s">
        <v>37</v>
      </c>
      <c r="C6" s="63">
        <f>ROUND(E6/1.21,2)</f>
        <v>226882.92</v>
      </c>
      <c r="D6" s="63">
        <f>E6-C6</f>
        <v>47645.41</v>
      </c>
      <c r="E6" s="63">
        <f>'Càlcul pressupost '!F7</f>
        <v>274528.33</v>
      </c>
      <c r="F6" s="63">
        <f>ROUND(H6/1.21,2)</f>
        <v>378656.42</v>
      </c>
      <c r="G6" s="63">
        <f>H6-F6</f>
        <v>79517.850000000035</v>
      </c>
      <c r="H6" s="63">
        <f>'Càlcul pressupost '!G7</f>
        <v>458174.27</v>
      </c>
      <c r="I6" s="63">
        <f>ROUND(K6/1.21,2)</f>
        <v>126218.81</v>
      </c>
      <c r="J6" s="63">
        <f>K6-I6</f>
        <v>26505.949999999983</v>
      </c>
      <c r="K6" s="63">
        <f>'Càlcul pressupost '!H7</f>
        <v>152724.75999999998</v>
      </c>
      <c r="L6" s="63">
        <f>ROUND(N6/1.21,2)</f>
        <v>731758.15</v>
      </c>
      <c r="M6" s="63">
        <f>+D6+G6</f>
        <v>127163.26000000004</v>
      </c>
      <c r="N6" s="63">
        <f>+E6+H6+K6</f>
        <v>885427.3600000001</v>
      </c>
      <c r="O6" s="47">
        <f>I6*3</f>
        <v>378656.43</v>
      </c>
      <c r="P6" s="47">
        <f>O6-F6</f>
        <v>1.0000000009313226E-2</v>
      </c>
    </row>
    <row r="7" spans="1:16">
      <c r="A7" s="65" t="s">
        <v>112</v>
      </c>
      <c r="B7" s="144" t="s">
        <v>37</v>
      </c>
      <c r="C7" s="63">
        <f>ROUND(E7/1.21,2)</f>
        <v>29808.68</v>
      </c>
      <c r="D7" s="63">
        <f>E7-C7</f>
        <v>6259.82</v>
      </c>
      <c r="E7" s="63">
        <f>'Càlcul pressupost '!F8</f>
        <v>36068.5</v>
      </c>
      <c r="F7" s="63">
        <f>ROUND(H7/1.21,2)</f>
        <v>44713.02</v>
      </c>
      <c r="G7" s="63">
        <f>H7-F7</f>
        <v>9389.7300000000032</v>
      </c>
      <c r="H7" s="63">
        <f>'Càlcul pressupost '!G8</f>
        <v>54102.75</v>
      </c>
      <c r="I7" s="63">
        <f>ROUND(K7/1.21,2)</f>
        <v>14904.34</v>
      </c>
      <c r="J7" s="63">
        <f>K7-I7</f>
        <v>3129.91</v>
      </c>
      <c r="K7" s="63">
        <f>'Càlcul pressupost '!H8</f>
        <v>18034.25</v>
      </c>
      <c r="L7" s="63">
        <f>ROUND(N7/1.21,2)</f>
        <v>89426.03</v>
      </c>
      <c r="M7" s="63">
        <f>+D7+G7</f>
        <v>15649.550000000003</v>
      </c>
      <c r="N7" s="63">
        <f t="shared" ref="N7:N10" si="0">+E7+H7+K7</f>
        <v>108205.5</v>
      </c>
      <c r="O7" s="47">
        <f t="shared" ref="O7:O10" si="1">I7*3</f>
        <v>44713.020000000004</v>
      </c>
      <c r="P7" s="47">
        <f t="shared" ref="P7:P10" si="2">O7-F7</f>
        <v>0</v>
      </c>
    </row>
    <row r="8" spans="1:16">
      <c r="A8" s="64" t="s">
        <v>113</v>
      </c>
      <c r="B8" s="144" t="s">
        <v>41</v>
      </c>
      <c r="C8" s="63">
        <f>ROUND(E8/1.21,2)</f>
        <v>194628.1</v>
      </c>
      <c r="D8" s="63">
        <f>E8-C8</f>
        <v>40871.899999999994</v>
      </c>
      <c r="E8" s="63">
        <f>'Càlcul pressupost '!F11</f>
        <v>235500</v>
      </c>
      <c r="F8" s="63">
        <f>ROUND(H8/1.21,2)</f>
        <v>291942.15000000002</v>
      </c>
      <c r="G8" s="63">
        <f>H8-F8</f>
        <v>61307.849999999977</v>
      </c>
      <c r="H8" s="63">
        <f>'Càlcul pressupost '!G11</f>
        <v>353250</v>
      </c>
      <c r="I8" s="63">
        <f>ROUND(K8/1.21,2)</f>
        <v>97314.05</v>
      </c>
      <c r="J8" s="63">
        <f>K8-I8</f>
        <v>20435.949999999997</v>
      </c>
      <c r="K8" s="63">
        <f>'Càlcul pressupost '!H11</f>
        <v>117750</v>
      </c>
      <c r="L8" s="63">
        <f>ROUND(N8/1.21,2)</f>
        <v>583884.30000000005</v>
      </c>
      <c r="M8" s="63">
        <f>+D8+G8</f>
        <v>102179.74999999997</v>
      </c>
      <c r="N8" s="63">
        <f t="shared" si="0"/>
        <v>706500</v>
      </c>
      <c r="O8" s="47">
        <f t="shared" si="1"/>
        <v>291942.15000000002</v>
      </c>
      <c r="P8" s="47">
        <f t="shared" si="2"/>
        <v>0</v>
      </c>
    </row>
    <row r="9" spans="1:16">
      <c r="A9" s="64" t="s">
        <v>114</v>
      </c>
      <c r="B9" s="144" t="s">
        <v>37</v>
      </c>
      <c r="C9" s="63">
        <f>ROUND(E9/1.21,2)</f>
        <v>60889.21</v>
      </c>
      <c r="D9" s="63">
        <f>E9-C9</f>
        <v>12786.739999999998</v>
      </c>
      <c r="E9" s="63">
        <f>'Càlcul pressupost '!F12</f>
        <v>73675.95</v>
      </c>
      <c r="F9" s="63">
        <f>ROUND(H9/1.21,2)</f>
        <v>91333.82</v>
      </c>
      <c r="G9" s="63">
        <f>H9-F9</f>
        <v>19180.099999999991</v>
      </c>
      <c r="H9" s="63">
        <f>'Càlcul pressupost '!G12</f>
        <v>110513.92</v>
      </c>
      <c r="I9" s="63">
        <f>ROUND(K9/1.21,2)</f>
        <v>30444.6</v>
      </c>
      <c r="J9" s="63">
        <f>K9-I9</f>
        <v>6393.3700000000026</v>
      </c>
      <c r="K9" s="63">
        <f>'Càlcul pressupost '!H12</f>
        <v>36837.97</v>
      </c>
      <c r="L9" s="63">
        <f>ROUND(N9/1.21,2)</f>
        <v>182667.64</v>
      </c>
      <c r="M9" s="63">
        <f>+D9+G9</f>
        <v>31966.839999999989</v>
      </c>
      <c r="N9" s="63">
        <f t="shared" si="0"/>
        <v>221027.84</v>
      </c>
      <c r="O9" s="47">
        <f t="shared" si="1"/>
        <v>91333.799999999988</v>
      </c>
      <c r="P9" s="47">
        <f t="shared" si="2"/>
        <v>-2.0000000018626451E-2</v>
      </c>
    </row>
    <row r="10" spans="1:16">
      <c r="A10" s="64" t="s">
        <v>42</v>
      </c>
      <c r="B10" s="144" t="s">
        <v>37</v>
      </c>
      <c r="C10" s="63">
        <f>ROUND(E10/1.21,2)</f>
        <v>26735.37</v>
      </c>
      <c r="D10" s="63">
        <f>E10-C10</f>
        <v>5614.43</v>
      </c>
      <c r="E10" s="63">
        <f>'Càlcul pressupost '!F13</f>
        <v>32349.8</v>
      </c>
      <c r="F10" s="63">
        <f>ROUND(H10/1.21,2)</f>
        <v>39939.370000000003</v>
      </c>
      <c r="G10" s="63">
        <f>H10-F10</f>
        <v>8387.2699999999968</v>
      </c>
      <c r="H10" s="63">
        <f>'Càlcul pressupost '!G13</f>
        <v>48326.64</v>
      </c>
      <c r="I10" s="63">
        <f>ROUND(K10/1.21,2)</f>
        <v>13094.88</v>
      </c>
      <c r="J10" s="63">
        <f>K10-I10</f>
        <v>2749.92</v>
      </c>
      <c r="K10" s="63">
        <f>'Càlcul pressupost '!H13</f>
        <v>15844.8</v>
      </c>
      <c r="L10" s="63">
        <f>ROUND(N10/1.21,2)</f>
        <v>79769.62</v>
      </c>
      <c r="M10" s="63">
        <f>+D10+G10</f>
        <v>14001.699999999997</v>
      </c>
      <c r="N10" s="63">
        <f t="shared" si="0"/>
        <v>96521.24</v>
      </c>
      <c r="O10" s="47">
        <f t="shared" si="1"/>
        <v>39284.639999999999</v>
      </c>
      <c r="P10" s="47">
        <f t="shared" si="2"/>
        <v>-654.7300000000032</v>
      </c>
    </row>
    <row r="11" spans="1:16">
      <c r="C11" s="62">
        <f t="shared" ref="C11:K11" si="3">SUM(C6:C10)</f>
        <v>538944.28</v>
      </c>
      <c r="D11" s="62">
        <f t="shared" si="3"/>
        <v>113178.29999999999</v>
      </c>
      <c r="E11" s="62">
        <f t="shared" si="3"/>
        <v>652122.58000000007</v>
      </c>
      <c r="F11" s="62">
        <f t="shared" si="3"/>
        <v>846584.78000000014</v>
      </c>
      <c r="G11" s="62">
        <f t="shared" si="3"/>
        <v>177782.80000000002</v>
      </c>
      <c r="H11" s="62">
        <f t="shared" si="3"/>
        <v>1024367.5800000001</v>
      </c>
      <c r="I11" s="62">
        <f t="shared" si="3"/>
        <v>281976.68</v>
      </c>
      <c r="J11" s="62">
        <f t="shared" si="3"/>
        <v>59215.099999999984</v>
      </c>
      <c r="K11" s="62">
        <f t="shared" si="3"/>
        <v>341191.77999999997</v>
      </c>
      <c r="L11" s="62">
        <f>SUM(L6:L10)</f>
        <v>1667505.7400000002</v>
      </c>
      <c r="M11" s="62">
        <f>N11-L11</f>
        <v>350176.19999999995</v>
      </c>
      <c r="N11" s="62">
        <f>SUM(N6:N10)</f>
        <v>2017681.9400000002</v>
      </c>
    </row>
    <row r="12" spans="1:16"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</row>
    <row r="13" spans="1:16">
      <c r="A13" s="55" t="s">
        <v>115</v>
      </c>
      <c r="I13" s="47">
        <f>I11*3</f>
        <v>845930.04</v>
      </c>
    </row>
    <row r="14" spans="1:16">
      <c r="A14" s="55"/>
    </row>
    <row r="15" spans="1:16" ht="18" customHeight="1">
      <c r="A15" s="196" t="s">
        <v>58</v>
      </c>
    </row>
    <row r="16" spans="1:16" ht="21" customHeight="1">
      <c r="A16" s="196" t="s">
        <v>116</v>
      </c>
      <c r="B16" s="196" t="s">
        <v>117</v>
      </c>
      <c r="C16" s="196" t="s">
        <v>118</v>
      </c>
      <c r="D16" s="196" t="s">
        <v>108</v>
      </c>
    </row>
    <row r="17" spans="1:17" ht="13" customHeight="1">
      <c r="A17" s="197">
        <v>2027</v>
      </c>
      <c r="B17" s="198">
        <f>C11</f>
        <v>538944.28</v>
      </c>
      <c r="C17" s="198">
        <f>D11</f>
        <v>113178.29999999999</v>
      </c>
      <c r="D17" s="198">
        <f t="shared" ref="D17:D19" si="4">+B17+C17</f>
        <v>652122.58000000007</v>
      </c>
      <c r="E17" s="260" t="s">
        <v>162</v>
      </c>
      <c r="F17" s="261"/>
      <c r="G17" s="261"/>
      <c r="H17" s="261"/>
      <c r="I17" s="261"/>
      <c r="J17" s="261"/>
      <c r="K17" s="261"/>
    </row>
    <row r="18" spans="1:17">
      <c r="A18" s="197">
        <v>2028</v>
      </c>
      <c r="B18" s="198">
        <f>F11</f>
        <v>846584.78000000014</v>
      </c>
      <c r="C18" s="198">
        <f>G11</f>
        <v>177782.80000000002</v>
      </c>
      <c r="D18" s="198">
        <f t="shared" si="4"/>
        <v>1024367.5800000002</v>
      </c>
      <c r="E18" s="260"/>
      <c r="F18" s="261"/>
      <c r="G18" s="261"/>
      <c r="H18" s="261"/>
      <c r="I18" s="261"/>
      <c r="J18" s="261"/>
      <c r="K18" s="261"/>
    </row>
    <row r="19" spans="1:17">
      <c r="A19" s="197">
        <v>2029</v>
      </c>
      <c r="B19" s="198">
        <f>I11</f>
        <v>281976.68</v>
      </c>
      <c r="C19" s="198">
        <f>J11</f>
        <v>59215.099999999984</v>
      </c>
      <c r="D19" s="198">
        <f t="shared" si="4"/>
        <v>341191.77999999997</v>
      </c>
      <c r="E19" s="260"/>
      <c r="F19" s="261"/>
      <c r="G19" s="261"/>
      <c r="H19" s="261"/>
      <c r="I19" s="261"/>
      <c r="J19" s="261"/>
      <c r="K19" s="261"/>
    </row>
    <row r="20" spans="1:17">
      <c r="A20" s="197" t="s">
        <v>56</v>
      </c>
      <c r="B20" s="199">
        <f>SUM(B17:B19)</f>
        <v>1667505.74</v>
      </c>
      <c r="C20" s="199">
        <f>SUM(C17:C19)</f>
        <v>350176.19999999995</v>
      </c>
      <c r="D20" s="200">
        <f>SUM(D17:D19)</f>
        <v>2017681.9400000002</v>
      </c>
      <c r="E20" s="201"/>
      <c r="F20" s="81"/>
      <c r="G20" s="81"/>
      <c r="H20" s="81"/>
      <c r="I20" s="81"/>
      <c r="J20" s="81"/>
    </row>
    <row r="21" spans="1:17">
      <c r="D21" s="194"/>
      <c r="Q21" s="47"/>
    </row>
    <row r="22" spans="1:17">
      <c r="Q22" s="47"/>
    </row>
    <row r="23" spans="1:17">
      <c r="Q23" s="47"/>
    </row>
    <row r="24" spans="1:17" ht="13.5" customHeight="1" thickBot="1">
      <c r="A24" s="55" t="s">
        <v>115</v>
      </c>
    </row>
    <row r="25" spans="1:17" ht="16.5" customHeight="1" thickBot="1">
      <c r="A25" s="141"/>
      <c r="B25" s="202" t="s">
        <v>116</v>
      </c>
      <c r="C25" s="203"/>
      <c r="D25" s="189" t="s">
        <v>105</v>
      </c>
      <c r="E25" s="189" t="s">
        <v>117</v>
      </c>
      <c r="F25" s="189" t="s">
        <v>118</v>
      </c>
      <c r="G25" s="189" t="s">
        <v>108</v>
      </c>
      <c r="I25" s="191" t="s">
        <v>116</v>
      </c>
      <c r="J25" s="191" t="s">
        <v>157</v>
      </c>
      <c r="K25" s="191" t="s">
        <v>158</v>
      </c>
    </row>
    <row r="26" spans="1:17" ht="16.5" customHeight="1" thickBot="1">
      <c r="A26" s="142"/>
      <c r="B26" s="205">
        <v>2027</v>
      </c>
      <c r="C26" s="205" t="s">
        <v>208</v>
      </c>
      <c r="D26" s="205" t="s">
        <v>37</v>
      </c>
      <c r="E26" s="204">
        <f>C6+C7+C9+C10</f>
        <v>344316.18</v>
      </c>
      <c r="F26" s="204">
        <f t="shared" ref="F26:G26" si="5">D6+D7+D9+D10</f>
        <v>72306.399999999994</v>
      </c>
      <c r="G26" s="204">
        <f t="shared" si="5"/>
        <v>416622.58</v>
      </c>
      <c r="H26" s="188"/>
      <c r="I26" s="192">
        <v>2027</v>
      </c>
      <c r="J26" s="193">
        <f>G26</f>
        <v>416622.58</v>
      </c>
      <c r="K26" s="193"/>
    </row>
    <row r="27" spans="1:17" ht="16.5" customHeight="1" thickBot="1">
      <c r="A27" s="142"/>
      <c r="B27" s="205">
        <v>2027</v>
      </c>
      <c r="C27" s="205" t="s">
        <v>208</v>
      </c>
      <c r="D27" s="205" t="s">
        <v>41</v>
      </c>
      <c r="E27" s="190">
        <f>C8</f>
        <v>194628.1</v>
      </c>
      <c r="F27" s="190">
        <f t="shared" ref="F27:G27" si="6">D8</f>
        <v>40871.899999999994</v>
      </c>
      <c r="G27" s="190">
        <f t="shared" si="6"/>
        <v>235500</v>
      </c>
      <c r="I27" s="192">
        <v>2027</v>
      </c>
      <c r="J27" s="193"/>
      <c r="K27" s="193">
        <f>G30</f>
        <v>223441.77999999997</v>
      </c>
      <c r="N27" s="47">
        <f>E28+E29</f>
        <v>846584.78</v>
      </c>
    </row>
    <row r="28" spans="1:17" ht="16.5" customHeight="1" thickBot="1">
      <c r="A28" s="142"/>
      <c r="B28" s="205">
        <v>2028</v>
      </c>
      <c r="C28" s="205" t="s">
        <v>159</v>
      </c>
      <c r="D28" s="205" t="s">
        <v>37</v>
      </c>
      <c r="E28" s="190">
        <f>F6+F7+F9+F10</f>
        <v>554642.63</v>
      </c>
      <c r="F28" s="190">
        <f t="shared" ref="F28:G28" si="7">G6+G7+G9+G10</f>
        <v>116474.95000000004</v>
      </c>
      <c r="G28" s="190">
        <f t="shared" si="7"/>
        <v>671117.58000000007</v>
      </c>
      <c r="H28" s="81"/>
      <c r="I28" s="192">
        <v>2028</v>
      </c>
      <c r="J28" s="193">
        <f>G29</f>
        <v>353250</v>
      </c>
      <c r="K28" s="193"/>
      <c r="L28" s="81"/>
      <c r="M28" s="81"/>
      <c r="N28" s="242">
        <f>E30+E31+E35+E36</f>
        <v>846475.66</v>
      </c>
      <c r="O28" s="81"/>
      <c r="P28" s="81"/>
      <c r="Q28" s="81"/>
    </row>
    <row r="29" spans="1:17" ht="16.5" customHeight="1" thickBot="1">
      <c r="A29" s="142"/>
      <c r="B29" s="205">
        <v>2028</v>
      </c>
      <c r="C29" s="205" t="s">
        <v>159</v>
      </c>
      <c r="D29" s="205" t="s">
        <v>41</v>
      </c>
      <c r="E29" s="190">
        <f>F8</f>
        <v>291942.15000000002</v>
      </c>
      <c r="F29" s="190">
        <f t="shared" ref="F29:G29" si="8">G8</f>
        <v>61307.849999999977</v>
      </c>
      <c r="G29" s="190">
        <f t="shared" si="8"/>
        <v>353250</v>
      </c>
      <c r="H29" s="81"/>
      <c r="I29" s="192">
        <v>2028</v>
      </c>
      <c r="J29" s="193"/>
      <c r="K29" s="193">
        <f>G27</f>
        <v>235500</v>
      </c>
      <c r="L29" s="81"/>
      <c r="M29" s="81"/>
      <c r="N29" s="81"/>
      <c r="O29" s="81"/>
      <c r="P29" s="81"/>
      <c r="Q29" s="81"/>
    </row>
    <row r="30" spans="1:17" ht="16.5" customHeight="1" thickBot="1">
      <c r="A30" s="142"/>
      <c r="B30" s="205">
        <v>2029</v>
      </c>
      <c r="C30" s="205" t="s">
        <v>210</v>
      </c>
      <c r="D30" s="205" t="s">
        <v>37</v>
      </c>
      <c r="E30" s="190">
        <f>I6+I7+I9+I10</f>
        <v>184662.63</v>
      </c>
      <c r="F30" s="190">
        <f t="shared" ref="F30:G30" si="9">J6+J7+J9+J10</f>
        <v>38779.14999999998</v>
      </c>
      <c r="G30" s="190">
        <f t="shared" si="9"/>
        <v>223441.77999999997</v>
      </c>
      <c r="H30" s="242"/>
      <c r="I30" s="192">
        <v>2029</v>
      </c>
      <c r="J30" s="193">
        <f>G31</f>
        <v>117750</v>
      </c>
      <c r="K30" s="193"/>
      <c r="L30" s="81"/>
      <c r="M30" s="81"/>
      <c r="N30" s="81"/>
      <c r="O30" s="81"/>
      <c r="P30" s="81"/>
      <c r="Q30" s="81"/>
    </row>
    <row r="31" spans="1:17" ht="16.5" customHeight="1" thickBot="1">
      <c r="A31" s="142"/>
      <c r="B31" s="205">
        <v>2029</v>
      </c>
      <c r="C31" s="205" t="s">
        <v>209</v>
      </c>
      <c r="D31" s="205" t="s">
        <v>41</v>
      </c>
      <c r="E31" s="190">
        <f>I8</f>
        <v>97314.05</v>
      </c>
      <c r="F31" s="190">
        <f t="shared" ref="F31:G31" si="10">J8</f>
        <v>20435.949999999997</v>
      </c>
      <c r="G31" s="190">
        <f t="shared" si="10"/>
        <v>117750</v>
      </c>
      <c r="H31" s="81"/>
      <c r="I31" s="192">
        <v>2029</v>
      </c>
      <c r="J31" s="193"/>
      <c r="K31" s="193">
        <f>G29</f>
        <v>353250</v>
      </c>
      <c r="L31" s="81"/>
      <c r="M31" s="81"/>
      <c r="N31" s="81"/>
      <c r="O31" s="81"/>
      <c r="P31" s="81"/>
      <c r="Q31" s="81"/>
    </row>
    <row r="32" spans="1:17" ht="16.5" customHeight="1">
      <c r="A32" s="142"/>
      <c r="B32" s="206" t="s">
        <v>56</v>
      </c>
      <c r="C32" s="206"/>
      <c r="D32" s="206"/>
      <c r="E32" s="207">
        <f>SUM(E26:E31)</f>
        <v>1667505.74</v>
      </c>
      <c r="F32" s="207">
        <f>SUM(F26:F31)</f>
        <v>350176.19999999995</v>
      </c>
      <c r="G32" s="207">
        <f>SUM(G26:G31)</f>
        <v>2017681.9400000002</v>
      </c>
      <c r="H32" s="81"/>
      <c r="I32" s="217" t="s">
        <v>56</v>
      </c>
      <c r="J32" s="218">
        <f>SUM(J26:J29)</f>
        <v>769872.58000000007</v>
      </c>
      <c r="K32" s="218">
        <f>SUM(K26:K29)</f>
        <v>458941.77999999997</v>
      </c>
      <c r="L32" s="81"/>
      <c r="M32" s="81"/>
      <c r="N32" s="81"/>
      <c r="O32" s="81"/>
      <c r="P32" s="81"/>
      <c r="Q32" s="81"/>
    </row>
    <row r="33" spans="1:17" ht="16.5" customHeight="1" thickBot="1">
      <c r="A33" s="55" t="s">
        <v>186</v>
      </c>
      <c r="B33" s="219"/>
      <c r="C33" s="219"/>
      <c r="D33" s="219"/>
      <c r="E33" s="220"/>
      <c r="F33" s="220"/>
      <c r="G33" s="220"/>
      <c r="H33" s="81"/>
      <c r="I33" s="215"/>
      <c r="J33" s="216"/>
      <c r="K33" s="216"/>
      <c r="L33" s="81"/>
      <c r="M33" s="81"/>
      <c r="N33" s="81"/>
      <c r="O33" s="81"/>
      <c r="P33" s="81"/>
      <c r="Q33" s="81"/>
    </row>
    <row r="34" spans="1:17" ht="16.5" customHeight="1" thickBot="1">
      <c r="A34" s="219"/>
      <c r="B34" s="221" t="s">
        <v>116</v>
      </c>
      <c r="C34" s="222" t="s">
        <v>185</v>
      </c>
      <c r="D34" s="222" t="s">
        <v>105</v>
      </c>
      <c r="E34" s="222" t="s">
        <v>117</v>
      </c>
      <c r="F34" s="222" t="s">
        <v>118</v>
      </c>
      <c r="G34" s="222" t="s">
        <v>108</v>
      </c>
      <c r="H34" s="81"/>
      <c r="I34" s="215"/>
      <c r="J34" s="216"/>
      <c r="K34" s="216"/>
      <c r="L34" s="81"/>
      <c r="M34" s="81"/>
      <c r="N34" s="81"/>
      <c r="O34" s="81"/>
      <c r="P34" s="81"/>
      <c r="Q34" s="81"/>
    </row>
    <row r="35" spans="1:17" ht="16.5" customHeight="1" thickBot="1">
      <c r="A35" s="219"/>
      <c r="B35" s="223">
        <v>2029</v>
      </c>
      <c r="C35" s="205" t="s">
        <v>208</v>
      </c>
      <c r="D35" s="224" t="s">
        <v>37</v>
      </c>
      <c r="E35" s="226">
        <f>ROUND(G35/1.21,2)</f>
        <v>369870.88</v>
      </c>
      <c r="F35" s="226">
        <f>G35-E35</f>
        <v>77672.88</v>
      </c>
      <c r="G35" s="226">
        <f>'Càlcul pressupost '!O15</f>
        <v>447543.76</v>
      </c>
      <c r="H35" s="242"/>
      <c r="I35" s="215"/>
      <c r="J35" s="216"/>
      <c r="K35" s="216"/>
      <c r="L35" s="81"/>
      <c r="M35" s="81"/>
      <c r="N35" s="81"/>
      <c r="O35" s="81"/>
      <c r="P35" s="81"/>
      <c r="Q35" s="81"/>
    </row>
    <row r="36" spans="1:17" ht="16.5" customHeight="1" thickBot="1">
      <c r="A36" s="219"/>
      <c r="B36" s="223">
        <v>2029</v>
      </c>
      <c r="C36" s="205" t="s">
        <v>208</v>
      </c>
      <c r="D36" s="224" t="s">
        <v>41</v>
      </c>
      <c r="E36" s="226">
        <f t="shared" ref="E36:E40" si="11">ROUND(G36/1.21,2)</f>
        <v>194628.1</v>
      </c>
      <c r="F36" s="226">
        <f>G36-E36</f>
        <v>40871.899999999994</v>
      </c>
      <c r="G36" s="226">
        <f>'Càlcul pressupost '!O16</f>
        <v>235500</v>
      </c>
      <c r="H36" s="242"/>
      <c r="I36" s="215"/>
      <c r="J36" s="216"/>
      <c r="K36" s="216"/>
      <c r="L36" s="81"/>
      <c r="M36" s="81"/>
      <c r="N36" s="81"/>
      <c r="O36" s="81"/>
      <c r="P36" s="81"/>
      <c r="Q36" s="81"/>
    </row>
    <row r="37" spans="1:17" ht="16.5" customHeight="1" thickBot="1">
      <c r="A37" s="219"/>
      <c r="B37" s="223">
        <v>2030</v>
      </c>
      <c r="C37" s="205" t="s">
        <v>159</v>
      </c>
      <c r="D37" s="224" t="s">
        <v>37</v>
      </c>
      <c r="E37" s="226">
        <f t="shared" si="11"/>
        <v>554533.5</v>
      </c>
      <c r="F37" s="227">
        <f>F29</f>
        <v>61307.849999999977</v>
      </c>
      <c r="G37" s="226">
        <f>'Càlcul pressupost '!P15</f>
        <v>670985.54</v>
      </c>
      <c r="H37" s="242"/>
      <c r="I37" s="215"/>
      <c r="J37" s="216"/>
      <c r="K37" s="216"/>
      <c r="L37" s="81"/>
      <c r="M37" s="81"/>
      <c r="N37" s="81"/>
      <c r="O37" s="81"/>
      <c r="P37" s="81"/>
      <c r="Q37" s="81"/>
    </row>
    <row r="38" spans="1:17" ht="16.5" customHeight="1" thickBot="1">
      <c r="A38" s="219"/>
      <c r="B38" s="223">
        <v>2030</v>
      </c>
      <c r="C38" s="205" t="s">
        <v>159</v>
      </c>
      <c r="D38" s="224" t="s">
        <v>41</v>
      </c>
      <c r="E38" s="226">
        <f t="shared" si="11"/>
        <v>291942.15000000002</v>
      </c>
      <c r="F38" s="227">
        <f>F30</f>
        <v>38779.14999999998</v>
      </c>
      <c r="G38" s="226">
        <f>'Càlcul pressupost '!P16</f>
        <v>353250</v>
      </c>
      <c r="H38" s="242"/>
      <c r="I38" s="81"/>
      <c r="J38" s="81"/>
      <c r="K38" s="81"/>
      <c r="L38" s="81"/>
      <c r="M38" s="81"/>
      <c r="N38" s="81"/>
      <c r="O38" s="81"/>
      <c r="P38" s="81"/>
      <c r="Q38" s="81"/>
    </row>
    <row r="39" spans="1:17" ht="16.5" customHeight="1" thickBot="1">
      <c r="A39" s="219"/>
      <c r="B39" s="223">
        <v>2031</v>
      </c>
      <c r="C39" s="205" t="s">
        <v>210</v>
      </c>
      <c r="D39" s="224" t="s">
        <v>37</v>
      </c>
      <c r="E39" s="226">
        <f t="shared" si="11"/>
        <v>184662.63</v>
      </c>
      <c r="F39" s="226">
        <f>G39-E39</f>
        <v>38779.149999999994</v>
      </c>
      <c r="G39" s="226">
        <f>'Càlcul pressupost '!Q15</f>
        <v>223441.78</v>
      </c>
      <c r="H39" s="242"/>
      <c r="I39" s="215"/>
      <c r="J39" s="216"/>
      <c r="K39" s="216"/>
      <c r="L39" s="81"/>
      <c r="M39" s="81"/>
      <c r="N39" s="81"/>
      <c r="O39" s="81"/>
      <c r="P39" s="81"/>
      <c r="Q39" s="81"/>
    </row>
    <row r="40" spans="1:17" ht="16.5" customHeight="1" thickBot="1">
      <c r="A40" s="219"/>
      <c r="B40" s="223">
        <v>2031</v>
      </c>
      <c r="C40" s="205" t="s">
        <v>210</v>
      </c>
      <c r="D40" s="224" t="s">
        <v>41</v>
      </c>
      <c r="E40" s="226">
        <f t="shared" si="11"/>
        <v>97314.05</v>
      </c>
      <c r="F40" s="226">
        <f>G40-E40</f>
        <v>20435.949999999997</v>
      </c>
      <c r="G40" s="226">
        <f>'Càlcul pressupost '!Q16</f>
        <v>117750</v>
      </c>
      <c r="H40" s="242"/>
      <c r="I40" s="81"/>
      <c r="J40" s="81"/>
      <c r="K40" s="81"/>
      <c r="L40" s="81"/>
      <c r="M40" s="81"/>
      <c r="N40" s="81"/>
      <c r="O40" s="81"/>
      <c r="P40" s="81"/>
      <c r="Q40" s="81"/>
    </row>
    <row r="41" spans="1:17" ht="16.5" customHeight="1">
      <c r="A41" s="55" t="s">
        <v>119</v>
      </c>
      <c r="B41" s="225"/>
      <c r="C41"/>
      <c r="D41"/>
      <c r="E41"/>
      <c r="F41"/>
      <c r="G41"/>
      <c r="H41" s="81"/>
      <c r="I41" s="81"/>
      <c r="J41" s="81"/>
      <c r="K41" s="81"/>
      <c r="L41" s="81"/>
      <c r="M41" s="81"/>
      <c r="N41" s="81"/>
      <c r="O41" s="81"/>
      <c r="P41" s="81"/>
      <c r="Q41" s="81"/>
    </row>
    <row r="42" spans="1:17" ht="21.75" customHeight="1">
      <c r="A42" s="61" t="s">
        <v>120</v>
      </c>
      <c r="B42" s="61"/>
      <c r="C42" s="61" t="s">
        <v>121</v>
      </c>
      <c r="D42" s="61" t="s">
        <v>122</v>
      </c>
      <c r="E42" s="61" t="s">
        <v>123</v>
      </c>
      <c r="F42" s="61" t="s">
        <v>124</v>
      </c>
      <c r="G42" s="61" t="s">
        <v>125</v>
      </c>
      <c r="H42" s="81"/>
      <c r="I42" s="81"/>
      <c r="J42" s="81"/>
      <c r="K42" s="81"/>
      <c r="L42" s="81"/>
      <c r="M42" s="81"/>
      <c r="N42" s="81"/>
      <c r="O42" s="81"/>
      <c r="P42" s="81"/>
    </row>
    <row r="43" spans="1:17" ht="35.9" customHeight="1">
      <c r="A43" s="123" t="s">
        <v>126</v>
      </c>
      <c r="B43" s="123"/>
      <c r="C43" s="60">
        <f>N11</f>
        <v>2017681.9400000002</v>
      </c>
      <c r="D43" s="124">
        <v>0.2</v>
      </c>
      <c r="E43" s="48">
        <f>+ROUND(C43*D43,2)</f>
        <v>403536.39</v>
      </c>
      <c r="F43" s="124">
        <f>20%</f>
        <v>0.2</v>
      </c>
      <c r="G43" s="48">
        <f>+ROUND(C43*F43,2)</f>
        <v>403536.39</v>
      </c>
      <c r="H43" s="81"/>
      <c r="I43" s="81"/>
      <c r="J43" s="81"/>
      <c r="K43" s="81"/>
      <c r="L43" s="81"/>
      <c r="M43" s="81"/>
      <c r="N43" s="81"/>
      <c r="O43" s="81"/>
      <c r="P43" s="81"/>
    </row>
    <row r="44" spans="1:17" ht="28.5" customHeight="1">
      <c r="A44" s="123" t="s">
        <v>127</v>
      </c>
      <c r="B44" s="123"/>
      <c r="C44" s="60">
        <f>N11</f>
        <v>2017681.9400000002</v>
      </c>
      <c r="D44" s="124">
        <v>0.2</v>
      </c>
      <c r="E44" s="48">
        <f>+ROUND(C44*D44,2)</f>
        <v>403536.39</v>
      </c>
      <c r="F44" s="124">
        <v>0.2</v>
      </c>
      <c r="G44" s="48">
        <f>+ROUND(C44*F44,2)</f>
        <v>403536.39</v>
      </c>
      <c r="H44" s="81"/>
      <c r="I44" s="81"/>
      <c r="J44" s="81"/>
      <c r="K44" s="81"/>
      <c r="L44" s="81"/>
      <c r="M44" s="81"/>
      <c r="N44" s="81"/>
      <c r="O44" s="81"/>
      <c r="P44" s="81"/>
    </row>
    <row r="45" spans="1:17" ht="30" customHeight="1">
      <c r="A45" s="59" t="s">
        <v>128</v>
      </c>
      <c r="B45" s="59"/>
      <c r="C45" s="58">
        <f>C44</f>
        <v>2017681.9400000002</v>
      </c>
      <c r="D45" s="125">
        <f>D44</f>
        <v>0.2</v>
      </c>
      <c r="E45" s="49">
        <f>E44</f>
        <v>403536.39</v>
      </c>
      <c r="F45" s="125">
        <f>F44</f>
        <v>0.2</v>
      </c>
      <c r="G45" s="49">
        <f>G44</f>
        <v>403536.39</v>
      </c>
      <c r="H45" s="81"/>
      <c r="I45" s="81"/>
      <c r="J45" s="81"/>
      <c r="K45" s="81"/>
      <c r="L45" s="81"/>
      <c r="M45" s="81"/>
      <c r="N45" s="81"/>
      <c r="O45" s="81"/>
      <c r="P45" s="81"/>
    </row>
    <row r="46" spans="1:17" ht="21.75" customHeight="1">
      <c r="D46" s="132" t="s">
        <v>129</v>
      </c>
      <c r="E46" s="57">
        <f>+ROUND(E45/1.21,2)</f>
        <v>333501.15000000002</v>
      </c>
      <c r="F46" s="56"/>
      <c r="G46" s="57">
        <f>+ROUND(G45/1.21,2)</f>
        <v>333501.15000000002</v>
      </c>
      <c r="H46" s="81"/>
      <c r="I46" s="81"/>
      <c r="J46" s="81"/>
      <c r="K46" s="81"/>
      <c r="L46" s="81"/>
      <c r="M46" s="81"/>
      <c r="N46" s="81"/>
      <c r="O46" s="81"/>
      <c r="P46" s="81"/>
    </row>
    <row r="47" spans="1:17" ht="21.75" customHeight="1">
      <c r="E47" s="133"/>
      <c r="F47" s="134"/>
      <c r="G47" s="133"/>
      <c r="H47" s="81"/>
      <c r="I47" s="81"/>
      <c r="J47" s="81"/>
      <c r="K47" s="81"/>
      <c r="L47" s="81"/>
      <c r="M47" s="81"/>
      <c r="N47" s="81"/>
      <c r="O47" s="81"/>
      <c r="P47" s="81"/>
    </row>
    <row r="48" spans="1:17" ht="21.75" customHeight="1">
      <c r="A48" s="55" t="s">
        <v>130</v>
      </c>
      <c r="B48" s="55"/>
      <c r="H48" s="81"/>
      <c r="I48" s="81"/>
      <c r="J48" s="81"/>
      <c r="K48" s="81"/>
      <c r="L48" s="81"/>
      <c r="M48" s="81"/>
      <c r="N48" s="81"/>
      <c r="O48" s="81"/>
      <c r="P48" s="81"/>
    </row>
    <row r="49" spans="1:16" ht="21.75" customHeight="1">
      <c r="I49" s="81"/>
      <c r="J49" s="81"/>
      <c r="K49" s="81"/>
      <c r="L49" s="81"/>
      <c r="M49" s="81"/>
      <c r="N49" s="81"/>
      <c r="O49" s="81"/>
      <c r="P49" s="81"/>
    </row>
    <row r="50" spans="1:16" ht="21.75" customHeight="1">
      <c r="A50" s="103"/>
      <c r="B50" s="103"/>
      <c r="C50" s="54" t="s">
        <v>131</v>
      </c>
      <c r="D50" s="54" t="s">
        <v>132</v>
      </c>
      <c r="E50" s="54" t="s">
        <v>133</v>
      </c>
      <c r="F50" s="54" t="s">
        <v>134</v>
      </c>
      <c r="H50" s="81"/>
      <c r="I50" s="81"/>
      <c r="J50" s="81"/>
      <c r="K50" s="81"/>
      <c r="L50" s="81"/>
      <c r="M50" s="81"/>
      <c r="N50" s="81"/>
      <c r="O50" s="81"/>
    </row>
    <row r="51" spans="1:16" ht="27.5" customHeight="1">
      <c r="A51" s="53">
        <v>2027</v>
      </c>
      <c r="B51" s="53"/>
      <c r="C51" s="52">
        <f>C11</f>
        <v>538944.28</v>
      </c>
      <c r="D51" s="48">
        <v>0</v>
      </c>
      <c r="E51" s="48">
        <f>ROUND((G51/$G$56)*$E$46,2)</f>
        <v>53486.34</v>
      </c>
      <c r="F51" s="48">
        <f>SUM(C51:E51)</f>
        <v>592430.62</v>
      </c>
      <c r="G51" s="163">
        <f t="shared" ref="G51" si="12">+C51+D51</f>
        <v>538944.28</v>
      </c>
      <c r="H51" s="246"/>
      <c r="I51" s="246"/>
      <c r="J51" s="246"/>
      <c r="K51" s="246"/>
      <c r="L51" s="246"/>
      <c r="M51" s="81"/>
      <c r="N51" s="81"/>
      <c r="O51" s="81"/>
    </row>
    <row r="52" spans="1:16" ht="21.75" customHeight="1">
      <c r="A52" s="53">
        <v>2028</v>
      </c>
      <c r="B52" s="53"/>
      <c r="C52" s="52">
        <f>F11</f>
        <v>846584.78000000014</v>
      </c>
      <c r="D52" s="48">
        <v>0</v>
      </c>
      <c r="E52" s="48">
        <f>ROUND(G52/$G$56*$E$46,2)</f>
        <v>84017.44</v>
      </c>
      <c r="F52" s="48">
        <f>SUM(C52:E52)</f>
        <v>930602.2200000002</v>
      </c>
      <c r="G52" s="163">
        <f>+C52+D52</f>
        <v>846584.78000000014</v>
      </c>
      <c r="H52" s="246"/>
      <c r="I52" s="246"/>
      <c r="J52" s="246"/>
      <c r="K52" s="246"/>
      <c r="L52" s="246"/>
      <c r="M52" s="81"/>
      <c r="N52" s="81"/>
      <c r="O52" s="81"/>
    </row>
    <row r="53" spans="1:16" ht="21.75" customHeight="1">
      <c r="A53" s="53">
        <v>2029</v>
      </c>
      <c r="B53" s="53"/>
      <c r="C53" s="52">
        <f>I11</f>
        <v>281976.68</v>
      </c>
      <c r="D53" s="52">
        <f>E35+E36</f>
        <v>564498.98</v>
      </c>
      <c r="E53" s="48">
        <f>ROUND(G53/$G$56*$E$46,2)</f>
        <v>84006.61</v>
      </c>
      <c r="F53" s="48">
        <f>SUM(C53:E53)</f>
        <v>930482.2699999999</v>
      </c>
      <c r="G53" s="163">
        <f t="shared" ref="G53:G55" si="13">+C53+D53</f>
        <v>846475.65999999992</v>
      </c>
      <c r="H53" s="246"/>
      <c r="I53" s="246"/>
      <c r="J53" s="246"/>
      <c r="K53" s="246"/>
      <c r="L53" s="246"/>
      <c r="M53" s="81"/>
      <c r="N53" s="81"/>
      <c r="O53" s="81"/>
    </row>
    <row r="54" spans="1:16" ht="21.75" customHeight="1">
      <c r="A54" s="53">
        <v>2030</v>
      </c>
      <c r="B54" s="53"/>
      <c r="C54" s="48">
        <v>0</v>
      </c>
      <c r="D54" s="52">
        <f>E37+E38</f>
        <v>846475.65</v>
      </c>
      <c r="E54" s="48">
        <f>ROUND(G54/$G$56*$E$46,2)</f>
        <v>84006.61</v>
      </c>
      <c r="F54" s="48">
        <f>SUM(C54:E54)</f>
        <v>930482.26</v>
      </c>
      <c r="G54" s="163">
        <f t="shared" si="13"/>
        <v>846475.65</v>
      </c>
      <c r="H54" s="246"/>
      <c r="I54" s="246"/>
      <c r="J54" s="246"/>
      <c r="K54" s="246"/>
      <c r="L54" s="246"/>
      <c r="M54" s="81"/>
      <c r="N54" s="81"/>
      <c r="O54" s="81"/>
    </row>
    <row r="55" spans="1:16" ht="21.75" customHeight="1">
      <c r="A55" s="53">
        <v>2031</v>
      </c>
      <c r="B55" s="53"/>
      <c r="C55" s="48">
        <v>0</v>
      </c>
      <c r="D55" s="52">
        <f>E39+E40</f>
        <v>281976.68</v>
      </c>
      <c r="E55" s="48">
        <f>ROUND(G55/$G$56*$E$46,2)</f>
        <v>27984.15</v>
      </c>
      <c r="F55" s="48">
        <f>SUM(C55:E55)</f>
        <v>309960.83</v>
      </c>
      <c r="G55" s="163">
        <f t="shared" si="13"/>
        <v>281976.68</v>
      </c>
      <c r="H55" s="246"/>
      <c r="I55" s="246"/>
      <c r="J55" s="246"/>
      <c r="K55" s="246"/>
      <c r="L55" s="246"/>
      <c r="M55" s="81"/>
      <c r="N55" s="81"/>
      <c r="O55" s="81"/>
    </row>
    <row r="56" spans="1:16" ht="21.75" customHeight="1">
      <c r="A56" s="51" t="s">
        <v>56</v>
      </c>
      <c r="B56" s="51"/>
      <c r="C56" s="50">
        <f t="shared" ref="C56" si="14">SUM(C51:C54)</f>
        <v>1667505.74</v>
      </c>
      <c r="D56" s="49">
        <f>SUM(D51:D55)</f>
        <v>1692951.3099999998</v>
      </c>
      <c r="E56" s="49">
        <f>SUM(E51:E55)</f>
        <v>333501.15000000002</v>
      </c>
      <c r="F56" s="49">
        <f>SUM(F51:F55)</f>
        <v>3693958.2</v>
      </c>
      <c r="G56" s="163">
        <f>SUM(G51:G55)</f>
        <v>3360457.05</v>
      </c>
      <c r="H56" s="246"/>
      <c r="I56" s="246"/>
      <c r="J56" s="246"/>
      <c r="K56" s="246"/>
      <c r="L56" s="246"/>
    </row>
    <row r="57" spans="1:16" ht="21.75" customHeight="1">
      <c r="I57" s="246"/>
      <c r="J57" s="246"/>
      <c r="K57" s="246"/>
      <c r="L57" s="246"/>
      <c r="M57" s="246"/>
    </row>
    <row r="58" spans="1:16">
      <c r="I58" s="246"/>
      <c r="J58" s="246"/>
      <c r="K58" s="246"/>
      <c r="L58" s="246"/>
      <c r="M58" s="246"/>
    </row>
    <row r="59" spans="1:16">
      <c r="I59" s="246"/>
      <c r="J59" s="246"/>
      <c r="K59" s="246"/>
      <c r="L59" s="246"/>
      <c r="M59" s="246"/>
    </row>
    <row r="60" spans="1:16" ht="15.5">
      <c r="A60" s="208" t="s">
        <v>130</v>
      </c>
      <c r="B60" s="262" t="s">
        <v>163</v>
      </c>
      <c r="C60" s="263"/>
      <c r="D60" s="263"/>
      <c r="E60" s="263"/>
      <c r="I60" s="246"/>
      <c r="J60" s="246"/>
      <c r="K60" s="246"/>
      <c r="L60" s="246"/>
      <c r="M60" s="246"/>
    </row>
    <row r="61" spans="1:16" ht="14.5">
      <c r="A61" s="209">
        <f>F56</f>
        <v>3693958.2</v>
      </c>
      <c r="B61" s="264" t="s">
        <v>164</v>
      </c>
      <c r="C61" s="265"/>
      <c r="D61" s="264" t="s">
        <v>165</v>
      </c>
      <c r="E61" s="265"/>
    </row>
    <row r="62" spans="1:16" ht="14.5">
      <c r="A62" s="208" t="s">
        <v>166</v>
      </c>
      <c r="B62" s="208" t="s">
        <v>167</v>
      </c>
      <c r="C62" s="208" t="s">
        <v>168</v>
      </c>
      <c r="D62" s="208" t="s">
        <v>169</v>
      </c>
      <c r="E62" s="208" t="s">
        <v>168</v>
      </c>
    </row>
    <row r="63" spans="1:16">
      <c r="A63" s="210">
        <v>4</v>
      </c>
      <c r="B63" s="48">
        <f>+C63/A63</f>
        <v>1385234.3250000002</v>
      </c>
      <c r="C63" s="48">
        <f>1.5*A61</f>
        <v>5540937.3000000007</v>
      </c>
      <c r="D63" s="48">
        <f>ROUND(A61*2/3/A63,2)</f>
        <v>615659.69999999995</v>
      </c>
      <c r="E63" s="48">
        <f>+C63</f>
        <v>5540937.3000000007</v>
      </c>
    </row>
    <row r="64" spans="1:16">
      <c r="B64" s="211" t="s">
        <v>170</v>
      </c>
      <c r="C64" s="211" t="s">
        <v>171</v>
      </c>
      <c r="D64" s="212" t="s">
        <v>172</v>
      </c>
      <c r="E64" s="211" t="s">
        <v>171</v>
      </c>
    </row>
    <row r="67" spans="1:6" ht="29.5" thickBot="1">
      <c r="A67" s="294" t="s">
        <v>223</v>
      </c>
      <c r="B67" s="76" t="s">
        <v>60</v>
      </c>
      <c r="C67" s="76" t="s">
        <v>62</v>
      </c>
      <c r="D67" s="76" t="s">
        <v>207</v>
      </c>
      <c r="E67" s="76" t="s">
        <v>225</v>
      </c>
      <c r="F67" s="76" t="s">
        <v>224</v>
      </c>
    </row>
    <row r="68" spans="1:6" ht="13" customHeight="1">
      <c r="A68" s="295" t="s">
        <v>222</v>
      </c>
      <c r="B68" s="245">
        <f>Infraestructura!G3</f>
        <v>248835.49</v>
      </c>
      <c r="C68" s="245">
        <f>Infraestructura!I3</f>
        <v>426575.12</v>
      </c>
      <c r="D68" s="245">
        <f>Infraestructura!K3</f>
        <v>142191.71</v>
      </c>
      <c r="E68" s="245">
        <f xml:space="preserve"> ROUND(F68/1.21,2)</f>
        <v>675704.4</v>
      </c>
      <c r="F68" s="245">
        <f>B68+C68+D68</f>
        <v>817602.32</v>
      </c>
    </row>
    <row r="69" spans="1:6" ht="14.5">
      <c r="A69" s="84" t="s">
        <v>220</v>
      </c>
      <c r="B69" s="146">
        <f>Infraestructura!G7</f>
        <v>11495</v>
      </c>
      <c r="C69" s="146">
        <f>Infraestructura!I7</f>
        <v>7260</v>
      </c>
      <c r="D69" s="146">
        <f>Infraestructura!K7</f>
        <v>2420</v>
      </c>
      <c r="E69" s="296">
        <f xml:space="preserve"> ROUND(F69/1.21,2)</f>
        <v>17500</v>
      </c>
      <c r="F69" s="296">
        <f t="shared" ref="F69:F70" si="15">B69+C69+D69</f>
        <v>21175</v>
      </c>
    </row>
    <row r="70" spans="1:6" ht="14.5">
      <c r="A70" s="84" t="s">
        <v>221</v>
      </c>
      <c r="B70" s="146">
        <f>Infraestructura!G8</f>
        <v>14197.84</v>
      </c>
      <c r="C70" s="146">
        <f>Infraestructura!I8</f>
        <v>24339.15</v>
      </c>
      <c r="D70" s="146">
        <f>Infraestructura!K8</f>
        <v>8113.05</v>
      </c>
      <c r="E70" s="296">
        <f xml:space="preserve"> ROUND(F70/1.21,2)</f>
        <v>38553.75</v>
      </c>
      <c r="F70" s="296">
        <f t="shared" si="15"/>
        <v>46650.040000000008</v>
      </c>
    </row>
    <row r="71" spans="1:6" ht="14.5">
      <c r="A71" s="78" t="s">
        <v>56</v>
      </c>
      <c r="B71" s="77">
        <f>SUM(B68:B70)</f>
        <v>274528.33</v>
      </c>
      <c r="C71" s="77">
        <f>SUM(C68:C70)</f>
        <v>458174.27</v>
      </c>
      <c r="D71" s="77">
        <f>SUM(D68:D70)</f>
        <v>152724.75999999998</v>
      </c>
      <c r="E71" s="297">
        <f t="shared" ref="E71:F71" si="16">SUM(E68:E70)</f>
        <v>731758.15</v>
      </c>
      <c r="F71" s="297">
        <f t="shared" si="16"/>
        <v>885427.36</v>
      </c>
    </row>
  </sheetData>
  <mergeCells count="4">
    <mergeCell ref="E17:K19"/>
    <mergeCell ref="B60:E60"/>
    <mergeCell ref="B61:C61"/>
    <mergeCell ref="D61:E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R54"/>
  <sheetViews>
    <sheetView topLeftCell="C1" zoomScale="110" zoomScaleNormal="110" workbookViewId="0">
      <selection activeCell="G11" sqref="G11"/>
    </sheetView>
  </sheetViews>
  <sheetFormatPr defaultColWidth="9.1796875" defaultRowHeight="14.5"/>
  <cols>
    <col min="1" max="1" width="24.453125" customWidth="1"/>
    <col min="2" max="2" width="38" customWidth="1"/>
    <col min="3" max="3" width="11.453125" customWidth="1"/>
    <col min="4" max="4" width="17.1796875" customWidth="1"/>
    <col min="5" max="5" width="13.81640625" customWidth="1"/>
    <col min="6" max="6" width="15" customWidth="1"/>
    <col min="7" max="7" width="17" style="1" customWidth="1"/>
    <col min="8" max="8" width="14.453125" bestFit="1" customWidth="1"/>
    <col min="9" max="9" width="16.36328125" customWidth="1"/>
    <col min="10" max="10" width="12.54296875" customWidth="1"/>
    <col min="11" max="11" width="15.81640625" customWidth="1"/>
  </cols>
  <sheetData>
    <row r="2" spans="1:16" ht="30.75" customHeight="1" thickBot="1">
      <c r="A2" s="271" t="s">
        <v>160</v>
      </c>
      <c r="B2" s="272"/>
      <c r="C2" s="278"/>
      <c r="D2" s="279"/>
      <c r="E2" s="280"/>
      <c r="F2" s="76" t="s">
        <v>59</v>
      </c>
      <c r="G2" s="76" t="s">
        <v>60</v>
      </c>
      <c r="H2" s="76" t="s">
        <v>61</v>
      </c>
      <c r="I2" s="76" t="s">
        <v>62</v>
      </c>
      <c r="J2" s="76" t="s">
        <v>206</v>
      </c>
      <c r="K2" s="76" t="s">
        <v>207</v>
      </c>
    </row>
    <row r="3" spans="1:16" ht="15" customHeight="1">
      <c r="A3" s="284" t="s">
        <v>36</v>
      </c>
      <c r="B3" s="281" t="s">
        <v>63</v>
      </c>
      <c r="C3" s="273" t="s">
        <v>64</v>
      </c>
      <c r="D3" s="274"/>
      <c r="E3" s="274"/>
      <c r="F3" s="266">
        <f>H3/12*7</f>
        <v>205649.16287999999</v>
      </c>
      <c r="G3" s="267">
        <f>ROUND(F3*1.21,2)</f>
        <v>248835.49</v>
      </c>
      <c r="H3" s="266">
        <f>G30</f>
        <v>352541.42207999999</v>
      </c>
      <c r="I3" s="267">
        <f>ROUND(H3*1.21,2)</f>
        <v>426575.12</v>
      </c>
      <c r="J3" s="266">
        <f>H3/12*4</f>
        <v>117513.80735999999</v>
      </c>
      <c r="K3" s="267">
        <f>ROUND(J3*1.21,2)</f>
        <v>142191.71</v>
      </c>
    </row>
    <row r="4" spans="1:16">
      <c r="A4" s="259"/>
      <c r="B4" s="259"/>
      <c r="C4" s="276" t="s">
        <v>65</v>
      </c>
      <c r="D4" s="259"/>
      <c r="E4" s="259"/>
      <c r="F4" s="259"/>
      <c r="G4" s="286"/>
      <c r="H4" s="259"/>
      <c r="I4" s="259"/>
      <c r="J4" s="259"/>
      <c r="K4" s="259"/>
    </row>
    <row r="5" spans="1:16">
      <c r="A5" s="259"/>
      <c r="B5" s="259"/>
      <c r="C5" s="276" t="s">
        <v>66</v>
      </c>
      <c r="D5" s="259"/>
      <c r="E5" s="259"/>
      <c r="F5" s="259"/>
      <c r="G5" s="286"/>
      <c r="H5" s="259"/>
      <c r="I5" s="259"/>
      <c r="J5" s="259"/>
      <c r="K5" s="259"/>
    </row>
    <row r="6" spans="1:16">
      <c r="A6" s="259"/>
      <c r="B6" s="259"/>
      <c r="C6" s="276" t="s">
        <v>67</v>
      </c>
      <c r="D6" s="259"/>
      <c r="E6" s="259"/>
      <c r="F6" s="259"/>
      <c r="G6" s="286"/>
      <c r="H6" s="259"/>
      <c r="I6" s="259"/>
      <c r="J6" s="259"/>
      <c r="K6" s="259"/>
    </row>
    <row r="7" spans="1:16" ht="16" customHeight="1">
      <c r="A7" s="259"/>
      <c r="B7" s="84" t="s">
        <v>68</v>
      </c>
      <c r="C7" s="288" t="s">
        <v>69</v>
      </c>
      <c r="D7" s="259"/>
      <c r="E7" s="259"/>
      <c r="F7" s="83">
        <f>E36</f>
        <v>9500</v>
      </c>
      <c r="G7" s="146">
        <f>ROUND(F7*1.21,2)</f>
        <v>11495</v>
      </c>
      <c r="H7" s="120">
        <f>F36</f>
        <v>6000</v>
      </c>
      <c r="I7" s="146">
        <f>ROUND(H7*1.21,2)</f>
        <v>7260</v>
      </c>
      <c r="J7" s="120">
        <f>G36</f>
        <v>2000</v>
      </c>
      <c r="K7" s="146">
        <f>ROUND(J7*1.21,2)</f>
        <v>2420</v>
      </c>
    </row>
    <row r="8" spans="1:16" ht="16" customHeight="1">
      <c r="A8" s="148"/>
      <c r="B8" s="84" t="s">
        <v>68</v>
      </c>
      <c r="C8" s="276" t="s">
        <v>161</v>
      </c>
      <c r="D8" s="259"/>
      <c r="E8" s="259"/>
      <c r="F8" s="83">
        <f>E39</f>
        <v>11733.75</v>
      </c>
      <c r="G8" s="146">
        <f>ROUND(F8*1.21,2)</f>
        <v>14197.84</v>
      </c>
      <c r="H8" s="82">
        <f>F39</f>
        <v>20115</v>
      </c>
      <c r="I8" s="146">
        <f>ROUND(H8*1.21,2)</f>
        <v>24339.15</v>
      </c>
      <c r="J8" s="82">
        <f>G39</f>
        <v>6705</v>
      </c>
      <c r="K8" s="146">
        <f>ROUND(J8*1.21,2)</f>
        <v>8113.05</v>
      </c>
    </row>
    <row r="9" spans="1:16" ht="16" customHeight="1">
      <c r="A9" s="78"/>
      <c r="B9" s="78"/>
      <c r="C9" s="289" t="s">
        <v>56</v>
      </c>
      <c r="D9" s="290"/>
      <c r="E9" s="291"/>
      <c r="F9" s="77">
        <f t="shared" ref="F9:K9" si="0">SUM(F3:F8)</f>
        <v>226882.91287999999</v>
      </c>
      <c r="G9" s="77">
        <f t="shared" si="0"/>
        <v>274528.33</v>
      </c>
      <c r="H9" s="77">
        <f t="shared" si="0"/>
        <v>378656.42207999999</v>
      </c>
      <c r="I9" s="77">
        <f t="shared" si="0"/>
        <v>458174.27</v>
      </c>
      <c r="J9" s="77">
        <f t="shared" si="0"/>
        <v>126218.80735999999</v>
      </c>
      <c r="K9" s="77">
        <f t="shared" si="0"/>
        <v>152724.75999999998</v>
      </c>
    </row>
    <row r="10" spans="1:16" ht="15.75" customHeight="1" thickBot="1">
      <c r="F10" s="82"/>
      <c r="I10" s="82"/>
    </row>
    <row r="11" spans="1:16" ht="15" thickBot="1">
      <c r="B11" s="282" t="s">
        <v>70</v>
      </c>
      <c r="C11" s="74" t="s">
        <v>71</v>
      </c>
      <c r="D11" s="75" t="s">
        <v>72</v>
      </c>
      <c r="E11" s="75" t="s">
        <v>73</v>
      </c>
      <c r="J11" s="82"/>
    </row>
    <row r="12" spans="1:16" ht="15.75" customHeight="1" thickBot="1">
      <c r="B12" s="283"/>
      <c r="C12" s="72">
        <f>$K$35+P43</f>
        <v>259</v>
      </c>
      <c r="D12" s="73">
        <f>$L$35+Q43</f>
        <v>2766</v>
      </c>
      <c r="E12" s="73">
        <f>$M$35+R43</f>
        <v>65550</v>
      </c>
    </row>
    <row r="13" spans="1:16">
      <c r="B13" s="70"/>
      <c r="C13" s="79"/>
      <c r="D13" s="79"/>
      <c r="E13" s="79"/>
    </row>
    <row r="14" spans="1:16">
      <c r="A14" s="287" t="s">
        <v>211</v>
      </c>
      <c r="B14" s="259"/>
      <c r="C14" s="259"/>
      <c r="D14" s="259"/>
      <c r="E14" s="259"/>
      <c r="F14" s="259"/>
      <c r="G14" s="286"/>
      <c r="H14" s="259"/>
      <c r="I14" s="259"/>
    </row>
    <row r="15" spans="1:16" ht="15" customHeight="1">
      <c r="A15" s="118"/>
      <c r="B15" s="119"/>
      <c r="F15" s="111"/>
      <c r="G15" s="111"/>
    </row>
    <row r="16" spans="1:16">
      <c r="A16" s="118"/>
      <c r="B16" s="119"/>
      <c r="F16" s="111"/>
      <c r="G16" s="111"/>
      <c r="K16" t="s">
        <v>155</v>
      </c>
      <c r="P16" t="s">
        <v>153</v>
      </c>
    </row>
    <row r="17" spans="1:18" ht="15" customHeight="1">
      <c r="A17" s="277" t="s">
        <v>74</v>
      </c>
      <c r="B17" s="277" t="s">
        <v>154</v>
      </c>
      <c r="C17" s="104" t="s">
        <v>75</v>
      </c>
      <c r="D17" s="277" t="s">
        <v>76</v>
      </c>
      <c r="E17" s="285" t="s">
        <v>77</v>
      </c>
      <c r="F17" s="275" t="s">
        <v>78</v>
      </c>
      <c r="G17" s="275" t="s">
        <v>79</v>
      </c>
      <c r="H17" s="275" t="s">
        <v>80</v>
      </c>
      <c r="K17" s="110" t="s">
        <v>71</v>
      </c>
      <c r="L17" s="110" t="s">
        <v>85</v>
      </c>
      <c r="M17" s="110" t="s">
        <v>86</v>
      </c>
      <c r="P17" s="110" t="s">
        <v>71</v>
      </c>
      <c r="Q17" s="110" t="s">
        <v>85</v>
      </c>
      <c r="R17" s="110" t="s">
        <v>86</v>
      </c>
    </row>
    <row r="18" spans="1:18">
      <c r="A18" s="270"/>
      <c r="B18" s="270"/>
      <c r="C18" s="104" t="s">
        <v>81</v>
      </c>
      <c r="D18" s="270"/>
      <c r="E18" s="270"/>
      <c r="F18" s="270"/>
      <c r="G18" s="270"/>
      <c r="H18" s="270"/>
      <c r="K18">
        <v>1</v>
      </c>
      <c r="L18">
        <v>4</v>
      </c>
      <c r="M18">
        <v>30</v>
      </c>
      <c r="P18">
        <v>1</v>
      </c>
      <c r="Q18">
        <v>4</v>
      </c>
      <c r="R18">
        <v>30</v>
      </c>
    </row>
    <row r="19" spans="1:18">
      <c r="A19" s="268" t="s">
        <v>82</v>
      </c>
      <c r="B19" s="105" t="s">
        <v>83</v>
      </c>
      <c r="C19" s="106" t="s">
        <v>84</v>
      </c>
      <c r="D19" s="232">
        <v>1.4383E-2</v>
      </c>
      <c r="E19" s="107">
        <f>$K$35+$P$43</f>
        <v>259</v>
      </c>
      <c r="F19" s="108">
        <f>D19*E19*720</f>
        <v>2682.1418400000002</v>
      </c>
      <c r="G19" s="108">
        <f t="shared" ref="G19:G30" si="1">+F19*12</f>
        <v>32185.702080000003</v>
      </c>
      <c r="H19" s="109">
        <f t="shared" ref="H19:H30" si="2">G19*1.21</f>
        <v>38944.699516799999</v>
      </c>
      <c r="K19">
        <v>1</v>
      </c>
      <c r="L19">
        <v>4</v>
      </c>
      <c r="M19">
        <v>30</v>
      </c>
      <c r="P19">
        <v>1</v>
      </c>
      <c r="Q19">
        <v>4</v>
      </c>
      <c r="R19">
        <v>30</v>
      </c>
    </row>
    <row r="20" spans="1:18">
      <c r="A20" s="269"/>
      <c r="B20" s="105" t="s">
        <v>87</v>
      </c>
      <c r="C20" s="106" t="s">
        <v>84</v>
      </c>
      <c r="D20" s="232">
        <v>6.6670000000000002E-3</v>
      </c>
      <c r="E20" s="107">
        <f>$L$35+$Q$43</f>
        <v>2766</v>
      </c>
      <c r="F20" s="108">
        <f>D20*E20*720</f>
        <v>13277.46384</v>
      </c>
      <c r="G20" s="108">
        <f t="shared" si="1"/>
        <v>159329.56608000002</v>
      </c>
      <c r="H20" s="109">
        <f t="shared" si="2"/>
        <v>192788.77495680001</v>
      </c>
      <c r="K20">
        <v>1</v>
      </c>
      <c r="L20">
        <v>4</v>
      </c>
      <c r="M20">
        <v>100</v>
      </c>
      <c r="P20">
        <v>1</v>
      </c>
      <c r="Q20">
        <v>4</v>
      </c>
      <c r="R20">
        <v>100</v>
      </c>
    </row>
    <row r="21" spans="1:18">
      <c r="A21" s="270"/>
      <c r="B21" s="105" t="s">
        <v>88</v>
      </c>
      <c r="C21" s="106" t="s">
        <v>84</v>
      </c>
      <c r="D21" s="232">
        <v>1.5100000000000001E-4</v>
      </c>
      <c r="E21" s="107">
        <f>$M$35+$R$43</f>
        <v>65550</v>
      </c>
      <c r="F21" s="108">
        <f>D21*E21*720</f>
        <v>7126.5960000000014</v>
      </c>
      <c r="G21" s="108">
        <f t="shared" si="1"/>
        <v>85519.152000000016</v>
      </c>
      <c r="H21" s="109">
        <f t="shared" si="2"/>
        <v>103478.17392000002</v>
      </c>
      <c r="K21">
        <v>4</v>
      </c>
      <c r="L21">
        <v>8</v>
      </c>
      <c r="M21">
        <v>50</v>
      </c>
      <c r="P21">
        <v>4</v>
      </c>
      <c r="Q21">
        <v>16</v>
      </c>
      <c r="R21">
        <v>50</v>
      </c>
    </row>
    <row r="22" spans="1:18">
      <c r="A22" s="112" t="s">
        <v>89</v>
      </c>
      <c r="B22" s="105" t="s">
        <v>90</v>
      </c>
      <c r="C22" s="106" t="s">
        <v>91</v>
      </c>
      <c r="D22" s="232">
        <v>9.7240800000000007</v>
      </c>
      <c r="E22" s="107">
        <v>23</v>
      </c>
      <c r="F22" s="113">
        <f t="shared" ref="F22:F29" si="3">D22*E22</f>
        <v>223.65384</v>
      </c>
      <c r="G22" s="108">
        <f t="shared" si="1"/>
        <v>2683.8460800000003</v>
      </c>
      <c r="H22" s="109">
        <f t="shared" si="2"/>
        <v>3247.4537568000001</v>
      </c>
      <c r="K22">
        <v>4</v>
      </c>
      <c r="L22">
        <v>8</v>
      </c>
      <c r="M22">
        <v>50</v>
      </c>
      <c r="P22">
        <v>4</v>
      </c>
      <c r="Q22">
        <v>16</v>
      </c>
      <c r="R22">
        <v>50</v>
      </c>
    </row>
    <row r="23" spans="1:18">
      <c r="A23" s="112" t="s">
        <v>92</v>
      </c>
      <c r="B23" s="105" t="s">
        <v>93</v>
      </c>
      <c r="C23" s="106" t="s">
        <v>91</v>
      </c>
      <c r="D23" s="232">
        <v>2.7E-2</v>
      </c>
      <c r="E23" s="107">
        <v>50</v>
      </c>
      <c r="F23" s="113">
        <f t="shared" si="3"/>
        <v>1.35</v>
      </c>
      <c r="G23" s="108">
        <f t="shared" si="1"/>
        <v>16.200000000000003</v>
      </c>
      <c r="H23" s="109">
        <f t="shared" si="2"/>
        <v>19.602000000000004</v>
      </c>
      <c r="K23">
        <v>4</v>
      </c>
      <c r="L23">
        <v>4</v>
      </c>
      <c r="M23">
        <v>50</v>
      </c>
      <c r="P23">
        <v>8</v>
      </c>
      <c r="Q23">
        <v>16</v>
      </c>
      <c r="R23">
        <v>500</v>
      </c>
    </row>
    <row r="24" spans="1:18">
      <c r="A24" s="114"/>
      <c r="B24" s="105" t="s">
        <v>94</v>
      </c>
      <c r="C24" s="106" t="s">
        <v>91</v>
      </c>
      <c r="D24" s="232">
        <v>8.6999999999999994E-2</v>
      </c>
      <c r="E24" s="107">
        <v>791</v>
      </c>
      <c r="F24" s="113">
        <f t="shared" si="3"/>
        <v>68.816999999999993</v>
      </c>
      <c r="G24" s="108">
        <f t="shared" si="1"/>
        <v>825.80399999999986</v>
      </c>
      <c r="H24" s="109">
        <f t="shared" si="2"/>
        <v>999.22283999999979</v>
      </c>
      <c r="K24">
        <v>2</v>
      </c>
      <c r="L24">
        <v>4</v>
      </c>
      <c r="M24">
        <v>40</v>
      </c>
      <c r="P24">
        <v>2</v>
      </c>
      <c r="Q24">
        <v>4</v>
      </c>
      <c r="R24">
        <v>40</v>
      </c>
    </row>
    <row r="25" spans="1:18" ht="15" customHeight="1">
      <c r="A25" s="114"/>
      <c r="B25" s="105" t="s">
        <v>95</v>
      </c>
      <c r="C25" s="106" t="s">
        <v>91</v>
      </c>
      <c r="D25" s="232">
        <v>0.18124999999999999</v>
      </c>
      <c r="E25" s="107"/>
      <c r="F25" s="113">
        <f t="shared" si="3"/>
        <v>0</v>
      </c>
      <c r="G25" s="108">
        <f t="shared" si="1"/>
        <v>0</v>
      </c>
      <c r="H25" s="109">
        <f t="shared" si="2"/>
        <v>0</v>
      </c>
      <c r="K25">
        <v>6</v>
      </c>
      <c r="L25">
        <v>48</v>
      </c>
      <c r="M25">
        <v>380</v>
      </c>
      <c r="P25">
        <v>8</v>
      </c>
      <c r="Q25">
        <v>72</v>
      </c>
      <c r="R25">
        <v>300</v>
      </c>
    </row>
    <row r="26" spans="1:18">
      <c r="A26" s="114"/>
      <c r="B26" s="105" t="s">
        <v>96</v>
      </c>
      <c r="C26" s="106" t="s">
        <v>91</v>
      </c>
      <c r="D26" s="232">
        <v>0.32100000000000001</v>
      </c>
      <c r="E26" s="107">
        <v>14762</v>
      </c>
      <c r="F26" s="113">
        <f t="shared" si="3"/>
        <v>4738.6019999999999</v>
      </c>
      <c r="G26" s="108">
        <f t="shared" si="1"/>
        <v>56863.224000000002</v>
      </c>
      <c r="H26" s="109">
        <f t="shared" si="2"/>
        <v>68804.501040000003</v>
      </c>
      <c r="K26">
        <v>4</v>
      </c>
      <c r="L26">
        <v>6</v>
      </c>
      <c r="M26">
        <v>50</v>
      </c>
      <c r="P26">
        <v>5</v>
      </c>
      <c r="Q26">
        <v>64</v>
      </c>
      <c r="R26">
        <v>130</v>
      </c>
    </row>
    <row r="27" spans="1:18">
      <c r="A27" s="268" t="s">
        <v>97</v>
      </c>
      <c r="B27" s="105" t="s">
        <v>98</v>
      </c>
      <c r="C27" s="106" t="s">
        <v>91</v>
      </c>
      <c r="D27" s="232">
        <v>132</v>
      </c>
      <c r="E27" s="107">
        <v>2</v>
      </c>
      <c r="F27" s="113">
        <f t="shared" si="3"/>
        <v>264</v>
      </c>
      <c r="G27" s="108">
        <f t="shared" si="1"/>
        <v>3168</v>
      </c>
      <c r="H27" s="109">
        <f t="shared" si="2"/>
        <v>3833.2799999999997</v>
      </c>
      <c r="K27">
        <v>4</v>
      </c>
      <c r="L27">
        <v>16</v>
      </c>
      <c r="M27">
        <v>200</v>
      </c>
      <c r="P27">
        <v>8</v>
      </c>
      <c r="Q27">
        <v>16</v>
      </c>
      <c r="R27">
        <v>200</v>
      </c>
    </row>
    <row r="28" spans="1:18">
      <c r="A28" s="269"/>
      <c r="B28" s="105" t="s">
        <v>99</v>
      </c>
      <c r="C28" s="106" t="s">
        <v>91</v>
      </c>
      <c r="D28" s="232">
        <v>215.82731999999999</v>
      </c>
      <c r="E28" s="107">
        <v>1</v>
      </c>
      <c r="F28" s="113">
        <f t="shared" si="3"/>
        <v>215.82731999999999</v>
      </c>
      <c r="G28" s="108">
        <f t="shared" si="1"/>
        <v>2589.9278399999998</v>
      </c>
      <c r="H28" s="109">
        <f t="shared" si="2"/>
        <v>3133.8126863999996</v>
      </c>
      <c r="K28">
        <v>4</v>
      </c>
      <c r="L28">
        <v>16</v>
      </c>
      <c r="M28">
        <v>200</v>
      </c>
      <c r="P28">
        <v>2</v>
      </c>
      <c r="Q28">
        <v>4</v>
      </c>
      <c r="R28">
        <v>30</v>
      </c>
    </row>
    <row r="29" spans="1:18">
      <c r="A29" s="270"/>
      <c r="B29" s="105" t="s">
        <v>100</v>
      </c>
      <c r="C29" s="106" t="s">
        <v>91</v>
      </c>
      <c r="D29" s="232">
        <v>780</v>
      </c>
      <c r="E29" s="107">
        <v>1</v>
      </c>
      <c r="F29" s="113">
        <f t="shared" si="3"/>
        <v>780</v>
      </c>
      <c r="G29" s="108">
        <f t="shared" si="1"/>
        <v>9360</v>
      </c>
      <c r="H29" s="109">
        <f t="shared" si="2"/>
        <v>11325.6</v>
      </c>
      <c r="K29">
        <v>4</v>
      </c>
      <c r="L29">
        <v>16</v>
      </c>
      <c r="M29">
        <v>200</v>
      </c>
      <c r="P29">
        <v>4</v>
      </c>
      <c r="Q29">
        <v>16</v>
      </c>
      <c r="R29">
        <v>200</v>
      </c>
    </row>
    <row r="30" spans="1:18">
      <c r="A30" s="115"/>
      <c r="B30" s="116" t="s">
        <v>56</v>
      </c>
      <c r="C30" s="2"/>
      <c r="D30" s="2"/>
      <c r="E30" s="2"/>
      <c r="F30" s="152">
        <f>SUM(F19:F29)</f>
        <v>29378.451839999998</v>
      </c>
      <c r="G30" s="117">
        <f t="shared" si="1"/>
        <v>352541.42207999999</v>
      </c>
      <c r="H30" s="117">
        <f t="shared" si="2"/>
        <v>426575.12071679998</v>
      </c>
      <c r="K30">
        <v>8</v>
      </c>
      <c r="L30">
        <v>96</v>
      </c>
      <c r="M30">
        <v>2174</v>
      </c>
      <c r="P30">
        <v>4</v>
      </c>
      <c r="Q30">
        <v>16</v>
      </c>
      <c r="R30">
        <v>200</v>
      </c>
    </row>
    <row r="31" spans="1:18">
      <c r="K31">
        <v>8</v>
      </c>
      <c r="L31">
        <v>96</v>
      </c>
      <c r="M31">
        <v>2174</v>
      </c>
      <c r="P31">
        <v>4</v>
      </c>
      <c r="Q31">
        <v>16</v>
      </c>
      <c r="R31">
        <v>200</v>
      </c>
    </row>
    <row r="32" spans="1:18">
      <c r="K32">
        <v>8</v>
      </c>
      <c r="L32">
        <v>96</v>
      </c>
      <c r="M32">
        <v>2174</v>
      </c>
      <c r="P32">
        <v>16</v>
      </c>
      <c r="Q32">
        <v>256</v>
      </c>
      <c r="R32">
        <v>5272</v>
      </c>
    </row>
    <row r="33" spans="1:18">
      <c r="A33" s="2"/>
      <c r="B33" s="104" t="s">
        <v>101</v>
      </c>
      <c r="C33" s="104"/>
      <c r="D33" s="104" t="s">
        <v>196</v>
      </c>
      <c r="E33" s="104" t="s">
        <v>203</v>
      </c>
      <c r="F33" s="104">
        <v>2028</v>
      </c>
      <c r="G33" s="104" t="s">
        <v>204</v>
      </c>
      <c r="K33">
        <v>2</v>
      </c>
      <c r="L33">
        <v>4</v>
      </c>
      <c r="M33">
        <v>30</v>
      </c>
      <c r="P33">
        <v>16</v>
      </c>
      <c r="Q33">
        <v>256</v>
      </c>
      <c r="R33">
        <v>5272</v>
      </c>
    </row>
    <row r="34" spans="1:18" ht="24.5">
      <c r="A34" s="153" t="s">
        <v>69</v>
      </c>
      <c r="B34" s="239" t="s">
        <v>199</v>
      </c>
      <c r="C34" s="236" t="s">
        <v>102</v>
      </c>
      <c r="D34" s="234">
        <v>6000</v>
      </c>
      <c r="E34" s="151">
        <f>D34</f>
        <v>6000</v>
      </c>
      <c r="F34" s="2"/>
      <c r="G34" s="2"/>
      <c r="K34">
        <v>2</v>
      </c>
      <c r="L34">
        <v>4</v>
      </c>
      <c r="M34">
        <v>30</v>
      </c>
      <c r="P34">
        <v>16</v>
      </c>
      <c r="Q34">
        <v>256</v>
      </c>
      <c r="R34">
        <v>5272</v>
      </c>
    </row>
    <row r="35" spans="1:18" ht="15" customHeight="1">
      <c r="A35" s="2"/>
      <c r="B35" s="239" t="s">
        <v>198</v>
      </c>
      <c r="C35" s="237" t="s">
        <v>91</v>
      </c>
      <c r="D35" s="234">
        <v>500</v>
      </c>
      <c r="E35" s="151">
        <f>D35*7</f>
        <v>3500</v>
      </c>
      <c r="F35" s="109">
        <f>D35*12</f>
        <v>6000</v>
      </c>
      <c r="G35" s="109">
        <f>D35*4</f>
        <v>2000</v>
      </c>
      <c r="K35" s="110">
        <f>SUM(K18:K34)</f>
        <v>67</v>
      </c>
      <c r="L35" s="110">
        <f>SUM(L18:L34)</f>
        <v>434</v>
      </c>
      <c r="M35" s="110">
        <f>SUM(M18:M34)</f>
        <v>7962</v>
      </c>
      <c r="P35">
        <v>16</v>
      </c>
      <c r="Q35">
        <v>256</v>
      </c>
      <c r="R35">
        <v>5272</v>
      </c>
    </row>
    <row r="36" spans="1:18">
      <c r="A36" s="2"/>
      <c r="B36" s="2"/>
      <c r="C36" s="237"/>
      <c r="D36" s="149" t="s">
        <v>56</v>
      </c>
      <c r="E36" s="150">
        <f>E34+E35</f>
        <v>9500</v>
      </c>
      <c r="F36" s="150">
        <f>F34+F35</f>
        <v>6000</v>
      </c>
      <c r="G36" s="150">
        <f>G34+G35</f>
        <v>2000</v>
      </c>
      <c r="P36">
        <v>16</v>
      </c>
      <c r="Q36">
        <v>256</v>
      </c>
      <c r="R36">
        <v>5272</v>
      </c>
    </row>
    <row r="37" spans="1:18" ht="15" customHeight="1">
      <c r="C37" s="238"/>
      <c r="P37">
        <v>16</v>
      </c>
      <c r="Q37">
        <v>256</v>
      </c>
      <c r="R37">
        <v>5272</v>
      </c>
    </row>
    <row r="38" spans="1:18">
      <c r="A38" s="2"/>
      <c r="B38" s="104" t="s">
        <v>101</v>
      </c>
      <c r="C38" s="235"/>
      <c r="D38" s="104" t="s">
        <v>196</v>
      </c>
      <c r="E38" s="104" t="s">
        <v>152</v>
      </c>
      <c r="F38" s="104">
        <v>2028</v>
      </c>
      <c r="G38" s="104">
        <v>2028</v>
      </c>
      <c r="P38">
        <v>16</v>
      </c>
      <c r="Q38">
        <v>256</v>
      </c>
      <c r="R38">
        <v>5272</v>
      </c>
    </row>
    <row r="39" spans="1:18">
      <c r="A39" s="153" t="s">
        <v>68</v>
      </c>
      <c r="B39" s="153" t="s">
        <v>205</v>
      </c>
      <c r="C39" s="237" t="s">
        <v>91</v>
      </c>
      <c r="D39" s="233">
        <v>1676.25</v>
      </c>
      <c r="E39" s="151">
        <f>D39*7</f>
        <v>11733.75</v>
      </c>
      <c r="F39" s="154">
        <f>D39*12</f>
        <v>20115</v>
      </c>
      <c r="G39" s="154">
        <f>D39*4</f>
        <v>6705</v>
      </c>
      <c r="P39">
        <v>16</v>
      </c>
      <c r="Q39">
        <v>256</v>
      </c>
      <c r="R39">
        <v>5272</v>
      </c>
    </row>
    <row r="40" spans="1:18">
      <c r="P40">
        <v>4</v>
      </c>
      <c r="Q40">
        <v>8</v>
      </c>
      <c r="R40">
        <v>13292</v>
      </c>
    </row>
    <row r="41" spans="1:18">
      <c r="P41">
        <v>2</v>
      </c>
      <c r="Q41">
        <v>4</v>
      </c>
      <c r="R41">
        <v>30</v>
      </c>
    </row>
    <row r="42" spans="1:18">
      <c r="P42">
        <v>2</v>
      </c>
      <c r="Q42">
        <v>4</v>
      </c>
      <c r="R42">
        <v>30</v>
      </c>
    </row>
    <row r="43" spans="1:18">
      <c r="P43" s="110">
        <f>SUM(P18:P42)</f>
        <v>192</v>
      </c>
      <c r="Q43" s="110">
        <f>SUM(Q18:Q42)</f>
        <v>2332</v>
      </c>
      <c r="R43" s="110">
        <f>SUM(R18:R42)</f>
        <v>57588</v>
      </c>
    </row>
    <row r="54" ht="16" customHeight="1"/>
  </sheetData>
  <mergeCells count="28">
    <mergeCell ref="F3:F6"/>
    <mergeCell ref="G3:G6"/>
    <mergeCell ref="A14:I14"/>
    <mergeCell ref="I3:I6"/>
    <mergeCell ref="C8:E8"/>
    <mergeCell ref="C7:E7"/>
    <mergeCell ref="C9:E9"/>
    <mergeCell ref="D17:D18"/>
    <mergeCell ref="B17:B18"/>
    <mergeCell ref="H17:H18"/>
    <mergeCell ref="E17:E18"/>
    <mergeCell ref="F17:F18"/>
    <mergeCell ref="J3:J6"/>
    <mergeCell ref="K3:K6"/>
    <mergeCell ref="A27:A29"/>
    <mergeCell ref="A2:B2"/>
    <mergeCell ref="C3:E3"/>
    <mergeCell ref="G17:G18"/>
    <mergeCell ref="C6:E6"/>
    <mergeCell ref="A17:A18"/>
    <mergeCell ref="C5:E5"/>
    <mergeCell ref="C2:E2"/>
    <mergeCell ref="B3:B6"/>
    <mergeCell ref="B11:B12"/>
    <mergeCell ref="H3:H6"/>
    <mergeCell ref="C4:E4"/>
    <mergeCell ref="A3:A7"/>
    <mergeCell ref="A19:A21"/>
  </mergeCell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24"/>
  <sheetViews>
    <sheetView topLeftCell="A2" workbookViewId="0">
      <selection activeCell="B21" sqref="B21"/>
    </sheetView>
  </sheetViews>
  <sheetFormatPr defaultColWidth="8.81640625" defaultRowHeight="14.5"/>
  <cols>
    <col min="1" max="1" width="50.453125" customWidth="1"/>
    <col min="2" max="2" width="24.1796875" customWidth="1"/>
    <col min="3" max="3" width="13.453125" bestFit="1" customWidth="1"/>
    <col min="7" max="7" width="19.7265625" customWidth="1"/>
  </cols>
  <sheetData>
    <row r="2" spans="1:7">
      <c r="A2" s="292" t="s">
        <v>135</v>
      </c>
      <c r="B2" s="293"/>
    </row>
    <row r="3" spans="1:7">
      <c r="A3" s="93"/>
      <c r="B3" s="93"/>
    </row>
    <row r="4" spans="1:7" ht="30" customHeight="1">
      <c r="A4" s="127" t="s">
        <v>136</v>
      </c>
      <c r="B4" s="85" t="s">
        <v>137</v>
      </c>
      <c r="C4" s="85" t="s">
        <v>56</v>
      </c>
    </row>
    <row r="5" spans="1:7">
      <c r="A5" s="86">
        <f>'Càlcul pressupost '!J14-'Càlcul pressupost '!J7</f>
        <v>935747.5900000002</v>
      </c>
      <c r="B5" s="86">
        <f>'Càlcul pressupost '!J7</f>
        <v>731758.15</v>
      </c>
      <c r="C5" s="86">
        <f>A5+B5</f>
        <v>1667505.7400000002</v>
      </c>
      <c r="G5" s="145"/>
    </row>
    <row r="6" spans="1:7">
      <c r="A6" s="93"/>
      <c r="B6" s="93"/>
    </row>
    <row r="7" spans="1:7">
      <c r="A7" s="87" t="s">
        <v>138</v>
      </c>
      <c r="B7" s="88"/>
    </row>
    <row r="8" spans="1:7">
      <c r="A8" s="94" t="s">
        <v>139</v>
      </c>
      <c r="B8" s="95">
        <f>A5*0.5855658</f>
        <v>547941.78613642219</v>
      </c>
    </row>
    <row r="9" spans="1:7">
      <c r="A9" s="94" t="s">
        <v>140</v>
      </c>
      <c r="B9" s="95">
        <f>B8*0.34</f>
        <v>186300.20728638355</v>
      </c>
    </row>
    <row r="10" spans="1:7">
      <c r="A10" s="94" t="s">
        <v>141</v>
      </c>
      <c r="B10" s="95">
        <f>B8*0.01</f>
        <v>5479.4178613642216</v>
      </c>
      <c r="C10" s="82"/>
      <c r="D10" s="128"/>
    </row>
    <row r="11" spans="1:7">
      <c r="A11" s="96" t="s">
        <v>142</v>
      </c>
      <c r="B11" s="95">
        <f>SUM(B8:B10)</f>
        <v>739721.41128417</v>
      </c>
    </row>
    <row r="12" spans="1:7">
      <c r="A12" s="94" t="s">
        <v>63</v>
      </c>
      <c r="B12" s="95">
        <f>B5</f>
        <v>731758.15</v>
      </c>
    </row>
    <row r="13" spans="1:7">
      <c r="A13" s="96" t="s">
        <v>143</v>
      </c>
      <c r="B13" s="97">
        <f>SUM(B11:B12)</f>
        <v>1471479.56128417</v>
      </c>
    </row>
    <row r="14" spans="1:7">
      <c r="A14" s="98"/>
      <c r="B14" s="99"/>
    </row>
    <row r="15" spans="1:7">
      <c r="A15" s="89" t="s">
        <v>144</v>
      </c>
      <c r="B15" s="90"/>
    </row>
    <row r="16" spans="1:7">
      <c r="A16" s="100" t="s">
        <v>145</v>
      </c>
      <c r="B16" s="95">
        <f>B11*0.15</f>
        <v>110958.2116926255</v>
      </c>
    </row>
    <row r="17" spans="1:3">
      <c r="A17" s="96" t="s">
        <v>146</v>
      </c>
      <c r="B17" s="97">
        <f>B16</f>
        <v>110958.2116926255</v>
      </c>
      <c r="C17" s="82"/>
    </row>
    <row r="18" spans="1:3">
      <c r="A18" s="96"/>
      <c r="B18" s="95"/>
    </row>
    <row r="19" spans="1:3">
      <c r="A19" s="90" t="s">
        <v>147</v>
      </c>
      <c r="B19" s="126">
        <f>B13+B17</f>
        <v>1582437.7729767954</v>
      </c>
    </row>
    <row r="20" spans="1:3">
      <c r="A20" s="100" t="s">
        <v>148</v>
      </c>
      <c r="B20" s="101">
        <f>(B11+B17)*0.1</f>
        <v>85067.962297679565</v>
      </c>
      <c r="C20" s="82"/>
    </row>
    <row r="21" spans="1:3">
      <c r="A21" s="91" t="s">
        <v>149</v>
      </c>
      <c r="B21" s="92">
        <f>B19+B20</f>
        <v>1667505.7352744751</v>
      </c>
    </row>
    <row r="22" spans="1:3">
      <c r="A22" s="91" t="s">
        <v>150</v>
      </c>
      <c r="B22" s="92">
        <f>B21*0.21</f>
        <v>350176.20440763974</v>
      </c>
    </row>
    <row r="23" spans="1:3">
      <c r="A23" s="93"/>
      <c r="B23" s="102"/>
      <c r="C23" s="82"/>
    </row>
    <row r="24" spans="1:3">
      <c r="A24" s="91" t="s">
        <v>151</v>
      </c>
      <c r="B24" s="92">
        <f>B21+B22</f>
        <v>2017681.9396821149</v>
      </c>
      <c r="C24" s="82"/>
    </row>
  </sheetData>
  <mergeCells count="1">
    <mergeCell ref="A2:B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CE2B65A99096418D45D2FAD7B7BB30" ma:contentTypeVersion="11" ma:contentTypeDescription="Crear nuevo documento." ma:contentTypeScope="" ma:versionID="c575699a7ae1aab5fefc9361e90bad55">
  <xsd:schema xmlns:xsd="http://www.w3.org/2001/XMLSchema" xmlns:xs="http://www.w3.org/2001/XMLSchema" xmlns:p="http://schemas.microsoft.com/office/2006/metadata/properties" xmlns:ns2="28050ee6-52dd-49f4-8166-78a9b595bbac" xmlns:ns3="3224002d-fbe8-4638-a11e-da2c5bd83ac4" targetNamespace="http://schemas.microsoft.com/office/2006/metadata/properties" ma:root="true" ma:fieldsID="72b4e686f541c43680c4098c7b2c171d" ns2:_="" ns3:_="">
    <xsd:import namespace="28050ee6-52dd-49f4-8166-78a9b595bbac"/>
    <xsd:import namespace="3224002d-fbe8-4638-a11e-da2c5bd83a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050ee6-52dd-49f4-8166-78a9b595bb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ff00b8cc-7636-423d-af2d-b41e4678f0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24002d-fbe8-4638-a11e-da2c5bd83ac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09e1183-c83a-48ca-bc69-920442d47a47}" ma:internalName="TaxCatchAll" ma:showField="CatchAllData" ma:web="3224002d-fbe8-4638-a11e-da2c5bd83a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224002d-fbe8-4638-a11e-da2c5bd83ac4" xsi:nil="true"/>
    <lcf76f155ced4ddcb4097134ff3c332f xmlns="28050ee6-52dd-49f4-8166-78a9b595bba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647CA9-E105-48FC-8C3E-8318370F50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9D3DD2-3141-438A-A40C-B2AD5CA2EF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050ee6-52dd-49f4-8166-78a9b595bbac"/>
    <ds:schemaRef ds:uri="3224002d-fbe8-4638-a11e-da2c5bd83a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EAC176-585F-4A1B-A539-EE314E710561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28050ee6-52dd-49f4-8166-78a9b595bbac"/>
    <ds:schemaRef ds:uri="3224002d-fbe8-4638-a11e-da2c5bd83ac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Càlcul pressupost </vt:lpstr>
      <vt:lpstr>Perfils</vt:lpstr>
      <vt:lpstr>Taules IJ</vt:lpstr>
      <vt:lpstr>Infraestructura</vt:lpstr>
      <vt:lpstr>Quadre desglossament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Gordo</dc:creator>
  <cp:lastModifiedBy>TORRESCASSANA MARCE, MAGDALENA</cp:lastModifiedBy>
  <dcterms:created xsi:type="dcterms:W3CDTF">2020-04-20T14:58:25Z</dcterms:created>
  <dcterms:modified xsi:type="dcterms:W3CDTF">2026-09-25T10:20:41Z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0x0101009FCE2B65A99096418D45D2FAD7B7BB30</vt:lpwstr>
  </property>
  <property fmtid="{D5CDD505-2E9C-101B-9397-08002B2CF9AE}" pid="3" name="MediaServiceImageTags">
    <vt:lpwstr/>
  </property>
</Properties>
</file>