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1680" yWindow="0" windowWidth="19300" windowHeight="10900"/>
  </bookViews>
  <sheets>
    <sheet name="Full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86" i="1" l="1"/>
  <c r="K886" i="1"/>
  <c r="M886" i="1" s="1"/>
  <c r="L887" i="1" s="1"/>
  <c r="L883" i="1"/>
  <c r="K883" i="1"/>
  <c r="M883" i="1" s="1"/>
  <c r="M882" i="1"/>
  <c r="L882" i="1"/>
  <c r="K882" i="1"/>
  <c r="L881" i="1"/>
  <c r="K881" i="1"/>
  <c r="M881" i="1" s="1"/>
  <c r="L878" i="1"/>
  <c r="K878" i="1"/>
  <c r="M877" i="1"/>
  <c r="L877" i="1"/>
  <c r="K877" i="1"/>
  <c r="J876" i="1"/>
  <c r="K876" i="1" s="1"/>
  <c r="K874" i="1" s="1"/>
  <c r="M874" i="1"/>
  <c r="L874" i="1"/>
  <c r="J873" i="1"/>
  <c r="J872" i="1"/>
  <c r="K873" i="1" s="1"/>
  <c r="K870" i="1" s="1"/>
  <c r="L870" i="1"/>
  <c r="M870" i="1" s="1"/>
  <c r="J869" i="1"/>
  <c r="J868" i="1"/>
  <c r="J867" i="1"/>
  <c r="J866" i="1"/>
  <c r="L864" i="1"/>
  <c r="J861" i="1"/>
  <c r="J860" i="1"/>
  <c r="J859" i="1"/>
  <c r="K861" i="1" s="1"/>
  <c r="K857" i="1" s="1"/>
  <c r="M857" i="1"/>
  <c r="L857" i="1"/>
  <c r="J856" i="1"/>
  <c r="J855" i="1"/>
  <c r="J854" i="1"/>
  <c r="J853" i="1"/>
  <c r="J852" i="1"/>
  <c r="K856" i="1" s="1"/>
  <c r="K850" i="1" s="1"/>
  <c r="L850" i="1"/>
  <c r="M849" i="1"/>
  <c r="L849" i="1"/>
  <c r="K849" i="1"/>
  <c r="L846" i="1"/>
  <c r="K846" i="1"/>
  <c r="M846" i="1" s="1"/>
  <c r="L847" i="1" s="1"/>
  <c r="M847" i="1" s="1"/>
  <c r="L845" i="1"/>
  <c r="M845" i="1" s="1"/>
  <c r="L843" i="1"/>
  <c r="K843" i="1"/>
  <c r="M843" i="1" s="1"/>
  <c r="L842" i="1"/>
  <c r="M842" i="1" s="1"/>
  <c r="K842" i="1"/>
  <c r="L841" i="1"/>
  <c r="K841" i="1"/>
  <c r="M841" i="1" s="1"/>
  <c r="L837" i="1"/>
  <c r="L835" i="1" s="1"/>
  <c r="M835" i="1" s="1"/>
  <c r="L836" i="1"/>
  <c r="K836" i="1"/>
  <c r="M836" i="1" s="1"/>
  <c r="L833" i="1"/>
  <c r="K833" i="1"/>
  <c r="M833" i="1" s="1"/>
  <c r="M832" i="1"/>
  <c r="L832" i="1"/>
  <c r="K832" i="1"/>
  <c r="L831" i="1"/>
  <c r="K831" i="1"/>
  <c r="M831" i="1" s="1"/>
  <c r="L830" i="1"/>
  <c r="M830" i="1" s="1"/>
  <c r="K830" i="1"/>
  <c r="L829" i="1"/>
  <c r="K829" i="1"/>
  <c r="M829" i="1" s="1"/>
  <c r="L834" i="1" s="1"/>
  <c r="L828" i="1" s="1"/>
  <c r="M828" i="1" s="1"/>
  <c r="L826" i="1"/>
  <c r="K826" i="1"/>
  <c r="M825" i="1"/>
  <c r="L825" i="1"/>
  <c r="K825" i="1"/>
  <c r="L824" i="1"/>
  <c r="K824" i="1"/>
  <c r="M824" i="1" s="1"/>
  <c r="M823" i="1"/>
  <c r="L823" i="1"/>
  <c r="K823" i="1"/>
  <c r="L822" i="1"/>
  <c r="K822" i="1"/>
  <c r="M821" i="1"/>
  <c r="L821" i="1"/>
  <c r="K821" i="1"/>
  <c r="L820" i="1"/>
  <c r="K820" i="1"/>
  <c r="M820" i="1" s="1"/>
  <c r="M817" i="1"/>
  <c r="L817" i="1"/>
  <c r="K817" i="1"/>
  <c r="J816" i="1"/>
  <c r="J815" i="1"/>
  <c r="J814" i="1"/>
  <c r="J813" i="1"/>
  <c r="J812" i="1"/>
  <c r="J811" i="1"/>
  <c r="J810" i="1"/>
  <c r="K816" i="1" s="1"/>
  <c r="K808" i="1" s="1"/>
  <c r="L808" i="1"/>
  <c r="J807" i="1"/>
  <c r="J806" i="1"/>
  <c r="J805" i="1"/>
  <c r="J804" i="1"/>
  <c r="K807" i="1" s="1"/>
  <c r="K802" i="1" s="1"/>
  <c r="M802" i="1" s="1"/>
  <c r="L802" i="1"/>
  <c r="J801" i="1"/>
  <c r="J800" i="1"/>
  <c r="J799" i="1"/>
  <c r="K801" i="1" s="1"/>
  <c r="K797" i="1" s="1"/>
  <c r="M797" i="1" s="1"/>
  <c r="L797" i="1"/>
  <c r="L796" i="1"/>
  <c r="K796" i="1"/>
  <c r="L793" i="1"/>
  <c r="M793" i="1" s="1"/>
  <c r="L794" i="1" s="1"/>
  <c r="K793" i="1"/>
  <c r="L790" i="1"/>
  <c r="M790" i="1" s="1"/>
  <c r="K790" i="1"/>
  <c r="L789" i="1"/>
  <c r="K789" i="1"/>
  <c r="M789" i="1" s="1"/>
  <c r="M788" i="1"/>
  <c r="L791" i="1" s="1"/>
  <c r="L788" i="1"/>
  <c r="K788" i="1"/>
  <c r="M783" i="1"/>
  <c r="L784" i="1" s="1"/>
  <c r="L783" i="1"/>
  <c r="K783" i="1"/>
  <c r="L781" i="1"/>
  <c r="M780" i="1"/>
  <c r="L780" i="1"/>
  <c r="K780" i="1"/>
  <c r="M777" i="1"/>
  <c r="L777" i="1"/>
  <c r="K777" i="1"/>
  <c r="L776" i="1"/>
  <c r="K776" i="1"/>
  <c r="L771" i="1"/>
  <c r="K771" i="1"/>
  <c r="M771" i="1" s="1"/>
  <c r="L772" i="1" s="1"/>
  <c r="M772" i="1" s="1"/>
  <c r="L770" i="1"/>
  <c r="M770" i="1" s="1"/>
  <c r="L768" i="1"/>
  <c r="K768" i="1"/>
  <c r="M767" i="1"/>
  <c r="L767" i="1"/>
  <c r="K767" i="1"/>
  <c r="L764" i="1"/>
  <c r="K764" i="1"/>
  <c r="M764" i="1" s="1"/>
  <c r="J763" i="1"/>
  <c r="K763" i="1" s="1"/>
  <c r="K761" i="1" s="1"/>
  <c r="M761" i="1" s="1"/>
  <c r="L761" i="1"/>
  <c r="J760" i="1"/>
  <c r="J759" i="1"/>
  <c r="L757" i="1"/>
  <c r="J756" i="1"/>
  <c r="J755" i="1"/>
  <c r="L753" i="1"/>
  <c r="L751" i="1"/>
  <c r="J750" i="1"/>
  <c r="J749" i="1"/>
  <c r="K750" i="1" s="1"/>
  <c r="L747" i="1"/>
  <c r="K747" i="1"/>
  <c r="M747" i="1" s="1"/>
  <c r="J746" i="1"/>
  <c r="J745" i="1"/>
  <c r="K746" i="1" s="1"/>
  <c r="M743" i="1"/>
  <c r="L743" i="1"/>
  <c r="K743" i="1"/>
  <c r="M740" i="1"/>
  <c r="L741" i="1" s="1"/>
  <c r="L740" i="1"/>
  <c r="K740" i="1"/>
  <c r="M737" i="1"/>
  <c r="L737" i="1"/>
  <c r="K737" i="1"/>
  <c r="L736" i="1"/>
  <c r="K736" i="1"/>
  <c r="M735" i="1"/>
  <c r="L735" i="1"/>
  <c r="K735" i="1"/>
  <c r="L730" i="1"/>
  <c r="M730" i="1" s="1"/>
  <c r="L731" i="1" s="1"/>
  <c r="K730" i="1"/>
  <c r="M727" i="1"/>
  <c r="L727" i="1"/>
  <c r="K727" i="1"/>
  <c r="L726" i="1"/>
  <c r="K726" i="1"/>
  <c r="M726" i="1" s="1"/>
  <c r="M725" i="1"/>
  <c r="L725" i="1"/>
  <c r="K725" i="1"/>
  <c r="L724" i="1"/>
  <c r="K724" i="1"/>
  <c r="L721" i="1"/>
  <c r="K721" i="1"/>
  <c r="M721" i="1" s="1"/>
  <c r="M720" i="1"/>
  <c r="L720" i="1"/>
  <c r="K720" i="1"/>
  <c r="J719" i="1"/>
  <c r="K719" i="1" s="1"/>
  <c r="K717" i="1" s="1"/>
  <c r="M717" i="1"/>
  <c r="L717" i="1"/>
  <c r="K714" i="1"/>
  <c r="J714" i="1"/>
  <c r="J713" i="1"/>
  <c r="L711" i="1"/>
  <c r="K711" i="1"/>
  <c r="M711" i="1" s="1"/>
  <c r="K710" i="1"/>
  <c r="J710" i="1"/>
  <c r="L708" i="1"/>
  <c r="K708" i="1"/>
  <c r="L705" i="1"/>
  <c r="K705" i="1"/>
  <c r="M705" i="1" s="1"/>
  <c r="L706" i="1" s="1"/>
  <c r="L703" i="1"/>
  <c r="L702" i="1"/>
  <c r="M702" i="1" s="1"/>
  <c r="K702" i="1"/>
  <c r="L701" i="1"/>
  <c r="K701" i="1"/>
  <c r="M701" i="1" s="1"/>
  <c r="L697" i="1"/>
  <c r="M697" i="1" s="1"/>
  <c r="M696" i="1"/>
  <c r="L696" i="1"/>
  <c r="K696" i="1"/>
  <c r="L693" i="1"/>
  <c r="K693" i="1"/>
  <c r="M693" i="1" s="1"/>
  <c r="L692" i="1"/>
  <c r="M692" i="1" s="1"/>
  <c r="L694" i="1" s="1"/>
  <c r="K692" i="1"/>
  <c r="M689" i="1"/>
  <c r="L689" i="1"/>
  <c r="K689" i="1"/>
  <c r="J688" i="1"/>
  <c r="K688" i="1" s="1"/>
  <c r="K686" i="1" s="1"/>
  <c r="L686" i="1"/>
  <c r="M686" i="1" s="1"/>
  <c r="L690" i="1" s="1"/>
  <c r="L685" i="1"/>
  <c r="K685" i="1"/>
  <c r="M685" i="1" s="1"/>
  <c r="L682" i="1"/>
  <c r="K682" i="1"/>
  <c r="M682" i="1" s="1"/>
  <c r="M681" i="1"/>
  <c r="L683" i="1" s="1"/>
  <c r="L681" i="1"/>
  <c r="K681" i="1"/>
  <c r="M678" i="1"/>
  <c r="L678" i="1"/>
  <c r="K678" i="1"/>
  <c r="L677" i="1"/>
  <c r="K677" i="1"/>
  <c r="M677" i="1" s="1"/>
  <c r="L679" i="1" s="1"/>
  <c r="M676" i="1"/>
  <c r="L676" i="1"/>
  <c r="K676" i="1"/>
  <c r="M672" i="1"/>
  <c r="M671" i="1"/>
  <c r="L672" i="1" s="1"/>
  <c r="L670" i="1" s="1"/>
  <c r="M670" i="1" s="1"/>
  <c r="L671" i="1"/>
  <c r="K671" i="1"/>
  <c r="L668" i="1"/>
  <c r="K668" i="1"/>
  <c r="M668" i="1" s="1"/>
  <c r="L667" i="1"/>
  <c r="K667" i="1"/>
  <c r="L666" i="1"/>
  <c r="K666" i="1"/>
  <c r="M666" i="1" s="1"/>
  <c r="M664" i="1"/>
  <c r="L663" i="1"/>
  <c r="K663" i="1"/>
  <c r="M663" i="1" s="1"/>
  <c r="K662" i="1"/>
  <c r="J662" i="1"/>
  <c r="J661" i="1"/>
  <c r="L659" i="1"/>
  <c r="K659" i="1"/>
  <c r="M659" i="1" s="1"/>
  <c r="J658" i="1"/>
  <c r="K658" i="1" s="1"/>
  <c r="J657" i="1"/>
  <c r="L655" i="1"/>
  <c r="K655" i="1"/>
  <c r="M655" i="1" s="1"/>
  <c r="L664" i="1" s="1"/>
  <c r="L654" i="1" s="1"/>
  <c r="M654" i="1"/>
  <c r="L652" i="1"/>
  <c r="K652" i="1"/>
  <c r="K651" i="1"/>
  <c r="J651" i="1"/>
  <c r="J650" i="1"/>
  <c r="J649" i="1"/>
  <c r="M647" i="1"/>
  <c r="L647" i="1"/>
  <c r="K647" i="1"/>
  <c r="J646" i="1"/>
  <c r="K646" i="1" s="1"/>
  <c r="K644" i="1" s="1"/>
  <c r="L644" i="1"/>
  <c r="K643" i="1"/>
  <c r="J643" i="1"/>
  <c r="J642" i="1"/>
  <c r="J641" i="1"/>
  <c r="M639" i="1"/>
  <c r="L639" i="1"/>
  <c r="K639" i="1"/>
  <c r="L636" i="1"/>
  <c r="M636" i="1" s="1"/>
  <c r="K636" i="1"/>
  <c r="L635" i="1"/>
  <c r="K635" i="1"/>
  <c r="M635" i="1" s="1"/>
  <c r="L632" i="1"/>
  <c r="K632" i="1"/>
  <c r="M632" i="1" s="1"/>
  <c r="M631" i="1"/>
  <c r="L631" i="1"/>
  <c r="K631" i="1"/>
  <c r="M626" i="1"/>
  <c r="L627" i="1" s="1"/>
  <c r="L626" i="1"/>
  <c r="K626" i="1"/>
  <c r="M623" i="1"/>
  <c r="L623" i="1"/>
  <c r="K623" i="1"/>
  <c r="J622" i="1"/>
  <c r="J621" i="1"/>
  <c r="K622" i="1" s="1"/>
  <c r="K619" i="1" s="1"/>
  <c r="M619" i="1"/>
  <c r="L619" i="1"/>
  <c r="L618" i="1"/>
  <c r="K618" i="1"/>
  <c r="J617" i="1"/>
  <c r="J616" i="1"/>
  <c r="J615" i="1"/>
  <c r="J614" i="1"/>
  <c r="J613" i="1"/>
  <c r="J612" i="1"/>
  <c r="K617" i="1" s="1"/>
  <c r="K610" i="1" s="1"/>
  <c r="M610" i="1" s="1"/>
  <c r="L610" i="1"/>
  <c r="M609" i="1"/>
  <c r="L609" i="1"/>
  <c r="K609" i="1"/>
  <c r="L608" i="1"/>
  <c r="K608" i="1"/>
  <c r="M608" i="1" s="1"/>
  <c r="L605" i="1"/>
  <c r="K605" i="1"/>
  <c r="M605" i="1" s="1"/>
  <c r="J604" i="1"/>
  <c r="K604" i="1" s="1"/>
  <c r="K601" i="1" s="1"/>
  <c r="M601" i="1" s="1"/>
  <c r="J603" i="1"/>
  <c r="L601" i="1"/>
  <c r="J600" i="1"/>
  <c r="K600" i="1" s="1"/>
  <c r="K597" i="1" s="1"/>
  <c r="M597" i="1" s="1"/>
  <c r="J599" i="1"/>
  <c r="L597" i="1"/>
  <c r="J594" i="1"/>
  <c r="J593" i="1"/>
  <c r="K594" i="1" s="1"/>
  <c r="K591" i="1" s="1"/>
  <c r="M591" i="1" s="1"/>
  <c r="L591" i="1"/>
  <c r="J590" i="1"/>
  <c r="K590" i="1" s="1"/>
  <c r="K588" i="1" s="1"/>
  <c r="M588" i="1" s="1"/>
  <c r="L588" i="1"/>
  <c r="J587" i="1"/>
  <c r="K587" i="1" s="1"/>
  <c r="K585" i="1" s="1"/>
  <c r="M585" i="1" s="1"/>
  <c r="L595" i="1" s="1"/>
  <c r="L585" i="1"/>
  <c r="L582" i="1"/>
  <c r="M582" i="1" s="1"/>
  <c r="K582" i="1"/>
  <c r="L581" i="1"/>
  <c r="K581" i="1"/>
  <c r="M581" i="1" s="1"/>
  <c r="L583" i="1" s="1"/>
  <c r="L578" i="1"/>
  <c r="K578" i="1"/>
  <c r="M577" i="1"/>
  <c r="L577" i="1"/>
  <c r="K577" i="1"/>
  <c r="L576" i="1"/>
  <c r="K576" i="1"/>
  <c r="M576" i="1" s="1"/>
  <c r="L571" i="1"/>
  <c r="K571" i="1"/>
  <c r="M571" i="1" s="1"/>
  <c r="L572" i="1" s="1"/>
  <c r="L568" i="1"/>
  <c r="K568" i="1"/>
  <c r="M567" i="1"/>
  <c r="L567" i="1"/>
  <c r="K567" i="1"/>
  <c r="M564" i="1"/>
  <c r="L564" i="1"/>
  <c r="K564" i="1"/>
  <c r="J563" i="1"/>
  <c r="K563" i="1" s="1"/>
  <c r="K561" i="1" s="1"/>
  <c r="M561" i="1" s="1"/>
  <c r="L561" i="1"/>
  <c r="L560" i="1"/>
  <c r="K560" i="1"/>
  <c r="M560" i="1" s="1"/>
  <c r="K559" i="1"/>
  <c r="J559" i="1"/>
  <c r="J558" i="1"/>
  <c r="L556" i="1"/>
  <c r="K556" i="1"/>
  <c r="M556" i="1" s="1"/>
  <c r="K555" i="1"/>
  <c r="K553" i="1" s="1"/>
  <c r="M553" i="1" s="1"/>
  <c r="J555" i="1"/>
  <c r="L553" i="1"/>
  <c r="J552" i="1"/>
  <c r="K552" i="1" s="1"/>
  <c r="K549" i="1" s="1"/>
  <c r="M549" i="1" s="1"/>
  <c r="J551" i="1"/>
  <c r="L549" i="1"/>
  <c r="J546" i="1"/>
  <c r="J545" i="1"/>
  <c r="J544" i="1"/>
  <c r="L542" i="1"/>
  <c r="J541" i="1"/>
  <c r="J540" i="1"/>
  <c r="K541" i="1" s="1"/>
  <c r="K537" i="1" s="1"/>
  <c r="M537" i="1" s="1"/>
  <c r="J539" i="1"/>
  <c r="L537" i="1"/>
  <c r="L534" i="1"/>
  <c r="K534" i="1"/>
  <c r="M531" i="1"/>
  <c r="L531" i="1"/>
  <c r="K531" i="1"/>
  <c r="M530" i="1"/>
  <c r="L530" i="1"/>
  <c r="K530" i="1"/>
  <c r="M529" i="1"/>
  <c r="L532" i="1" s="1"/>
  <c r="L529" i="1"/>
  <c r="K529" i="1"/>
  <c r="L524" i="1"/>
  <c r="K524" i="1"/>
  <c r="L521" i="1"/>
  <c r="M521" i="1" s="1"/>
  <c r="K521" i="1"/>
  <c r="M520" i="1"/>
  <c r="L520" i="1"/>
  <c r="K520" i="1"/>
  <c r="L517" i="1"/>
  <c r="K517" i="1"/>
  <c r="M517" i="1" s="1"/>
  <c r="J516" i="1"/>
  <c r="J515" i="1"/>
  <c r="J514" i="1"/>
  <c r="J513" i="1"/>
  <c r="J512" i="1"/>
  <c r="K516" i="1" s="1"/>
  <c r="K510" i="1" s="1"/>
  <c r="M510" i="1" s="1"/>
  <c r="L510" i="1"/>
  <c r="J509" i="1"/>
  <c r="K509" i="1" s="1"/>
  <c r="K507" i="1" s="1"/>
  <c r="M507" i="1" s="1"/>
  <c r="L507" i="1"/>
  <c r="J506" i="1"/>
  <c r="J505" i="1"/>
  <c r="K506" i="1" s="1"/>
  <c r="K503" i="1" s="1"/>
  <c r="M503" i="1" s="1"/>
  <c r="L518" i="1" s="1"/>
  <c r="L503" i="1"/>
  <c r="J500" i="1"/>
  <c r="K500" i="1" s="1"/>
  <c r="J499" i="1"/>
  <c r="J498" i="1"/>
  <c r="J497" i="1"/>
  <c r="L495" i="1"/>
  <c r="K495" i="1"/>
  <c r="M495" i="1" s="1"/>
  <c r="K494" i="1"/>
  <c r="J494" i="1"/>
  <c r="J493" i="1"/>
  <c r="L491" i="1"/>
  <c r="K491" i="1"/>
  <c r="M491" i="1" s="1"/>
  <c r="J490" i="1"/>
  <c r="K490" i="1" s="1"/>
  <c r="K488" i="1" s="1"/>
  <c r="M488" i="1" s="1"/>
  <c r="L488" i="1"/>
  <c r="L485" i="1"/>
  <c r="K485" i="1"/>
  <c r="M485" i="1" s="1"/>
  <c r="L486" i="1" s="1"/>
  <c r="M482" i="1"/>
  <c r="L482" i="1"/>
  <c r="K482" i="1"/>
  <c r="L481" i="1"/>
  <c r="K481" i="1"/>
  <c r="M481" i="1" s="1"/>
  <c r="L480" i="1"/>
  <c r="M480" i="1" s="1"/>
  <c r="L483" i="1" s="1"/>
  <c r="K480" i="1"/>
  <c r="M475" i="1"/>
  <c r="L476" i="1" s="1"/>
  <c r="M476" i="1" s="1"/>
  <c r="L475" i="1"/>
  <c r="K475" i="1"/>
  <c r="L474" i="1"/>
  <c r="M474" i="1" s="1"/>
  <c r="L472" i="1"/>
  <c r="K472" i="1"/>
  <c r="M472" i="1" s="1"/>
  <c r="L473" i="1" s="1"/>
  <c r="L469" i="1"/>
  <c r="K469" i="1"/>
  <c r="M469" i="1" s="1"/>
  <c r="J468" i="1"/>
  <c r="K468" i="1" s="1"/>
  <c r="K466" i="1" s="1"/>
  <c r="M466" i="1" s="1"/>
  <c r="L466" i="1"/>
  <c r="K465" i="1"/>
  <c r="K463" i="1" s="1"/>
  <c r="M463" i="1" s="1"/>
  <c r="J465" i="1"/>
  <c r="L463" i="1"/>
  <c r="M462" i="1"/>
  <c r="L462" i="1"/>
  <c r="K462" i="1"/>
  <c r="K461" i="1"/>
  <c r="J461" i="1"/>
  <c r="L459" i="1"/>
  <c r="K459" i="1"/>
  <c r="J458" i="1"/>
  <c r="K458" i="1" s="1"/>
  <c r="K456" i="1" s="1"/>
  <c r="M456" i="1" s="1"/>
  <c r="L456" i="1"/>
  <c r="L453" i="1"/>
  <c r="K453" i="1"/>
  <c r="L452" i="1"/>
  <c r="K452" i="1"/>
  <c r="M452" i="1" s="1"/>
  <c r="M450" i="1"/>
  <c r="M449" i="1"/>
  <c r="L449" i="1"/>
  <c r="K449" i="1"/>
  <c r="M448" i="1"/>
  <c r="L450" i="1" s="1"/>
  <c r="L447" i="1" s="1"/>
  <c r="M447" i="1" s="1"/>
  <c r="L448" i="1"/>
  <c r="K448" i="1"/>
  <c r="L443" i="1"/>
  <c r="K443" i="1"/>
  <c r="L440" i="1"/>
  <c r="M440" i="1" s="1"/>
  <c r="K440" i="1"/>
  <c r="M439" i="1"/>
  <c r="L439" i="1"/>
  <c r="K439" i="1"/>
  <c r="L438" i="1"/>
  <c r="M438" i="1" s="1"/>
  <c r="L441" i="1" s="1"/>
  <c r="K438" i="1"/>
  <c r="M435" i="1"/>
  <c r="L435" i="1"/>
  <c r="K435" i="1"/>
  <c r="K434" i="1"/>
  <c r="K432" i="1" s="1"/>
  <c r="J434" i="1"/>
  <c r="M432" i="1"/>
  <c r="L436" i="1" s="1"/>
  <c r="L432" i="1"/>
  <c r="M429" i="1"/>
  <c r="L429" i="1"/>
  <c r="K429" i="1"/>
  <c r="J428" i="1"/>
  <c r="K428" i="1" s="1"/>
  <c r="K426" i="1" s="1"/>
  <c r="M426" i="1" s="1"/>
  <c r="L430" i="1" s="1"/>
  <c r="L426" i="1"/>
  <c r="M423" i="1"/>
  <c r="L424" i="1" s="1"/>
  <c r="L423" i="1"/>
  <c r="K423" i="1"/>
  <c r="L420" i="1"/>
  <c r="M420" i="1" s="1"/>
  <c r="K420" i="1"/>
  <c r="L419" i="1"/>
  <c r="K419" i="1"/>
  <c r="M419" i="1" s="1"/>
  <c r="L421" i="1" s="1"/>
  <c r="L414" i="1"/>
  <c r="K414" i="1"/>
  <c r="M414" i="1" s="1"/>
  <c r="L415" i="1" s="1"/>
  <c r="J411" i="1"/>
  <c r="K411" i="1" s="1"/>
  <c r="K409" i="1" s="1"/>
  <c r="M409" i="1" s="1"/>
  <c r="L409" i="1"/>
  <c r="J408" i="1"/>
  <c r="J407" i="1"/>
  <c r="J406" i="1"/>
  <c r="J405" i="1"/>
  <c r="K408" i="1" s="1"/>
  <c r="K403" i="1" s="1"/>
  <c r="M403" i="1" s="1"/>
  <c r="L403" i="1"/>
  <c r="K402" i="1"/>
  <c r="K400" i="1" s="1"/>
  <c r="M400" i="1" s="1"/>
  <c r="J402" i="1"/>
  <c r="L400" i="1"/>
  <c r="M398" i="1"/>
  <c r="M397" i="1"/>
  <c r="L397" i="1"/>
  <c r="K397" i="1"/>
  <c r="J396" i="1"/>
  <c r="K396" i="1" s="1"/>
  <c r="K394" i="1" s="1"/>
  <c r="M394" i="1" s="1"/>
  <c r="L398" i="1" s="1"/>
  <c r="L393" i="1" s="1"/>
  <c r="M393" i="1" s="1"/>
  <c r="L394" i="1"/>
  <c r="M391" i="1"/>
  <c r="L391" i="1"/>
  <c r="K391" i="1"/>
  <c r="M390" i="1"/>
  <c r="L390" i="1"/>
  <c r="K390" i="1"/>
  <c r="K389" i="1"/>
  <c r="J389" i="1"/>
  <c r="L387" i="1"/>
  <c r="K387" i="1"/>
  <c r="M387" i="1" s="1"/>
  <c r="J386" i="1"/>
  <c r="J385" i="1"/>
  <c r="L383" i="1"/>
  <c r="L382" i="1"/>
  <c r="K382" i="1"/>
  <c r="M382" i="1" s="1"/>
  <c r="J381" i="1"/>
  <c r="K381" i="1" s="1"/>
  <c r="K379" i="1" s="1"/>
  <c r="M379" i="1" s="1"/>
  <c r="L379" i="1"/>
  <c r="L376" i="1"/>
  <c r="K376" i="1"/>
  <c r="L375" i="1"/>
  <c r="K375" i="1"/>
  <c r="M375" i="1" s="1"/>
  <c r="L374" i="1"/>
  <c r="K374" i="1"/>
  <c r="M374" i="1" s="1"/>
  <c r="L373" i="1"/>
  <c r="K373" i="1"/>
  <c r="L372" i="1"/>
  <c r="K372" i="1"/>
  <c r="M372" i="1" s="1"/>
  <c r="M369" i="1"/>
  <c r="L369" i="1"/>
  <c r="K369" i="1"/>
  <c r="L368" i="1"/>
  <c r="M368" i="1" s="1"/>
  <c r="K368" i="1"/>
  <c r="M367" i="1"/>
  <c r="L367" i="1"/>
  <c r="K367" i="1"/>
  <c r="L362" i="1"/>
  <c r="K362" i="1"/>
  <c r="M362" i="1" s="1"/>
  <c r="L363" i="1" s="1"/>
  <c r="M363" i="1" s="1"/>
  <c r="M359" i="1"/>
  <c r="L359" i="1"/>
  <c r="K359" i="1"/>
  <c r="L358" i="1"/>
  <c r="M358" i="1" s="1"/>
  <c r="K358" i="1"/>
  <c r="K357" i="1"/>
  <c r="K354" i="1" s="1"/>
  <c r="M354" i="1" s="1"/>
  <c r="L360" i="1" s="1"/>
  <c r="L353" i="1" s="1"/>
  <c r="M353" i="1" s="1"/>
  <c r="J357" i="1"/>
  <c r="J356" i="1"/>
  <c r="L354" i="1"/>
  <c r="L351" i="1"/>
  <c r="K351" i="1"/>
  <c r="M351" i="1" s="1"/>
  <c r="L350" i="1"/>
  <c r="K350" i="1"/>
  <c r="M350" i="1" s="1"/>
  <c r="M349" i="1"/>
  <c r="L349" i="1"/>
  <c r="K349" i="1"/>
  <c r="L348" i="1"/>
  <c r="K348" i="1"/>
  <c r="M348" i="1" s="1"/>
  <c r="M347" i="1"/>
  <c r="L347" i="1"/>
  <c r="K347" i="1"/>
  <c r="J344" i="1"/>
  <c r="J343" i="1"/>
  <c r="K344" i="1" s="1"/>
  <c r="K341" i="1" s="1"/>
  <c r="M341" i="1" s="1"/>
  <c r="L341" i="1"/>
  <c r="J340" i="1"/>
  <c r="K340" i="1" s="1"/>
  <c r="L338" i="1"/>
  <c r="K338" i="1"/>
  <c r="M338" i="1" s="1"/>
  <c r="K337" i="1"/>
  <c r="K335" i="1" s="1"/>
  <c r="M335" i="1" s="1"/>
  <c r="J337" i="1"/>
  <c r="L335" i="1"/>
  <c r="L334" i="1"/>
  <c r="M334" i="1" s="1"/>
  <c r="K334" i="1"/>
  <c r="L331" i="1"/>
  <c r="K331" i="1"/>
  <c r="M331" i="1" s="1"/>
  <c r="L332" i="1" s="1"/>
  <c r="L328" i="1"/>
  <c r="K328" i="1"/>
  <c r="L327" i="1"/>
  <c r="K327" i="1"/>
  <c r="M327" i="1" s="1"/>
  <c r="L326" i="1"/>
  <c r="K326" i="1"/>
  <c r="L322" i="1"/>
  <c r="M321" i="1"/>
  <c r="L321" i="1"/>
  <c r="K321" i="1"/>
  <c r="L318" i="1"/>
  <c r="K318" i="1"/>
  <c r="M318" i="1" s="1"/>
  <c r="L317" i="1"/>
  <c r="K317" i="1"/>
  <c r="L316" i="1"/>
  <c r="K316" i="1"/>
  <c r="M316" i="1" s="1"/>
  <c r="L315" i="1"/>
  <c r="K315" i="1"/>
  <c r="M315" i="1" s="1"/>
  <c r="M312" i="1"/>
  <c r="L312" i="1"/>
  <c r="K312" i="1"/>
  <c r="M311" i="1"/>
  <c r="L311" i="1"/>
  <c r="K311" i="1"/>
  <c r="M310" i="1"/>
  <c r="L310" i="1"/>
  <c r="K310" i="1"/>
  <c r="M309" i="1"/>
  <c r="L309" i="1"/>
  <c r="K309" i="1"/>
  <c r="M308" i="1"/>
  <c r="L308" i="1"/>
  <c r="K308" i="1"/>
  <c r="M307" i="1"/>
  <c r="L307" i="1"/>
  <c r="K307" i="1"/>
  <c r="M306" i="1"/>
  <c r="L306" i="1"/>
  <c r="K306" i="1"/>
  <c r="M305" i="1"/>
  <c r="L313" i="1" s="1"/>
  <c r="L305" i="1"/>
  <c r="K305" i="1"/>
  <c r="M302" i="1"/>
  <c r="L302" i="1"/>
  <c r="K302" i="1"/>
  <c r="J301" i="1"/>
  <c r="J300" i="1"/>
  <c r="K301" i="1" s="1"/>
  <c r="K298" i="1" s="1"/>
  <c r="M298" i="1"/>
  <c r="L298" i="1"/>
  <c r="K297" i="1"/>
  <c r="K295" i="1" s="1"/>
  <c r="J297" i="1"/>
  <c r="L295" i="1"/>
  <c r="M295" i="1" s="1"/>
  <c r="K294" i="1"/>
  <c r="K292" i="1" s="1"/>
  <c r="M292" i="1" s="1"/>
  <c r="J294" i="1"/>
  <c r="L292" i="1"/>
  <c r="M291" i="1"/>
  <c r="L291" i="1"/>
  <c r="K291" i="1"/>
  <c r="M288" i="1"/>
  <c r="L289" i="1" s="1"/>
  <c r="L288" i="1"/>
  <c r="K288" i="1"/>
  <c r="M285" i="1"/>
  <c r="L285" i="1"/>
  <c r="K285" i="1"/>
  <c r="L284" i="1"/>
  <c r="K284" i="1"/>
  <c r="M283" i="1"/>
  <c r="L283" i="1"/>
  <c r="K283" i="1"/>
  <c r="M278" i="1"/>
  <c r="L279" i="1" s="1"/>
  <c r="L278" i="1"/>
  <c r="K278" i="1"/>
  <c r="M275" i="1"/>
  <c r="L275" i="1"/>
  <c r="K275" i="1"/>
  <c r="L274" i="1"/>
  <c r="K274" i="1"/>
  <c r="M274" i="1" s="1"/>
  <c r="L276" i="1" s="1"/>
  <c r="M273" i="1"/>
  <c r="L273" i="1"/>
  <c r="K273" i="1"/>
  <c r="L270" i="1"/>
  <c r="K270" i="1"/>
  <c r="M270" i="1" s="1"/>
  <c r="L269" i="1"/>
  <c r="M269" i="1" s="1"/>
  <c r="L271" i="1" s="1"/>
  <c r="K269" i="1"/>
  <c r="M266" i="1"/>
  <c r="L266" i="1"/>
  <c r="K266" i="1"/>
  <c r="L265" i="1"/>
  <c r="K265" i="1"/>
  <c r="M265" i="1" s="1"/>
  <c r="K264" i="1"/>
  <c r="K262" i="1" s="1"/>
  <c r="M262" i="1" s="1"/>
  <c r="J264" i="1"/>
  <c r="L262" i="1"/>
  <c r="J261" i="1"/>
  <c r="K261" i="1" s="1"/>
  <c r="K259" i="1" s="1"/>
  <c r="M259" i="1" s="1"/>
  <c r="L267" i="1" s="1"/>
  <c r="L259" i="1"/>
  <c r="M257" i="1"/>
  <c r="L256" i="1"/>
  <c r="K256" i="1"/>
  <c r="M256" i="1" s="1"/>
  <c r="M255" i="1"/>
  <c r="L257" i="1" s="1"/>
  <c r="L254" i="1" s="1"/>
  <c r="M254" i="1" s="1"/>
  <c r="L255" i="1"/>
  <c r="K255" i="1"/>
  <c r="L253" i="1"/>
  <c r="M252" i="1"/>
  <c r="L252" i="1"/>
  <c r="K252" i="1"/>
  <c r="L251" i="1"/>
  <c r="K251" i="1"/>
  <c r="M251" i="1" s="1"/>
  <c r="L246" i="1"/>
  <c r="K246" i="1"/>
  <c r="M246" i="1" s="1"/>
  <c r="L247" i="1" s="1"/>
  <c r="M247" i="1" s="1"/>
  <c r="L245" i="1"/>
  <c r="M245" i="1" s="1"/>
  <c r="L243" i="1"/>
  <c r="K243" i="1"/>
  <c r="M243" i="1" s="1"/>
  <c r="M242" i="1"/>
  <c r="L244" i="1" s="1"/>
  <c r="L242" i="1"/>
  <c r="K242" i="1"/>
  <c r="M239" i="1"/>
  <c r="L239" i="1"/>
  <c r="K239" i="1"/>
  <c r="L238" i="1"/>
  <c r="K238" i="1"/>
  <c r="M238" i="1" s="1"/>
  <c r="M237" i="1"/>
  <c r="L237" i="1"/>
  <c r="K237" i="1"/>
  <c r="L236" i="1"/>
  <c r="K236" i="1"/>
  <c r="M236" i="1" s="1"/>
  <c r="M235" i="1"/>
  <c r="L235" i="1"/>
  <c r="K235" i="1"/>
  <c r="L234" i="1"/>
  <c r="K234" i="1"/>
  <c r="L231" i="1"/>
  <c r="M231" i="1" s="1"/>
  <c r="K231" i="1"/>
  <c r="L230" i="1"/>
  <c r="K230" i="1"/>
  <c r="M230" i="1" s="1"/>
  <c r="L227" i="1"/>
  <c r="K227" i="1"/>
  <c r="M227" i="1" s="1"/>
  <c r="L228" i="1" s="1"/>
  <c r="L224" i="1"/>
  <c r="K224" i="1"/>
  <c r="M223" i="1"/>
  <c r="L223" i="1"/>
  <c r="K223" i="1"/>
  <c r="M218" i="1"/>
  <c r="L219" i="1" s="1"/>
  <c r="L218" i="1"/>
  <c r="K218" i="1"/>
  <c r="M215" i="1"/>
  <c r="L215" i="1"/>
  <c r="K215" i="1"/>
  <c r="L214" i="1"/>
  <c r="K214" i="1"/>
  <c r="M213" i="1"/>
  <c r="L213" i="1"/>
  <c r="K213" i="1"/>
  <c r="L212" i="1"/>
  <c r="K212" i="1"/>
  <c r="L209" i="1"/>
  <c r="M209" i="1" s="1"/>
  <c r="L210" i="1" s="1"/>
  <c r="K209" i="1"/>
  <c r="M206" i="1"/>
  <c r="L207" i="1" s="1"/>
  <c r="L206" i="1"/>
  <c r="K206" i="1"/>
  <c r="L205" i="1"/>
  <c r="K205" i="1"/>
  <c r="M205" i="1" s="1"/>
  <c r="M204" i="1"/>
  <c r="L204" i="1"/>
  <c r="K204" i="1"/>
  <c r="L203" i="1"/>
  <c r="K203" i="1"/>
  <c r="M203" i="1" s="1"/>
  <c r="L200" i="1"/>
  <c r="K200" i="1"/>
  <c r="M200" i="1" s="1"/>
  <c r="M199" i="1"/>
  <c r="L199" i="1"/>
  <c r="K199" i="1"/>
  <c r="L195" i="1"/>
  <c r="M194" i="1"/>
  <c r="L194" i="1"/>
  <c r="K194" i="1"/>
  <c r="M191" i="1"/>
  <c r="L191" i="1"/>
  <c r="K191" i="1"/>
  <c r="L190" i="1"/>
  <c r="K190" i="1"/>
  <c r="L187" i="1"/>
  <c r="M187" i="1" s="1"/>
  <c r="K187" i="1"/>
  <c r="L186" i="1"/>
  <c r="K186" i="1"/>
  <c r="M186" i="1" s="1"/>
  <c r="J183" i="1"/>
  <c r="J182" i="1"/>
  <c r="K183" i="1" s="1"/>
  <c r="K180" i="1" s="1"/>
  <c r="M180" i="1" s="1"/>
  <c r="L180" i="1"/>
  <c r="J179" i="1"/>
  <c r="K179" i="1" s="1"/>
  <c r="K177" i="1" s="1"/>
  <c r="L177" i="1"/>
  <c r="M177" i="1" s="1"/>
  <c r="K176" i="1"/>
  <c r="J176" i="1"/>
  <c r="L174" i="1"/>
  <c r="K174" i="1"/>
  <c r="L171" i="1"/>
  <c r="M171" i="1" s="1"/>
  <c r="L172" i="1" s="1"/>
  <c r="K171" i="1"/>
  <c r="M168" i="1"/>
  <c r="L168" i="1"/>
  <c r="K168" i="1"/>
  <c r="L167" i="1"/>
  <c r="K167" i="1"/>
  <c r="M167" i="1" s="1"/>
  <c r="M166" i="1"/>
  <c r="L169" i="1" s="1"/>
  <c r="L166" i="1"/>
  <c r="K166" i="1"/>
  <c r="L161" i="1"/>
  <c r="K161" i="1"/>
  <c r="M161" i="1" s="1"/>
  <c r="L162" i="1" s="1"/>
  <c r="L158" i="1"/>
  <c r="M158" i="1" s="1"/>
  <c r="K158" i="1"/>
  <c r="L157" i="1"/>
  <c r="K157" i="1"/>
  <c r="M157" i="1" s="1"/>
  <c r="L156" i="1"/>
  <c r="M156" i="1" s="1"/>
  <c r="K156" i="1"/>
  <c r="L155" i="1"/>
  <c r="K155" i="1"/>
  <c r="M155" i="1" s="1"/>
  <c r="L152" i="1"/>
  <c r="K152" i="1"/>
  <c r="M152" i="1" s="1"/>
  <c r="K151" i="1"/>
  <c r="J151" i="1"/>
  <c r="J150" i="1"/>
  <c r="J149" i="1"/>
  <c r="L147" i="1"/>
  <c r="M147" i="1" s="1"/>
  <c r="K147" i="1"/>
  <c r="K146" i="1"/>
  <c r="J146" i="1"/>
  <c r="L144" i="1"/>
  <c r="K144" i="1"/>
  <c r="M144" i="1" s="1"/>
  <c r="J141" i="1"/>
  <c r="J140" i="1"/>
  <c r="K141" i="1" s="1"/>
  <c r="K138" i="1" s="1"/>
  <c r="M138" i="1" s="1"/>
  <c r="L138" i="1"/>
  <c r="J137" i="1"/>
  <c r="K137" i="1" s="1"/>
  <c r="K134" i="1" s="1"/>
  <c r="M134" i="1" s="1"/>
  <c r="J136" i="1"/>
  <c r="L134" i="1"/>
  <c r="J133" i="1"/>
  <c r="J132" i="1"/>
  <c r="K133" i="1" s="1"/>
  <c r="K129" i="1" s="1"/>
  <c r="M129" i="1" s="1"/>
  <c r="J131" i="1"/>
  <c r="L129" i="1"/>
  <c r="M128" i="1"/>
  <c r="L128" i="1"/>
  <c r="K128" i="1"/>
  <c r="M126" i="1"/>
  <c r="L126" i="1"/>
  <c r="M125" i="1"/>
  <c r="L125" i="1"/>
  <c r="K125" i="1"/>
  <c r="L124" i="1"/>
  <c r="M124" i="1" s="1"/>
  <c r="L122" i="1"/>
  <c r="K122" i="1"/>
  <c r="M122" i="1" s="1"/>
  <c r="L121" i="1"/>
  <c r="K121" i="1"/>
  <c r="M121" i="1" s="1"/>
  <c r="L123" i="1" s="1"/>
  <c r="L120" i="1"/>
  <c r="K120" i="1"/>
  <c r="M120" i="1" s="1"/>
  <c r="M116" i="1"/>
  <c r="L116" i="1"/>
  <c r="M115" i="1"/>
  <c r="L115" i="1"/>
  <c r="K115" i="1"/>
  <c r="L114" i="1"/>
  <c r="M114" i="1" s="1"/>
  <c r="L112" i="1"/>
  <c r="K112" i="1"/>
  <c r="M112" i="1" s="1"/>
  <c r="L113" i="1" s="1"/>
  <c r="L109" i="1"/>
  <c r="K109" i="1"/>
  <c r="M109" i="1" s="1"/>
  <c r="K108" i="1"/>
  <c r="K106" i="1" s="1"/>
  <c r="M106" i="1" s="1"/>
  <c r="J108" i="1"/>
  <c r="L106" i="1"/>
  <c r="K105" i="1"/>
  <c r="K102" i="1" s="1"/>
  <c r="M102" i="1" s="1"/>
  <c r="L110" i="1" s="1"/>
  <c r="L101" i="1" s="1"/>
  <c r="M101" i="1" s="1"/>
  <c r="J105" i="1"/>
  <c r="J104" i="1"/>
  <c r="L102" i="1"/>
  <c r="L99" i="1"/>
  <c r="K99" i="1"/>
  <c r="M99" i="1" s="1"/>
  <c r="K98" i="1"/>
  <c r="K96" i="1" s="1"/>
  <c r="M96" i="1" s="1"/>
  <c r="J98" i="1"/>
  <c r="L96" i="1"/>
  <c r="M95" i="1"/>
  <c r="L100" i="1" s="1"/>
  <c r="L94" i="1" s="1"/>
  <c r="M94" i="1" s="1"/>
  <c r="L95" i="1"/>
  <c r="K95" i="1"/>
  <c r="L92" i="1"/>
  <c r="M92" i="1" s="1"/>
  <c r="L93" i="1" s="1"/>
  <c r="K92" i="1"/>
  <c r="M89" i="1"/>
  <c r="L89" i="1"/>
  <c r="K89" i="1"/>
  <c r="M88" i="1"/>
  <c r="L88" i="1"/>
  <c r="K88" i="1"/>
  <c r="M87" i="1"/>
  <c r="L90" i="1" s="1"/>
  <c r="L87" i="1"/>
  <c r="K87" i="1"/>
  <c r="L83" i="1"/>
  <c r="M83" i="1" s="1"/>
  <c r="M82" i="1"/>
  <c r="L82" i="1"/>
  <c r="K82" i="1"/>
  <c r="L79" i="1"/>
  <c r="K79" i="1"/>
  <c r="M79" i="1" s="1"/>
  <c r="L78" i="1"/>
  <c r="M78" i="1" s="1"/>
  <c r="K78" i="1"/>
  <c r="M75" i="1"/>
  <c r="L75" i="1"/>
  <c r="K75" i="1"/>
  <c r="K74" i="1"/>
  <c r="K72" i="1" s="1"/>
  <c r="M72" i="1" s="1"/>
  <c r="J74" i="1"/>
  <c r="L72" i="1"/>
  <c r="J70" i="1"/>
  <c r="K71" i="1" s="1"/>
  <c r="K68" i="1" s="1"/>
  <c r="M68" i="1" s="1"/>
  <c r="L68" i="1"/>
  <c r="L65" i="1"/>
  <c r="M65" i="1" s="1"/>
  <c r="K65" i="1"/>
  <c r="L64" i="1"/>
  <c r="K64" i="1"/>
  <c r="M64" i="1" s="1"/>
  <c r="J62" i="1"/>
  <c r="K63" i="1" s="1"/>
  <c r="K60" i="1" s="1"/>
  <c r="M60" i="1" s="1"/>
  <c r="L60" i="1"/>
  <c r="L57" i="1"/>
  <c r="K57" i="1"/>
  <c r="M57" i="1" s="1"/>
  <c r="L58" i="1" s="1"/>
  <c r="L54" i="1"/>
  <c r="K54" i="1"/>
  <c r="M54" i="1" s="1"/>
  <c r="M53" i="1"/>
  <c r="L53" i="1"/>
  <c r="K53" i="1"/>
  <c r="L52" i="1"/>
  <c r="K52" i="1"/>
  <c r="M52" i="1" s="1"/>
  <c r="L47" i="1"/>
  <c r="K47" i="1"/>
  <c r="M47" i="1" s="1"/>
  <c r="L48" i="1" s="1"/>
  <c r="L44" i="1"/>
  <c r="K44" i="1"/>
  <c r="M44" i="1" s="1"/>
  <c r="M43" i="1"/>
  <c r="L43" i="1"/>
  <c r="K43" i="1"/>
  <c r="L42" i="1"/>
  <c r="K42" i="1"/>
  <c r="M42" i="1" s="1"/>
  <c r="K41" i="1"/>
  <c r="J41" i="1"/>
  <c r="J40" i="1"/>
  <c r="J39" i="1"/>
  <c r="L37" i="1"/>
  <c r="K37" i="1"/>
  <c r="M37" i="1" s="1"/>
  <c r="J36" i="1"/>
  <c r="J35" i="1"/>
  <c r="K36" i="1" s="1"/>
  <c r="K33" i="1" s="1"/>
  <c r="M33" i="1" s="1"/>
  <c r="L45" i="1" s="1"/>
  <c r="L33" i="1"/>
  <c r="L30" i="1"/>
  <c r="M30" i="1" s="1"/>
  <c r="K30" i="1"/>
  <c r="J29" i="1"/>
  <c r="J28" i="1"/>
  <c r="K29" i="1" s="1"/>
  <c r="K26" i="1" s="1"/>
  <c r="M26" i="1" s="1"/>
  <c r="L26" i="1"/>
  <c r="J25" i="1"/>
  <c r="J24" i="1"/>
  <c r="J23" i="1"/>
  <c r="J22" i="1"/>
  <c r="K25" i="1" s="1"/>
  <c r="K20" i="1" s="1"/>
  <c r="M20" i="1" s="1"/>
  <c r="L20" i="1"/>
  <c r="J19" i="1"/>
  <c r="K19" i="1" s="1"/>
  <c r="K17" i="1" s="1"/>
  <c r="M17" i="1" s="1"/>
  <c r="L17" i="1"/>
  <c r="L16" i="1"/>
  <c r="K16" i="1"/>
  <c r="M16" i="1" s="1"/>
  <c r="L13" i="1"/>
  <c r="K13" i="1"/>
  <c r="M13" i="1" s="1"/>
  <c r="L12" i="1"/>
  <c r="K12" i="1"/>
  <c r="M12" i="1" s="1"/>
  <c r="L9" i="1"/>
  <c r="K9" i="1"/>
  <c r="M9" i="1" s="1"/>
  <c r="L8" i="1"/>
  <c r="M8" i="1" s="1"/>
  <c r="K8" i="1"/>
  <c r="L7" i="1"/>
  <c r="K7" i="1"/>
  <c r="M7" i="1" s="1"/>
  <c r="L32" i="1" l="1"/>
  <c r="M32" i="1" s="1"/>
  <c r="M45" i="1"/>
  <c r="M267" i="1"/>
  <c r="L258" i="1"/>
  <c r="M258" i="1" s="1"/>
  <c r="M794" i="1"/>
  <c r="L792" i="1"/>
  <c r="M792" i="1" s="1"/>
  <c r="M172" i="1"/>
  <c r="L170" i="1"/>
  <c r="M170" i="1" s="1"/>
  <c r="L66" i="1"/>
  <c r="L76" i="1"/>
  <c r="M162" i="1"/>
  <c r="L160" i="1"/>
  <c r="M160" i="1" s="1"/>
  <c r="L202" i="1"/>
  <c r="M202" i="1" s="1"/>
  <c r="M207" i="1"/>
  <c r="L431" i="1"/>
  <c r="M431" i="1" s="1"/>
  <c r="M436" i="1"/>
  <c r="M219" i="1"/>
  <c r="L217" i="1"/>
  <c r="M217" i="1" s="1"/>
  <c r="L119" i="1"/>
  <c r="M119" i="1" s="1"/>
  <c r="M123" i="1"/>
  <c r="L502" i="1"/>
  <c r="M502" i="1" s="1"/>
  <c r="M518" i="1"/>
  <c r="L31" i="1"/>
  <c r="M93" i="1"/>
  <c r="L91" i="1"/>
  <c r="M91" i="1" s="1"/>
  <c r="L111" i="1"/>
  <c r="M111" i="1" s="1"/>
  <c r="M113" i="1"/>
  <c r="L159" i="1"/>
  <c r="L268" i="1"/>
  <c r="M268" i="1" s="1"/>
  <c r="M271" i="1"/>
  <c r="L272" i="1"/>
  <c r="M272" i="1" s="1"/>
  <c r="M276" i="1"/>
  <c r="M289" i="1"/>
  <c r="L287" i="1"/>
  <c r="M287" i="1" s="1"/>
  <c r="L56" i="1"/>
  <c r="M56" i="1" s="1"/>
  <c r="M58" i="1"/>
  <c r="M169" i="1"/>
  <c r="L165" i="1"/>
  <c r="M165" i="1" s="1"/>
  <c r="M90" i="1"/>
  <c r="L86" i="1"/>
  <c r="M86" i="1" s="1"/>
  <c r="L46" i="1"/>
  <c r="M46" i="1" s="1"/>
  <c r="M48" i="1"/>
  <c r="L10" i="1"/>
  <c r="L14" i="1"/>
  <c r="L55" i="1"/>
  <c r="L80" i="1"/>
  <c r="M210" i="1"/>
  <c r="L208" i="1"/>
  <c r="M208" i="1" s="1"/>
  <c r="M279" i="1"/>
  <c r="L277" i="1"/>
  <c r="M277" i="1" s="1"/>
  <c r="M110" i="1"/>
  <c r="L201" i="1"/>
  <c r="M212" i="1"/>
  <c r="L216" i="1" s="1"/>
  <c r="M228" i="1"/>
  <c r="L226" i="1"/>
  <c r="M226" i="1" s="1"/>
  <c r="L303" i="1"/>
  <c r="L345" i="1"/>
  <c r="L352" i="1"/>
  <c r="M683" i="1"/>
  <c r="L680" i="1"/>
  <c r="M680" i="1" s="1"/>
  <c r="M834" i="1"/>
  <c r="M100" i="1"/>
  <c r="M424" i="1"/>
  <c r="L422" i="1"/>
  <c r="M422" i="1" s="1"/>
  <c r="M791" i="1"/>
  <c r="L787" i="1"/>
  <c r="M787" i="1" s="1"/>
  <c r="M583" i="1"/>
  <c r="L580" i="1"/>
  <c r="M580" i="1" s="1"/>
  <c r="M627" i="1"/>
  <c r="L625" i="1"/>
  <c r="M625" i="1" s="1"/>
  <c r="L669" i="1"/>
  <c r="L742" i="1"/>
  <c r="M742" i="1" s="1"/>
  <c r="M751" i="1"/>
  <c r="L250" i="1"/>
  <c r="M250" i="1" s="1"/>
  <c r="M253" i="1"/>
  <c r="M595" i="1"/>
  <c r="L584" i="1"/>
  <c r="M584" i="1" s="1"/>
  <c r="L153" i="1"/>
  <c r="M360" i="1"/>
  <c r="M174" i="1"/>
  <c r="L184" i="1" s="1"/>
  <c r="M190" i="1"/>
  <c r="L192" i="1" s="1"/>
  <c r="M224" i="1"/>
  <c r="L225" i="1" s="1"/>
  <c r="M234" i="1"/>
  <c r="L240" i="1" s="1"/>
  <c r="M332" i="1"/>
  <c r="L330" i="1"/>
  <c r="M330" i="1" s="1"/>
  <c r="L361" i="1"/>
  <c r="M361" i="1" s="1"/>
  <c r="L425" i="1"/>
  <c r="M425" i="1" s="1"/>
  <c r="M430" i="1"/>
  <c r="M459" i="1"/>
  <c r="L470" i="1" s="1"/>
  <c r="L624" i="1"/>
  <c r="L418" i="1"/>
  <c r="M418" i="1" s="1"/>
  <c r="M421" i="1"/>
  <c r="L81" i="1"/>
  <c r="M81" i="1" s="1"/>
  <c r="L188" i="1"/>
  <c r="L232" i="1"/>
  <c r="M244" i="1"/>
  <c r="L241" i="1"/>
  <c r="M241" i="1" s="1"/>
  <c r="M313" i="1"/>
  <c r="L304" i="1"/>
  <c r="M304" i="1" s="1"/>
  <c r="M441" i="1"/>
  <c r="L437" i="1"/>
  <c r="M437" i="1" s="1"/>
  <c r="M703" i="1"/>
  <c r="L700" i="1"/>
  <c r="M700" i="1" s="1"/>
  <c r="M741" i="1"/>
  <c r="L739" i="1"/>
  <c r="M739" i="1" s="1"/>
  <c r="M195" i="1"/>
  <c r="L193" i="1"/>
  <c r="M193" i="1" s="1"/>
  <c r="M322" i="1"/>
  <c r="L320" i="1"/>
  <c r="M320" i="1" s="1"/>
  <c r="L142" i="1"/>
  <c r="M214" i="1"/>
  <c r="M284" i="1"/>
  <c r="L286" i="1" s="1"/>
  <c r="M453" i="1"/>
  <c r="M679" i="1"/>
  <c r="L698" i="1" s="1"/>
  <c r="L675" i="1"/>
  <c r="M675" i="1" s="1"/>
  <c r="L684" i="1"/>
  <c r="M684" i="1" s="1"/>
  <c r="M690" i="1"/>
  <c r="L691" i="1"/>
  <c r="M691" i="1" s="1"/>
  <c r="M694" i="1"/>
  <c r="M731" i="1"/>
  <c r="L729" i="1"/>
  <c r="M729" i="1" s="1"/>
  <c r="M415" i="1"/>
  <c r="L413" i="1"/>
  <c r="M413" i="1" s="1"/>
  <c r="M483" i="1"/>
  <c r="L479" i="1"/>
  <c r="M479" i="1" s="1"/>
  <c r="M486" i="1"/>
  <c r="L484" i="1"/>
  <c r="M484" i="1" s="1"/>
  <c r="L570" i="1"/>
  <c r="M570" i="1" s="1"/>
  <c r="M572" i="1"/>
  <c r="L637" i="1"/>
  <c r="M644" i="1"/>
  <c r="L653" i="1" s="1"/>
  <c r="M706" i="1"/>
  <c r="L704" i="1"/>
  <c r="M704" i="1" s="1"/>
  <c r="L722" i="1"/>
  <c r="M328" i="1"/>
  <c r="L606" i="1"/>
  <c r="M667" i="1"/>
  <c r="M808" i="1"/>
  <c r="M850" i="1"/>
  <c r="L862" i="1" s="1"/>
  <c r="M317" i="1"/>
  <c r="L319" i="1" s="1"/>
  <c r="M373" i="1"/>
  <c r="L377" i="1" s="1"/>
  <c r="M376" i="1"/>
  <c r="K386" i="1"/>
  <c r="K383" i="1" s="1"/>
  <c r="M383" i="1" s="1"/>
  <c r="L392" i="1" s="1"/>
  <c r="L412" i="1"/>
  <c r="M443" i="1"/>
  <c r="L444" i="1" s="1"/>
  <c r="L454" i="1"/>
  <c r="M473" i="1"/>
  <c r="L471" i="1"/>
  <c r="M471" i="1" s="1"/>
  <c r="M534" i="1"/>
  <c r="L535" i="1" s="1"/>
  <c r="L565" i="1"/>
  <c r="M578" i="1"/>
  <c r="L579" i="1" s="1"/>
  <c r="M781" i="1"/>
  <c r="L779" i="1"/>
  <c r="M779" i="1" s="1"/>
  <c r="M837" i="1"/>
  <c r="L885" i="1"/>
  <c r="M885" i="1" s="1"/>
  <c r="M887" i="1"/>
  <c r="M326" i="1"/>
  <c r="L370" i="1"/>
  <c r="L501" i="1"/>
  <c r="M524" i="1"/>
  <c r="L525" i="1" s="1"/>
  <c r="M568" i="1"/>
  <c r="L569" i="1" s="1"/>
  <c r="M618" i="1"/>
  <c r="M652" i="1"/>
  <c r="L695" i="1"/>
  <c r="M695" i="1" s="1"/>
  <c r="M736" i="1"/>
  <c r="L738" i="1" s="1"/>
  <c r="K760" i="1"/>
  <c r="K757" i="1" s="1"/>
  <c r="M757" i="1" s="1"/>
  <c r="M776" i="1"/>
  <c r="L778" i="1" s="1"/>
  <c r="M796" i="1"/>
  <c r="L818" i="1" s="1"/>
  <c r="M826" i="1"/>
  <c r="K869" i="1"/>
  <c r="K864" i="1" s="1"/>
  <c r="M864" i="1" s="1"/>
  <c r="L884" i="1"/>
  <c r="L522" i="1"/>
  <c r="M532" i="1"/>
  <c r="L528" i="1"/>
  <c r="M528" i="1" s="1"/>
  <c r="L769" i="1"/>
  <c r="M784" i="1"/>
  <c r="L782" i="1"/>
  <c r="M782" i="1" s="1"/>
  <c r="K546" i="1"/>
  <c r="K542" i="1" s="1"/>
  <c r="M542" i="1" s="1"/>
  <c r="L547" i="1" s="1"/>
  <c r="L633" i="1"/>
  <c r="M708" i="1"/>
  <c r="L715" i="1" s="1"/>
  <c r="M724" i="1"/>
  <c r="L728" i="1" s="1"/>
  <c r="K756" i="1"/>
  <c r="K753" i="1" s="1"/>
  <c r="M753" i="1" s="1"/>
  <c r="M768" i="1"/>
  <c r="M822" i="1"/>
  <c r="L827" i="1" s="1"/>
  <c r="L844" i="1"/>
  <c r="M878" i="1"/>
  <c r="M569" i="1" l="1"/>
  <c r="L566" i="1"/>
  <c r="M566" i="1" s="1"/>
  <c r="M653" i="1"/>
  <c r="L638" i="1"/>
  <c r="M638" i="1" s="1"/>
  <c r="M827" i="1"/>
  <c r="L819" i="1"/>
  <c r="M819" i="1" s="1"/>
  <c r="L455" i="1"/>
  <c r="M455" i="1" s="1"/>
  <c r="M470" i="1"/>
  <c r="M547" i="1"/>
  <c r="L536" i="1"/>
  <c r="M536" i="1" s="1"/>
  <c r="L734" i="1"/>
  <c r="M734" i="1" s="1"/>
  <c r="M738" i="1"/>
  <c r="L314" i="1"/>
  <c r="M314" i="1" s="1"/>
  <c r="M319" i="1"/>
  <c r="L378" i="1"/>
  <c r="M378" i="1" s="1"/>
  <c r="M392" i="1"/>
  <c r="M225" i="1"/>
  <c r="L222" i="1"/>
  <c r="M222" i="1" s="1"/>
  <c r="M579" i="1"/>
  <c r="L575" i="1"/>
  <c r="M575" i="1" s="1"/>
  <c r="M862" i="1"/>
  <c r="L848" i="1"/>
  <c r="M848" i="1" s="1"/>
  <c r="M377" i="1"/>
  <c r="L371" i="1"/>
  <c r="M371" i="1" s="1"/>
  <c r="M637" i="1"/>
  <c r="L634" i="1"/>
  <c r="M634" i="1" s="1"/>
  <c r="L795" i="1"/>
  <c r="M795" i="1" s="1"/>
  <c r="M818" i="1"/>
  <c r="M370" i="1"/>
  <c r="L416" i="1" s="1"/>
  <c r="L366" i="1"/>
  <c r="M366" i="1" s="1"/>
  <c r="M454" i="1"/>
  <c r="L477" i="1" s="1"/>
  <c r="L451" i="1"/>
  <c r="M451" i="1" s="1"/>
  <c r="L526" i="1"/>
  <c r="M31" i="1"/>
  <c r="L15" i="1"/>
  <c r="M15" i="1" s="1"/>
  <c r="L329" i="1"/>
  <c r="M188" i="1"/>
  <c r="L185" i="1"/>
  <c r="M185" i="1" s="1"/>
  <c r="M201" i="1"/>
  <c r="L220" i="1" s="1"/>
  <c r="L198" i="1"/>
  <c r="M198" i="1" s="1"/>
  <c r="M159" i="1"/>
  <c r="L154" i="1"/>
  <c r="M154" i="1" s="1"/>
  <c r="L67" i="1"/>
  <c r="M67" i="1" s="1"/>
  <c r="M76" i="1"/>
  <c r="M565" i="1"/>
  <c r="L548" i="1"/>
  <c r="M548" i="1" s="1"/>
  <c r="M412" i="1"/>
  <c r="L399" i="1"/>
  <c r="M399" i="1" s="1"/>
  <c r="L189" i="1"/>
  <c r="M189" i="1" s="1"/>
  <c r="M192" i="1"/>
  <c r="M153" i="1"/>
  <c r="L143" i="1"/>
  <c r="M143" i="1" s="1"/>
  <c r="L333" i="1"/>
  <c r="M333" i="1" s="1"/>
  <c r="M345" i="1"/>
  <c r="M55" i="1"/>
  <c r="L51" i="1"/>
  <c r="M51" i="1" s="1"/>
  <c r="L117" i="1"/>
  <c r="M66" i="1"/>
  <c r="L59" i="1"/>
  <c r="M59" i="1" s="1"/>
  <c r="L487" i="1"/>
  <c r="M487" i="1" s="1"/>
  <c r="M501" i="1"/>
  <c r="M624" i="1"/>
  <c r="L607" i="1"/>
  <c r="M607" i="1" s="1"/>
  <c r="L665" i="1"/>
  <c r="M665" i="1" s="1"/>
  <c r="M669" i="1"/>
  <c r="L840" i="1"/>
  <c r="M840" i="1" s="1"/>
  <c r="M844" i="1"/>
  <c r="M722" i="1"/>
  <c r="L732" i="1" s="1"/>
  <c r="L716" i="1"/>
  <c r="M716" i="1" s="1"/>
  <c r="M232" i="1"/>
  <c r="L229" i="1"/>
  <c r="M229" i="1" s="1"/>
  <c r="L280" i="1"/>
  <c r="L211" i="1"/>
  <c r="M211" i="1" s="1"/>
  <c r="M216" i="1"/>
  <c r="L775" i="1"/>
  <c r="M775" i="1" s="1"/>
  <c r="M778" i="1"/>
  <c r="L785" i="1" s="1"/>
  <c r="M444" i="1"/>
  <c r="L442" i="1"/>
  <c r="M442" i="1" s="1"/>
  <c r="M286" i="1"/>
  <c r="L323" i="1" s="1"/>
  <c r="L282" i="1"/>
  <c r="M282" i="1" s="1"/>
  <c r="M352" i="1"/>
  <c r="L346" i="1"/>
  <c r="M346" i="1" s="1"/>
  <c r="M522" i="1"/>
  <c r="L519" i="1"/>
  <c r="M519" i="1" s="1"/>
  <c r="L765" i="1"/>
  <c r="M884" i="1"/>
  <c r="L880" i="1"/>
  <c r="M880" i="1" s="1"/>
  <c r="M535" i="1"/>
  <c r="L573" i="1" s="1"/>
  <c r="L533" i="1"/>
  <c r="M533" i="1" s="1"/>
  <c r="M142" i="1"/>
  <c r="L127" i="1"/>
  <c r="M127" i="1" s="1"/>
  <c r="L445" i="1"/>
  <c r="M184" i="1"/>
  <c r="L196" i="1" s="1"/>
  <c r="L173" i="1"/>
  <c r="M173" i="1" s="1"/>
  <c r="M303" i="1"/>
  <c r="L290" i="1"/>
  <c r="M290" i="1" s="1"/>
  <c r="M14" i="1"/>
  <c r="L11" i="1"/>
  <c r="M11" i="1" s="1"/>
  <c r="L163" i="1"/>
  <c r="L707" i="1"/>
  <c r="M707" i="1" s="1"/>
  <c r="M715" i="1"/>
  <c r="M769" i="1"/>
  <c r="L766" i="1"/>
  <c r="M766" i="1" s="1"/>
  <c r="L674" i="1"/>
  <c r="M674" i="1" s="1"/>
  <c r="M698" i="1"/>
  <c r="L838" i="1"/>
  <c r="M633" i="1"/>
  <c r="L673" i="1" s="1"/>
  <c r="L630" i="1"/>
  <c r="M630" i="1" s="1"/>
  <c r="L233" i="1"/>
  <c r="M233" i="1" s="1"/>
  <c r="M240" i="1"/>
  <c r="L77" i="1"/>
  <c r="M77" i="1" s="1"/>
  <c r="M80" i="1"/>
  <c r="M525" i="1"/>
  <c r="L523" i="1"/>
  <c r="M523" i="1" s="1"/>
  <c r="L723" i="1"/>
  <c r="M723" i="1" s="1"/>
  <c r="M728" i="1"/>
  <c r="L879" i="1"/>
  <c r="M606" i="1"/>
  <c r="L596" i="1"/>
  <c r="M596" i="1" s="1"/>
  <c r="M10" i="1"/>
  <c r="L6" i="1"/>
  <c r="M6" i="1" s="1"/>
  <c r="M573" i="1" l="1"/>
  <c r="L527" i="1"/>
  <c r="M527" i="1" s="1"/>
  <c r="M196" i="1"/>
  <c r="L164" i="1"/>
  <c r="M164" i="1" s="1"/>
  <c r="M732" i="1"/>
  <c r="L699" i="1"/>
  <c r="M699" i="1" s="1"/>
  <c r="M838" i="1"/>
  <c r="L786" i="1"/>
  <c r="M786" i="1" s="1"/>
  <c r="M416" i="1"/>
  <c r="L365" i="1"/>
  <c r="M365" i="1" s="1"/>
  <c r="M879" i="1"/>
  <c r="L888" i="1" s="1"/>
  <c r="L863" i="1"/>
  <c r="M863" i="1" s="1"/>
  <c r="M163" i="1"/>
  <c r="L118" i="1"/>
  <c r="M118" i="1" s="1"/>
  <c r="L248" i="1"/>
  <c r="M526" i="1"/>
  <c r="L478" i="1"/>
  <c r="M478" i="1" s="1"/>
  <c r="L84" i="1"/>
  <c r="L774" i="1"/>
  <c r="M774" i="1" s="1"/>
  <c r="M785" i="1"/>
  <c r="L197" i="1"/>
  <c r="M197" i="1" s="1"/>
  <c r="M220" i="1"/>
  <c r="L417" i="1"/>
  <c r="M417" i="1" s="1"/>
  <c r="M445" i="1"/>
  <c r="L752" i="1"/>
  <c r="M752" i="1" s="1"/>
  <c r="M765" i="1"/>
  <c r="L773" i="1" s="1"/>
  <c r="L281" i="1"/>
  <c r="M281" i="1" s="1"/>
  <c r="M323" i="1"/>
  <c r="M280" i="1"/>
  <c r="L249" i="1"/>
  <c r="M249" i="1" s="1"/>
  <c r="L325" i="1"/>
  <c r="M325" i="1" s="1"/>
  <c r="M329" i="1"/>
  <c r="L364" i="1" s="1"/>
  <c r="M477" i="1"/>
  <c r="L446" i="1"/>
  <c r="M446" i="1" s="1"/>
  <c r="M117" i="1"/>
  <c r="L85" i="1"/>
  <c r="M85" i="1" s="1"/>
  <c r="L49" i="1"/>
  <c r="M673" i="1"/>
  <c r="L629" i="1"/>
  <c r="M629" i="1" s="1"/>
  <c r="L628" i="1"/>
  <c r="L839" i="1" l="1"/>
  <c r="M839" i="1" s="1"/>
  <c r="M888" i="1"/>
  <c r="L733" i="1"/>
  <c r="M733" i="1" s="1"/>
  <c r="M773" i="1"/>
  <c r="L5" i="1"/>
  <c r="M5" i="1" s="1"/>
  <c r="M49" i="1"/>
  <c r="L889" i="1" s="1"/>
  <c r="L221" i="1"/>
  <c r="M221" i="1" s="1"/>
  <c r="M248" i="1"/>
  <c r="M628" i="1"/>
  <c r="L574" i="1"/>
  <c r="M574" i="1" s="1"/>
  <c r="M84" i="1"/>
  <c r="L50" i="1"/>
  <c r="M50" i="1" s="1"/>
  <c r="L324" i="1"/>
  <c r="M324" i="1" s="1"/>
  <c r="M364" i="1"/>
  <c r="M889" i="1" l="1"/>
  <c r="L4" i="1"/>
  <c r="M4" i="1" s="1"/>
</calcChain>
</file>

<file path=xl/sharedStrings.xml><?xml version="1.0" encoding="utf-8"?>
<sst xmlns="http://schemas.openxmlformats.org/spreadsheetml/2006/main" count="2613" uniqueCount="2613">
  <si>
    <t>Obra:</t>
  </si>
  <si>
    <t>Pressupost per la rehabilitació de la instal·lació elèctrica de BT dels locals de jardiners de Parcs i Jardins</t>
  </si>
  <si>
    <t>Pressupost</t>
  </si>
  <si>
    <t>% C.I.</t>
  </si>
  <si>
    <t>Codi</t>
  </si>
  <si>
    <t>Tipus</t>
  </si>
  <si>
    <t>U</t>
  </si>
  <si>
    <t>Resum</t>
  </si>
  <si>
    <t>Quantitat</t>
  </si>
  <si>
    <t>Preu (€)</t>
  </si>
  <si>
    <t>Import (€)</t>
  </si>
  <si>
    <t>PPT_PARCS I JARDINS_2023</t>
  </si>
  <si>
    <t>Capítol</t>
  </si>
  <si>
    <t>Pressupost per la rehabilitació de la instal·lació elèctrica de BT dels locals de jardiners de Parcs i Jardins</t>
  </si>
  <si>
    <t>1</t>
  </si>
  <si>
    <t>Capítol</t>
  </si>
  <si>
    <t>LOCAL 1: PARC DE LA ORENETA</t>
  </si>
  <si>
    <t>1.1</t>
  </si>
  <si>
    <t>Capítol</t>
  </si>
  <si>
    <t>Actuacions previes</t>
  </si>
  <si>
    <t>00.01</t>
  </si>
  <si>
    <t>Partida</t>
  </si>
  <si>
    <t>u</t>
  </si>
  <si>
    <t>Partida alçada de treballs previs per la identificació de circuits elèctrics</t>
  </si>
  <si>
    <t>00.05</t>
  </si>
  <si>
    <t>Partida</t>
  </si>
  <si>
    <t>PA</t>
  </si>
  <si>
    <t>Partida alçada de de comprovació de la posta a terra i aïllmanets.</t>
  </si>
  <si>
    <t>00.02</t>
  </si>
  <si>
    <t>Partida</t>
  </si>
  <si>
    <t>u</t>
  </si>
  <si>
    <t>Partida alçada de treballs previs per la retirada de les instal·lacions d'electricitat i enllumenat obsoletes</t>
  </si>
  <si>
    <t>1.1</t>
  </si>
  <si>
    <t>1.2</t>
  </si>
  <si>
    <t>Capítol</t>
  </si>
  <si>
    <t>Conjunt de mesura i quadre de distribució</t>
  </si>
  <si>
    <t>PG1D-H9WH</t>
  </si>
  <si>
    <t>Partida</t>
  </si>
  <si>
    <t>u</t>
  </si>
  <si>
    <t>CPM TMF1, 25-63 A (17,32-43,64 kW),400V,s/compt.,s/ICP-M,s/ID,col.superf.</t>
  </si>
  <si>
    <t>1.2.1</t>
  </si>
  <si>
    <t>Partida</t>
  </si>
  <si>
    <t>u</t>
  </si>
  <si>
    <t>Quadre General de baixa tensió</t>
  </si>
  <si>
    <t>1.2</t>
  </si>
  <si>
    <t>1.3</t>
  </si>
  <si>
    <t>Capítol</t>
  </si>
  <si>
    <t>Línies elèctriques i canalització</t>
  </si>
  <si>
    <t>1.3.1</t>
  </si>
  <si>
    <t>Partida</t>
  </si>
  <si>
    <t>u</t>
  </si>
  <si>
    <t>Modificació de la derivació individual fins a nou QGBT</t>
  </si>
  <si>
    <t>PG35-DYD4</t>
  </si>
  <si>
    <t>Partida</t>
  </si>
  <si>
    <t>m</t>
  </si>
  <si>
    <t>Cable amb conductor de coure de tensió assignada inferior o igual a 450/750 V, de designació H07V-K, construcció segons norma UNE-EN 50525-2-31, unipolar, de secció 1x1,5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</si>
  <si>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</si>
  <si>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</si>
  <si>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</si>
  <si>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</si>
  <si>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</si>
  <si>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</si>
  <si>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interruptor magatzem: de caixa de derivació a interruptor</t>
  </si>
  <si>
    <t>PG35-DYD9</t>
  </si>
  <si>
    <t>Partida</t>
  </si>
  <si>
    <t>m</t>
  </si>
  <si>
    <t>Cable amb conductor de coure de tensió assignada inferior o igual a 450/750 V, de designació H07V-K, construcció segons norma UNE-EN 50525-2-31, unipolar, de secció 1x2,5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</si>
  <si>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</si>
  <si>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</si>
  <si>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</si>
  <si>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</si>
  <si>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</si>
  <si>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</si>
  <si>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de QGBT a endolls termos</t>
  </si>
  <si>
    <t>de QGBT a endolls vestuari</t>
  </si>
  <si>
    <t>de QGBT a endolls office</t>
  </si>
  <si>
    <t>magatzem: de caixa derivació a endoll</t>
  </si>
  <si>
    <t>PG2P-6SZ6</t>
  </si>
  <si>
    <t>Partida</t>
  </si>
  <si>
    <t>m</t>
  </si>
  <si>
    <t>Tub rígid PVC,DN=20mm,impacte=2J,resist.compress.=1250N,unió endollada+munt.superf.</t>
  </si>
  <si>
    <t>Uts.</t>
  </si>
  <si>
    <t>Llargada</t>
  </si>
  <si>
    <t>Amplada</t>
  </si>
  <si>
    <t>Alçada</t>
  </si>
  <si>
    <t>Parcial</t>
  </si>
  <si>
    <t>Subtotal</t>
  </si>
  <si>
    <t>enllumenat</t>
  </si>
  <si>
    <t>endolls</t>
  </si>
  <si>
    <t>00.01b</t>
  </si>
  <si>
    <t>Partida</t>
  </si>
  <si>
    <t>u</t>
  </si>
  <si>
    <t>Partida alçada per la instal·lació de petit material necessari per adequar la instal·lació existent.</t>
  </si>
  <si>
    <t>1.3</t>
  </si>
  <si>
    <t>1.4</t>
  </si>
  <si>
    <t>Capítol</t>
  </si>
  <si>
    <t>Mecanismes</t>
  </si>
  <si>
    <t>PG6H-CUIP</t>
  </si>
  <si>
    <t>Partida</t>
  </si>
  <si>
    <t>u</t>
  </si>
  <si>
    <t>Kit mecanismes,2 elements,2 bases endoll,+caixa, marc i bastidor,superfcicial tipus IP55</t>
  </si>
  <si>
    <t>Uts.</t>
  </si>
  <si>
    <t>Llargada</t>
  </si>
  <si>
    <t>Amplada</t>
  </si>
  <si>
    <t>Alçada</t>
  </si>
  <si>
    <t>Parcial</t>
  </si>
  <si>
    <t>Subtotal</t>
  </si>
  <si>
    <t>endolls termo</t>
  </si>
  <si>
    <t>endoll magatzem</t>
  </si>
  <si>
    <t>PG6H-CUJL</t>
  </si>
  <si>
    <t>Partida</t>
  </si>
  <si>
    <t>u</t>
  </si>
  <si>
    <t>Kit mecanismes,3 elements,3 bases endoll,+caixa, marc i bastidor,encastat, tipus superficial</t>
  </si>
  <si>
    <t>Uts.</t>
  </si>
  <si>
    <t>Llargada</t>
  </si>
  <si>
    <t>Amplada</t>
  </si>
  <si>
    <t>Alçada</t>
  </si>
  <si>
    <t>Parcial</t>
  </si>
  <si>
    <t>Subtotal</t>
  </si>
  <si>
    <t>zona cuina</t>
  </si>
  <si>
    <t>zona escriptori</t>
  </si>
  <si>
    <t>zona QGBT</t>
  </si>
  <si>
    <t>1.4.1</t>
  </si>
  <si>
    <t>Partida</t>
  </si>
  <si>
    <t>u</t>
  </si>
  <si>
    <t>Electrificació de força per a kit de mecanismes de 1, 2 o 3 preses de corrent</t>
  </si>
  <si>
    <t>PG6H-CUJNb</t>
  </si>
  <si>
    <t>Partida</t>
  </si>
  <si>
    <t>u</t>
  </si>
  <si>
    <t>Kit mecanismes,1 element,1 interruptor,+caixa, marc i bastidor,superficial</t>
  </si>
  <si>
    <t>1.4.2</t>
  </si>
  <si>
    <t>Partida</t>
  </si>
  <si>
    <t>u</t>
  </si>
  <si>
    <t>Electrificació per a mecanisme interruptor/polsador/commut/detector, 1 línea</t>
  </si>
  <si>
    <t>1.4</t>
  </si>
  <si>
    <t>1.8</t>
  </si>
  <si>
    <t>Capítol</t>
  </si>
  <si>
    <t>Certificat de la instal·lació i registre a Indústria</t>
  </si>
  <si>
    <t>12.02b</t>
  </si>
  <si>
    <t>Partida</t>
  </si>
  <si>
    <t>u</t>
  </si>
  <si>
    <t>Certificat de la instal·lació de baixa tensió en edifici i registre a Indústria</t>
  </si>
  <si>
    <t>1.8</t>
  </si>
  <si>
    <t>1</t>
  </si>
  <si>
    <t>2</t>
  </si>
  <si>
    <t>Capítol</t>
  </si>
  <si>
    <t>LOCAL 2: CREU DE PEDRALBES</t>
  </si>
  <si>
    <t>2.1</t>
  </si>
  <si>
    <t>Capítol</t>
  </si>
  <si>
    <t>Actuacions previes</t>
  </si>
  <si>
    <t>00.01</t>
  </si>
  <si>
    <t>Partida</t>
  </si>
  <si>
    <t>u</t>
  </si>
  <si>
    <t>Partida alçada de treballs previs per la identificació de circuits elèctrics</t>
  </si>
  <si>
    <t>00.02</t>
  </si>
  <si>
    <t>Partida</t>
  </si>
  <si>
    <t>u</t>
  </si>
  <si>
    <t>Partida alçada de treballs previs per la retirada de les instal·lacions d'electricitat i enllumenat obsoletes</t>
  </si>
  <si>
    <t>00.05</t>
  </si>
  <si>
    <t>Partida</t>
  </si>
  <si>
    <t>PA</t>
  </si>
  <si>
    <t>Partida alçada de de comprovació de la posta a terra i aïllmanets.</t>
  </si>
  <si>
    <t>2.1</t>
  </si>
  <si>
    <t>2.2</t>
  </si>
  <si>
    <t>Capítol</t>
  </si>
  <si>
    <t>Conjunt de mesura i quadre de distribució</t>
  </si>
  <si>
    <t>2.2.1</t>
  </si>
  <si>
    <t>Partida</t>
  </si>
  <si>
    <t>u</t>
  </si>
  <si>
    <t>Quadre General de baixa tensió</t>
  </si>
  <si>
    <t>2.2</t>
  </si>
  <si>
    <t>2.3</t>
  </si>
  <si>
    <t>Capítol</t>
  </si>
  <si>
    <t>Línies elèctriques i canalització</t>
  </si>
  <si>
    <t>PG35-DYD4</t>
  </si>
  <si>
    <t>Partida</t>
  </si>
  <si>
    <t>m</t>
  </si>
  <si>
    <t>Cable amb conductor de coure de tensió assignada inferior o igual a 450/750 V, de designació H07V-K, construcció segons norma UNE-EN 50525-2-31, unipolar, de secció 1x1,5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</si>
  <si>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</si>
  <si>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</si>
  <si>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</si>
  <si>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</si>
  <si>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</si>
  <si>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</si>
  <si>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de QGBT a programador reg</t>
  </si>
  <si>
    <t>0</t>
  </si>
  <si>
    <t>PG2P-6SZ6</t>
  </si>
  <si>
    <t>Partida</t>
  </si>
  <si>
    <t>m</t>
  </si>
  <si>
    <t>Tub rígid PVC,DN=20mm,impacte=2J,resist.compress.=1250N,unió endollada+munt.superf.</t>
  </si>
  <si>
    <t>00.01bb</t>
  </si>
  <si>
    <t>Partida</t>
  </si>
  <si>
    <t>u</t>
  </si>
  <si>
    <t>Partida alçada per la instal·lació de petit material necessari per adequar la instal·lació existent.</t>
  </si>
  <si>
    <t>2.3</t>
  </si>
  <si>
    <t>2.4</t>
  </si>
  <si>
    <t>Capítol</t>
  </si>
  <si>
    <t>Mecanismes</t>
  </si>
  <si>
    <t>PG6H-CUIP</t>
  </si>
  <si>
    <t>Partida</t>
  </si>
  <si>
    <t>u</t>
  </si>
  <si>
    <t>Kit mecanismes,2 elements,2 bases endoll,+caixa, marc i bastidor,superfcicial tipus IP55</t>
  </si>
  <si>
    <t>Uts.</t>
  </si>
  <si>
    <t>Llargada</t>
  </si>
  <si>
    <t>Amplada</t>
  </si>
  <si>
    <t>Alçada</t>
  </si>
  <si>
    <t>Parcial</t>
  </si>
  <si>
    <t>Subtotal</t>
  </si>
  <si>
    <t>endolls menjador</t>
  </si>
  <si>
    <t>0</t>
  </si>
  <si>
    <t>PG6H-CUJL</t>
  </si>
  <si>
    <t>Partida</t>
  </si>
  <si>
    <t>u</t>
  </si>
  <si>
    <t>Kit mecanismes,3 elements,3 bases endoll,+caixa, marc i bastidor,encastat, tipus superficial</t>
  </si>
  <si>
    <t>Uts.</t>
  </si>
  <si>
    <t>Llargada</t>
  </si>
  <si>
    <t>Amplada</t>
  </si>
  <si>
    <t>Alçada</t>
  </si>
  <si>
    <t>Parcial</t>
  </si>
  <si>
    <t>Subtotal</t>
  </si>
  <si>
    <t>endolls taula escriptori</t>
  </si>
  <si>
    <t>02.06b</t>
  </si>
  <si>
    <t>Partida</t>
  </si>
  <si>
    <t>u</t>
  </si>
  <si>
    <t>Electrificació de força per a kit de mecanismes de 1, 2 o 3 preses de corrent</t>
  </si>
  <si>
    <t>2.4</t>
  </si>
  <si>
    <t>2.5</t>
  </si>
  <si>
    <t>Capítol</t>
  </si>
  <si>
    <t>Enllumenat</t>
  </si>
  <si>
    <t>PHUL-HCV1</t>
  </si>
  <si>
    <t>Partida</t>
  </si>
  <si>
    <t>u</t>
  </si>
  <si>
    <t>Substitució T8/36W/1200 p/tub led 20W,230V,L=1200mm,G13,&gt;1600lm,4000/6500K,Ra&gt;80</t>
  </si>
  <si>
    <t>PHUL-HCV0</t>
  </si>
  <si>
    <t>Partida</t>
  </si>
  <si>
    <t>u</t>
  </si>
  <si>
    <t>Substitució T8/18W/600 p/tub led 8W,230V,L=600mm,G13,&gt;800lm,4000/6500K,Ra&gt;80</t>
  </si>
  <si>
    <t>2.5</t>
  </si>
  <si>
    <t>2.6</t>
  </si>
  <si>
    <t>Capítol</t>
  </si>
  <si>
    <t>Certificat de la instal·lació i registre a Indústria</t>
  </si>
  <si>
    <t>12.02b</t>
  </si>
  <si>
    <t>Partida</t>
  </si>
  <si>
    <t>u</t>
  </si>
  <si>
    <t>Certificat de la instal·lació de baixa tensió en edifici i registre a Indústria</t>
  </si>
  <si>
    <t>2.6</t>
  </si>
  <si>
    <t>2</t>
  </si>
  <si>
    <t>3</t>
  </si>
  <si>
    <t>Capítol</t>
  </si>
  <si>
    <t>LOCAL 3: PALAU REIAL</t>
  </si>
  <si>
    <t>3.1</t>
  </si>
  <si>
    <t>Capítol</t>
  </si>
  <si>
    <t>Actuacions previes</t>
  </si>
  <si>
    <t>00.01</t>
  </si>
  <si>
    <t>Partida</t>
  </si>
  <si>
    <t>u</t>
  </si>
  <si>
    <t>Partida alçada de treballs previs per la identificació de circuits elèctrics</t>
  </si>
  <si>
    <t>00.02</t>
  </si>
  <si>
    <t>Partida</t>
  </si>
  <si>
    <t>u</t>
  </si>
  <si>
    <t>Partida alçada de treballs previs per la retirada de les instal·lacions d'electricitat i enllumenat obsoletes</t>
  </si>
  <si>
    <t>00.05</t>
  </si>
  <si>
    <t>Partida</t>
  </si>
  <si>
    <t>PA</t>
  </si>
  <si>
    <t>Partida alçada de de comprovació de la posta a terra i aïllmanets.</t>
  </si>
  <si>
    <t>3.1</t>
  </si>
  <si>
    <t>3.2</t>
  </si>
  <si>
    <t>Capítol</t>
  </si>
  <si>
    <t>Conjunt de mesura i quadre de distribució</t>
  </si>
  <si>
    <t>3.2.1</t>
  </si>
  <si>
    <t>Partida</t>
  </si>
  <si>
    <t>u</t>
  </si>
  <si>
    <t>Quadre General de baixa tensió</t>
  </si>
  <si>
    <t>3.2</t>
  </si>
  <si>
    <t>3.3</t>
  </si>
  <si>
    <t>Capítol</t>
  </si>
  <si>
    <t>Línies elèctriques i canalització</t>
  </si>
  <si>
    <t>4.3.1</t>
  </si>
  <si>
    <t>Partida</t>
  </si>
  <si>
    <t>u</t>
  </si>
  <si>
    <t>Modificació de la derivació individual fins a nou QGBT</t>
  </si>
  <si>
    <t>PG35-DYD9</t>
  </si>
  <si>
    <t>Partida</t>
  </si>
  <si>
    <t>m</t>
  </si>
  <si>
    <t>Cable amb conductor de coure de tensió assignada inferior o igual a 450/750 V, de designació H07V-K, construcció segons norma UNE-EN 50525-2-31, unipolar, de secció 1x2,5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</si>
  <si>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</si>
  <si>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</si>
  <si>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</si>
  <si>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</si>
  <si>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</si>
  <si>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</si>
  <si>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de QGBT a endolls termos</t>
  </si>
  <si>
    <t>PG2P-6SZ6</t>
  </si>
  <si>
    <t>Partida</t>
  </si>
  <si>
    <t>m</t>
  </si>
  <si>
    <t>Tub rígid PVC,DN=20mm,impacte=2J,resist.compress.=1250N,unió endollada+munt.superf.</t>
  </si>
  <si>
    <t>3.3</t>
  </si>
  <si>
    <t>3.4</t>
  </si>
  <si>
    <t>Capítol</t>
  </si>
  <si>
    <t>Mecanismes</t>
  </si>
  <si>
    <t>PG6H-CUIP</t>
  </si>
  <si>
    <t>Partida</t>
  </si>
  <si>
    <t>u</t>
  </si>
  <si>
    <t>Kit mecanismes,2 elements,2 bases endoll,+caixa, marc i bastidor,superfcicial tipus IP55</t>
  </si>
  <si>
    <t>Uts.</t>
  </si>
  <si>
    <t>Llargada</t>
  </si>
  <si>
    <t>Amplada</t>
  </si>
  <si>
    <t>Alçada</t>
  </si>
  <si>
    <t>Parcial</t>
  </si>
  <si>
    <t>Subtotal</t>
  </si>
  <si>
    <t>endolls termo</t>
  </si>
  <si>
    <t>endolls cuina</t>
  </si>
  <si>
    <t>PG6H-CUJL</t>
  </si>
  <si>
    <t>Partida</t>
  </si>
  <si>
    <t>u</t>
  </si>
  <si>
    <t>Kit mecanismes,3 elements,3 bases endoll,+caixa, marc i bastidor,encastat, tipus superficial</t>
  </si>
  <si>
    <t>Uts.</t>
  </si>
  <si>
    <t>Llargada</t>
  </si>
  <si>
    <t>Amplada</t>
  </si>
  <si>
    <t>Alçada</t>
  </si>
  <si>
    <t>Parcial</t>
  </si>
  <si>
    <t>Subtotal</t>
  </si>
  <si>
    <t>endolls oficina</t>
  </si>
  <si>
    <t>02.06b</t>
  </si>
  <si>
    <t>Partida</t>
  </si>
  <si>
    <t>u</t>
  </si>
  <si>
    <t>Electrificació de força per a kit de mecanismes de 1, 2 o 3 preses de corrent</t>
  </si>
  <si>
    <t>3.4</t>
  </si>
  <si>
    <t>3.5</t>
  </si>
  <si>
    <t>Capítol</t>
  </si>
  <si>
    <t>Enllumenat</t>
  </si>
  <si>
    <t>PHUL-HCV1</t>
  </si>
  <si>
    <t>Partida</t>
  </si>
  <si>
    <t>u</t>
  </si>
  <si>
    <t>Substitució T8/36W/1200 p/tub led 20W,230V,L=1200mm,G13,&gt;1600lm,4000/6500K,Ra&gt;80</t>
  </si>
  <si>
    <t>3.5</t>
  </si>
  <si>
    <t>3.6</t>
  </si>
  <si>
    <t>Capítol</t>
  </si>
  <si>
    <t>Certificat de la instal·lació i registre a Indústria</t>
  </si>
  <si>
    <t>12.02b</t>
  </si>
  <si>
    <t>Partida</t>
  </si>
  <si>
    <t>u</t>
  </si>
  <si>
    <t>Certificat de la instal·lació de baixa tensió en edifici i registre a Indústria</t>
  </si>
  <si>
    <t>3.6</t>
  </si>
  <si>
    <t>3</t>
  </si>
  <si>
    <t>4</t>
  </si>
  <si>
    <t>Capítol</t>
  </si>
  <si>
    <t>LOCAL 4: AV. DIAGONAL / TTE. VALENZUELA</t>
  </si>
  <si>
    <t>4.1</t>
  </si>
  <si>
    <t>Capítol</t>
  </si>
  <si>
    <t>Actuacions previes</t>
  </si>
  <si>
    <t>00.01</t>
  </si>
  <si>
    <t>Partida</t>
  </si>
  <si>
    <t>u</t>
  </si>
  <si>
    <t>Partida alçada de treballs previs per la identificació de circuits elèctrics</t>
  </si>
  <si>
    <t>00.02</t>
  </si>
  <si>
    <t>Partida</t>
  </si>
  <si>
    <t>u</t>
  </si>
  <si>
    <t>Partida alçada de treballs previs per la retirada de les instal·lacions d'electricitat i enllumenat obsoletes</t>
  </si>
  <si>
    <t>00.05</t>
  </si>
  <si>
    <t>Partida</t>
  </si>
  <si>
    <t>PA</t>
  </si>
  <si>
    <t>Partida alçada de de comprovació de la posta a terra i aïllmanets.</t>
  </si>
  <si>
    <t>4.1</t>
  </si>
  <si>
    <t>4.2</t>
  </si>
  <si>
    <t>Capítol</t>
  </si>
  <si>
    <t>Conjunt de mesura i quadre de distribució</t>
  </si>
  <si>
    <t>4.2.1</t>
  </si>
  <si>
    <t>Partida</t>
  </si>
  <si>
    <t>u</t>
  </si>
  <si>
    <t>Quadre General de baixa tensió</t>
  </si>
  <si>
    <t>4.2</t>
  </si>
  <si>
    <t>4.3</t>
  </si>
  <si>
    <t>Capítol</t>
  </si>
  <si>
    <t>Línies elèctriques i canalització</t>
  </si>
  <si>
    <t>4.3.1</t>
  </si>
  <si>
    <t>Partida</t>
  </si>
  <si>
    <t>u</t>
  </si>
  <si>
    <t>Modificació de la derivació individual fins a nou QGBT</t>
  </si>
  <si>
    <t>PG35-DYD4</t>
  </si>
  <si>
    <t>Partida</t>
  </si>
  <si>
    <t>m</t>
  </si>
  <si>
    <t>Cable amb conductor de coure de tensió assignada inferior o igual a 450/750 V, de designació H07V-K, construcció segons norma UNE-EN 50525-2-31, unipolar, de secció 1x1,5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</si>
  <si>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</si>
  <si>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</si>
  <si>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</si>
  <si>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</si>
  <si>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</si>
  <si>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</si>
  <si>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Enllumenat general</t>
  </si>
  <si>
    <t>Emergencia</t>
  </si>
  <si>
    <t>Programador Reg</t>
  </si>
  <si>
    <t>PG35-DYD9</t>
  </si>
  <si>
    <t>Partida</t>
  </si>
  <si>
    <t>m</t>
  </si>
  <si>
    <t>Cable amb conductor de coure de tensió assignada inferior o igual a 450/750 V, de designació H07V-K, construcció segons norma UNE-EN 50525-2-31, unipolar, de secció 1x2,5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</si>
  <si>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</si>
  <si>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</si>
  <si>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</si>
  <si>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</si>
  <si>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</si>
  <si>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</si>
  <si>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de QGBT a endolls termos</t>
  </si>
  <si>
    <t>endolls generals</t>
  </si>
  <si>
    <t>PG2P-6SZ6</t>
  </si>
  <si>
    <t>Partida</t>
  </si>
  <si>
    <t>m</t>
  </si>
  <si>
    <t>Tub rígid PVC,DN=20mm,impacte=2J,resist.compress.=1250N,unió endollada+munt.superf.</t>
  </si>
  <si>
    <t>Uts.</t>
  </si>
  <si>
    <t>Llargada</t>
  </si>
  <si>
    <t>Amplada</t>
  </si>
  <si>
    <t>Alçada</t>
  </si>
  <si>
    <t>Parcial</t>
  </si>
  <si>
    <t>Subtotal</t>
  </si>
  <si>
    <t>linies enllumenat</t>
  </si>
  <si>
    <t>linies força</t>
  </si>
  <si>
    <t>4.3</t>
  </si>
  <si>
    <t>4.4</t>
  </si>
  <si>
    <t>Capítol</t>
  </si>
  <si>
    <t>Mecanismes</t>
  </si>
  <si>
    <t>PG6H-CUJQ</t>
  </si>
  <si>
    <t>Partida</t>
  </si>
  <si>
    <t>u</t>
  </si>
  <si>
    <t>Kit mecanismes,1 element,1 base endoll,+caixa, marc i bastidor,superfcicial tipus IP55</t>
  </si>
  <si>
    <t>Uts.</t>
  </si>
  <si>
    <t>Llargada</t>
  </si>
  <si>
    <t>Amplada</t>
  </si>
  <si>
    <t>Alçada</t>
  </si>
  <si>
    <t>Parcial</t>
  </si>
  <si>
    <t>Subtotal</t>
  </si>
  <si>
    <t>endoll nevera</t>
  </si>
  <si>
    <t>PG6H-CUIP</t>
  </si>
  <si>
    <t>Partida</t>
  </si>
  <si>
    <t>u</t>
  </si>
  <si>
    <t>Kit mecanismes,2 elements,2 bases endoll,+caixa, marc i bastidor,superfcicial tipus IP55</t>
  </si>
  <si>
    <t>Uts.</t>
  </si>
  <si>
    <t>Llargada</t>
  </si>
  <si>
    <t>Amplada</t>
  </si>
  <si>
    <t>Alçada</t>
  </si>
  <si>
    <t>Parcial</t>
  </si>
  <si>
    <t>Subtotal</t>
  </si>
  <si>
    <t>endolls cuina</t>
  </si>
  <si>
    <t>endolls termos</t>
  </si>
  <si>
    <t>endolls oficina</t>
  </si>
  <si>
    <t>02.06b</t>
  </si>
  <si>
    <t>Partida</t>
  </si>
  <si>
    <t>u</t>
  </si>
  <si>
    <t>Electrificació de força per a kit de mecanismes de 1, 2 o 3 preses de corrent</t>
  </si>
  <si>
    <t>4.4</t>
  </si>
  <si>
    <t>4.5</t>
  </si>
  <si>
    <t>Capítol</t>
  </si>
  <si>
    <t>Enllumenat</t>
  </si>
  <si>
    <t>PHUL-HCV1</t>
  </si>
  <si>
    <t>Partida</t>
  </si>
  <si>
    <t>u</t>
  </si>
  <si>
    <t>Substitució T8/36W/1200 p/tub led 20W,230V,L=1200mm,G13,&gt;1600lm,4000/6500K,Ra&gt;80</t>
  </si>
  <si>
    <t>PHUL-HCV0</t>
  </si>
  <si>
    <t>Partida</t>
  </si>
  <si>
    <t>u</t>
  </si>
  <si>
    <t>Substitució T8/18W/600 p/tub led 8W,230V,L=600mm,G13,&gt;800lm,4000/6500K,Ra&gt;80</t>
  </si>
  <si>
    <t>EH61RC4A</t>
  </si>
  <si>
    <t>Partida</t>
  </si>
  <si>
    <t>u</t>
  </si>
  <si>
    <t>Llum emerg.led,no permanent,IP4X,classe II,70-100lúmens,auton&lt; 1h, ,forma rect.,policarbon.,preu alt, col.encastat</t>
  </si>
  <si>
    <t>03.04</t>
  </si>
  <si>
    <t>Partida</t>
  </si>
  <si>
    <t>u</t>
  </si>
  <si>
    <t>Electrificació de lluminaria emergencia autònoma</t>
  </si>
  <si>
    <t>4.5</t>
  </si>
  <si>
    <t>4.6</t>
  </si>
  <si>
    <t>Capítol</t>
  </si>
  <si>
    <t>Certificat de la instal·lació i registre a Indústria</t>
  </si>
  <si>
    <t>12.02b</t>
  </si>
  <si>
    <t>Partida</t>
  </si>
  <si>
    <t>u</t>
  </si>
  <si>
    <t>Certificat de la instal·lació de baixa tensió en edifici i registre a Indústria</t>
  </si>
  <si>
    <t>4.6</t>
  </si>
  <si>
    <t>4</t>
  </si>
  <si>
    <t>5</t>
  </si>
  <si>
    <t>Capítol</t>
  </si>
  <si>
    <t>LOCAL 5: JARDINS VIL·LA  AMELIA</t>
  </si>
  <si>
    <t>5.1</t>
  </si>
  <si>
    <t>Capítol</t>
  </si>
  <si>
    <t>Actuacions previes</t>
  </si>
  <si>
    <t>00.01</t>
  </si>
  <si>
    <t>Partida</t>
  </si>
  <si>
    <t>u</t>
  </si>
  <si>
    <t>Partida alçada de treballs previs per la identificació de circuits elèctrics</t>
  </si>
  <si>
    <t>00.02</t>
  </si>
  <si>
    <t>Partida</t>
  </si>
  <si>
    <t>u</t>
  </si>
  <si>
    <t>Partida alçada de treballs previs per la retirada de les instal·lacions d'electricitat i enllumenat obsoletes</t>
  </si>
  <si>
    <t>00.05</t>
  </si>
  <si>
    <t>Partida</t>
  </si>
  <si>
    <t>PA</t>
  </si>
  <si>
    <t>Partida alçada de de comprovació de la posta a terra i aïllmanets.</t>
  </si>
  <si>
    <t>5.1</t>
  </si>
  <si>
    <t>5.2</t>
  </si>
  <si>
    <t>Capítol</t>
  </si>
  <si>
    <t>Conjunt de mesura i quadre de distribució</t>
  </si>
  <si>
    <t>5.2.1</t>
  </si>
  <si>
    <t>Partida</t>
  </si>
  <si>
    <t>u</t>
  </si>
  <si>
    <t>Quadre General de baixa tensió</t>
  </si>
  <si>
    <t>5.2</t>
  </si>
  <si>
    <t>5.3</t>
  </si>
  <si>
    <t>Capítol</t>
  </si>
  <si>
    <t>Línies elèctriques i canalització</t>
  </si>
  <si>
    <t>PG35-DYD4</t>
  </si>
  <si>
    <t>Partida</t>
  </si>
  <si>
    <t>m</t>
  </si>
  <si>
    <t>Cable amb conductor de coure de tensió assignada inferior o igual a 450/750 V, de designació H07V-K, construcció segons norma UNE-EN 50525-2-31, unipolar, de secció 1x1,5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</si>
  <si>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</si>
  <si>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</si>
  <si>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</si>
  <si>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</si>
  <si>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</si>
  <si>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</si>
  <si>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Programador Reg</t>
  </si>
  <si>
    <t>PG35-DYD9</t>
  </si>
  <si>
    <t>Partida</t>
  </si>
  <si>
    <t>m</t>
  </si>
  <si>
    <t>Cable amb conductor de coure de tensió assignada inferior o igual a 450/750 V, de designació H07V-K, construcció segons norma UNE-EN 50525-2-31, unipolar, de secció 1x2,5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</si>
  <si>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</si>
  <si>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</si>
  <si>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</si>
  <si>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</si>
  <si>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</si>
  <si>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</si>
  <si>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endolls 2</t>
  </si>
  <si>
    <t>PG2P-6SZ6</t>
  </si>
  <si>
    <t>Partida</t>
  </si>
  <si>
    <t>m</t>
  </si>
  <si>
    <t>Tub rígid PVC,DN=20mm,impacte=2J,resist.compress.=1250N,unió endollada+munt.superf.</t>
  </si>
  <si>
    <t>Uts.</t>
  </si>
  <si>
    <t>Llargada</t>
  </si>
  <si>
    <t>Amplada</t>
  </si>
  <si>
    <t>Alçada</t>
  </si>
  <si>
    <t>Parcial</t>
  </si>
  <si>
    <t>Subtotal</t>
  </si>
  <si>
    <t>programador reg</t>
  </si>
  <si>
    <t>endolls 2</t>
  </si>
  <si>
    <t>5.3</t>
  </si>
  <si>
    <t>5.4</t>
  </si>
  <si>
    <t>Capítol</t>
  </si>
  <si>
    <t>Mecanismes</t>
  </si>
  <si>
    <t>PG6H-CUJNb</t>
  </si>
  <si>
    <t>Partida</t>
  </si>
  <si>
    <t>u</t>
  </si>
  <si>
    <t>Kit mecanismes,1 element,1 interruptor,+caixa, marc i bastidor,superficial</t>
  </si>
  <si>
    <t>02.09b</t>
  </si>
  <si>
    <t>Partida</t>
  </si>
  <si>
    <t>u</t>
  </si>
  <si>
    <t>Electrificació per a mecanisme interruptor/polsador/commut/detector, 1 línea</t>
  </si>
  <si>
    <t>5.4</t>
  </si>
  <si>
    <t>5.5</t>
  </si>
  <si>
    <t>Capítol</t>
  </si>
  <si>
    <t>Enllumenat</t>
  </si>
  <si>
    <t>PHUL-HCV1</t>
  </si>
  <si>
    <t>Partida</t>
  </si>
  <si>
    <t>u</t>
  </si>
  <si>
    <t>Substitució T8/36W/1200 p/tub led 20W,230V,L=1200mm,G13,&gt;1600lm,4000/6500K,Ra&gt;80</t>
  </si>
  <si>
    <t>PHUL-HCV0</t>
  </si>
  <si>
    <t>Partida</t>
  </si>
  <si>
    <t>u</t>
  </si>
  <si>
    <t>Substitució T8/18W/600 p/tub led 8W,230V,L=600mm,G13,&gt;800lm,4000/6500K,Ra&gt;80</t>
  </si>
  <si>
    <t>5.5</t>
  </si>
  <si>
    <t>5.6</t>
  </si>
  <si>
    <t>Capítol</t>
  </si>
  <si>
    <t>Certificat de la instal·lació i registre a Indústria</t>
  </si>
  <si>
    <t>12.02b</t>
  </si>
  <si>
    <t>Partida</t>
  </si>
  <si>
    <t>u</t>
  </si>
  <si>
    <t>Certificat de la instal·lació de baixa tensió en edifici i registre a Indústria</t>
  </si>
  <si>
    <t>5.6</t>
  </si>
  <si>
    <t>5</t>
  </si>
  <si>
    <t>6</t>
  </si>
  <si>
    <t>Capítol</t>
  </si>
  <si>
    <t>LOCAL 6: JARDINS DE TAMARITA</t>
  </si>
  <si>
    <t>6.1</t>
  </si>
  <si>
    <t>Capítol</t>
  </si>
  <si>
    <t>Actuacions previes</t>
  </si>
  <si>
    <t>00.02</t>
  </si>
  <si>
    <t>Partida</t>
  </si>
  <si>
    <t>u</t>
  </si>
  <si>
    <t>Partida alçada de treballs previs per la retirada de les instal·lacions d'electricitat i enllumenat obsoletes</t>
  </si>
  <si>
    <t>00.05</t>
  </si>
  <si>
    <t>Partida</t>
  </si>
  <si>
    <t>PA</t>
  </si>
  <si>
    <t>Partida alçada de de comprovació de la posta a terra i aïllmanets.</t>
  </si>
  <si>
    <t>6.1</t>
  </si>
  <si>
    <t>6.2</t>
  </si>
  <si>
    <t>Capítol</t>
  </si>
  <si>
    <t>Conjunt de mesura i quadre de distribució</t>
  </si>
  <si>
    <t>6.2.1</t>
  </si>
  <si>
    <t>Partida</t>
  </si>
  <si>
    <t>u</t>
  </si>
  <si>
    <t>Quadre General de baixa tensió</t>
  </si>
  <si>
    <t>6.2.2</t>
  </si>
  <si>
    <t>Partida</t>
  </si>
  <si>
    <t>u</t>
  </si>
  <si>
    <t>Subquadre de distribució planta baixa (despatx)</t>
  </si>
  <si>
    <t>6.2.3</t>
  </si>
  <si>
    <t>Partida</t>
  </si>
  <si>
    <t>u</t>
  </si>
  <si>
    <t>Subquadre de distribució planta segona</t>
  </si>
  <si>
    <t>6.2.4</t>
  </si>
  <si>
    <t>Partida</t>
  </si>
  <si>
    <t>u</t>
  </si>
  <si>
    <t>Subquadre de distribució planta segona (A/A)</t>
  </si>
  <si>
    <t>6.2</t>
  </si>
  <si>
    <t>6.3</t>
  </si>
  <si>
    <t>Capítol</t>
  </si>
  <si>
    <t>Línies elèctriques i canalització</t>
  </si>
  <si>
    <t>00.02bbb</t>
  </si>
  <si>
    <t>Partida</t>
  </si>
  <si>
    <t>u</t>
  </si>
  <si>
    <t>Petit material elèctric (tapes de caixes de connexions, corbes, etc.) per a deixar la instal·lació elèctrica existent en òptimes condicions</t>
  </si>
  <si>
    <t>6.3</t>
  </si>
  <si>
    <t>6.5</t>
  </si>
  <si>
    <t>Capítol</t>
  </si>
  <si>
    <t>Enllumenat</t>
  </si>
  <si>
    <t>PHQE-C0C8</t>
  </si>
  <si>
    <t>Partida</t>
  </si>
  <si>
    <t>u</t>
  </si>
  <si>
    <t>Projector per a exterior amb leds amb una vida útil &lt;= 50000 h, de forma rectangular, amb distribució de la llum simètrica extensiva, de 25 W de potència, flux lluminós de 3000 lm, amb equip elèctric no regulable, aïllament classe I, cos d'alumini injectat, difusor de vidre trempat i grau de protecció IP66,col.</t>
  </si>
  <si>
    <t>PH21-AZT2</t>
  </si>
  <si>
    <t>Partida</t>
  </si>
  <si>
    <t>u</t>
  </si>
  <si>
    <t>Llum decor.encast.downlight leds 25000h,circ.,14W,UGR=22,efic.llumin.=60lm/W,no regulable,classe I,alumini,IP20,encastat</t>
  </si>
  <si>
    <t>PHUL-HCV0</t>
  </si>
  <si>
    <t>Partida</t>
  </si>
  <si>
    <t>u</t>
  </si>
  <si>
    <t>Substitució T8/18W/600 p/tub led 8W,230V,L=600mm,G13,&gt;800lm,4000/6500K,Ra&gt;80</t>
  </si>
  <si>
    <t>PHUL-HCV1</t>
  </si>
  <si>
    <t>Partida</t>
  </si>
  <si>
    <t>u</t>
  </si>
  <si>
    <t>Substitució T8/36W/1200 p/tub led 20W,230V,L=1200mm,G13,&gt;1600lm,4000/6500K,Ra&gt;80</t>
  </si>
  <si>
    <t>6.5</t>
  </si>
  <si>
    <t>6.6</t>
  </si>
  <si>
    <t>Capítol</t>
  </si>
  <si>
    <t>Certificat de la instal·lació i registre a Indústria</t>
  </si>
  <si>
    <t>12.02b</t>
  </si>
  <si>
    <t>Partida</t>
  </si>
  <si>
    <t>u</t>
  </si>
  <si>
    <t>Certificat de la instal·lació de baixa tensió en edifici i registre a Indústria</t>
  </si>
  <si>
    <t>6.6</t>
  </si>
  <si>
    <t>6</t>
  </si>
  <si>
    <t>7</t>
  </si>
  <si>
    <t>Capítol</t>
  </si>
  <si>
    <t>LOCAL 7: PLAÇA FERRAN CASABLANCAS</t>
  </si>
  <si>
    <t>7.1</t>
  </si>
  <si>
    <t>Capítol</t>
  </si>
  <si>
    <t>Actuacions previes</t>
  </si>
  <si>
    <t>00.02c</t>
  </si>
  <si>
    <t>Partida</t>
  </si>
  <si>
    <t>u</t>
  </si>
  <si>
    <t>Partida alçada de treballs previs per la retirada de les instal·lacions d'electricitat i enllumenat obsoletes</t>
  </si>
  <si>
    <t>00.05</t>
  </si>
  <si>
    <t>Partida</t>
  </si>
  <si>
    <t>PA</t>
  </si>
  <si>
    <t>Partida alçada de de comprovació de la posta a terra i aïllmanets.</t>
  </si>
  <si>
    <t>7.1</t>
  </si>
  <si>
    <t>7.2</t>
  </si>
  <si>
    <t>Capítol</t>
  </si>
  <si>
    <t>Conjunt de mesura i quadre de distribució</t>
  </si>
  <si>
    <t>7.2.1</t>
  </si>
  <si>
    <t>Partida</t>
  </si>
  <si>
    <t>u</t>
  </si>
  <si>
    <t>Quadre General de baixa tensió</t>
  </si>
  <si>
    <t>7.2</t>
  </si>
  <si>
    <t>7.3</t>
  </si>
  <si>
    <t>Capítol</t>
  </si>
  <si>
    <t>Línies elèctriques i canalització</t>
  </si>
  <si>
    <t>PG35-DYD9</t>
  </si>
  <si>
    <t>Partida</t>
  </si>
  <si>
    <t>m</t>
  </si>
  <si>
    <t>Cable amb conductor de coure de tensió assignada inferior o igual a 450/750 V, de designació H07V-K, construcció segons norma UNE-EN 50525-2-31, unipolar, de secció 1x2,5 mm2, amb aïllament de PVC, classe de reacció al foc Eca segons la norma UNE-EN 50575,col.tub</t>
  </si>
  <si>
    <t>PG2P-6SZ6</t>
  </si>
  <si>
    <t>Partida</t>
  </si>
  <si>
    <t>m</t>
  </si>
  <si>
    <t>Tub rígid PVC,DN=20mm,impacte=2J,resist.compress.=1250N,unió endollada+munt.superf.</t>
  </si>
  <si>
    <t>7.3</t>
  </si>
  <si>
    <t>7.4</t>
  </si>
  <si>
    <t>Capítol</t>
  </si>
  <si>
    <t>Mecanismes</t>
  </si>
  <si>
    <t>PG6H-CUJQ</t>
  </si>
  <si>
    <t>Partida</t>
  </si>
  <si>
    <t>u</t>
  </si>
  <si>
    <t>Kit mecanismes,1 element,1 base endoll,+caixa, marc i bastidor,superfcicial tipus IP55</t>
  </si>
  <si>
    <t>PG6H-CUIP</t>
  </si>
  <si>
    <t>Partida</t>
  </si>
  <si>
    <t>u</t>
  </si>
  <si>
    <t>Kit mecanismes,2 elements,2 bases endoll,+caixa, marc i bastidor,superfcicial tipus IP55</t>
  </si>
  <si>
    <t>PG6H-CUJL</t>
  </si>
  <si>
    <t>Partida</t>
  </si>
  <si>
    <t>u</t>
  </si>
  <si>
    <t>Kit mecanismes,3 elements,3 bases endoll,+caixa, marc i bastidor,encastat, tipus superficial</t>
  </si>
  <si>
    <t>02.06b</t>
  </si>
  <si>
    <t>Partida</t>
  </si>
  <si>
    <t>u</t>
  </si>
  <si>
    <t>Electrificació de força per a kit de mecanismes de 1, 2 o 3 preses de corrent</t>
  </si>
  <si>
    <t>PG6H-CUJNb</t>
  </si>
  <si>
    <t>Partida</t>
  </si>
  <si>
    <t>u</t>
  </si>
  <si>
    <t>Kit mecanismes,1 element,1 interruptor,+caixa, marc i bastidor,superficial</t>
  </si>
  <si>
    <t>02.09b</t>
  </si>
  <si>
    <t>Partida</t>
  </si>
  <si>
    <t>u</t>
  </si>
  <si>
    <t>Electrificació per a mecanisme interruptor/polsador/commut/detector, 1 línea</t>
  </si>
  <si>
    <t>7.4</t>
  </si>
  <si>
    <t>7.5</t>
  </si>
  <si>
    <t>Capítol</t>
  </si>
  <si>
    <t>Enllumenat</t>
  </si>
  <si>
    <t>PHUL-HCV1</t>
  </si>
  <si>
    <t>Partida</t>
  </si>
  <si>
    <t>u</t>
  </si>
  <si>
    <t>Substitució T8/36W/1200 p/tub led 20W,230V,L=1200mm,G13,&gt;1600lm,4000/6500K,Ra&gt;80</t>
  </si>
  <si>
    <t>PHUL-HCV0</t>
  </si>
  <si>
    <t>Partida</t>
  </si>
  <si>
    <t>u</t>
  </si>
  <si>
    <t>Substitució T8/18W/600 p/tub led 8W,230V,L=600mm,G13,&gt;800lm,4000/6500K,Ra&gt;80</t>
  </si>
  <si>
    <t>7.5</t>
  </si>
  <si>
    <t>7.6</t>
  </si>
  <si>
    <t>Capítol</t>
  </si>
  <si>
    <t>Certificat de la instal·lació i registre a Indústria</t>
  </si>
  <si>
    <t>12.02b</t>
  </si>
  <si>
    <t>Partida</t>
  </si>
  <si>
    <t>u</t>
  </si>
  <si>
    <t>Certificat de la instal·lació de baixa tensió en edifici i registre a Indústria</t>
  </si>
  <si>
    <t>7.6</t>
  </si>
  <si>
    <t>7</t>
  </si>
  <si>
    <t>8</t>
  </si>
  <si>
    <t>Capítol</t>
  </si>
  <si>
    <t>LOCAL 8: TURÓ PARC</t>
  </si>
  <si>
    <t>8.1</t>
  </si>
  <si>
    <t>Capítol</t>
  </si>
  <si>
    <t>Actuacions previes</t>
  </si>
  <si>
    <t>00.02</t>
  </si>
  <si>
    <t>Partida</t>
  </si>
  <si>
    <t>u</t>
  </si>
  <si>
    <t>Partida alçada de treballs previs per la retirada de les instal·lacions d'electricitat i enllumenat obsoletes</t>
  </si>
  <si>
    <t>00.05</t>
  </si>
  <si>
    <t>Partida</t>
  </si>
  <si>
    <t>PA</t>
  </si>
  <si>
    <t>Partida alçada de de comprovació de la posta a terra i aïllmanets.</t>
  </si>
  <si>
    <t>8.1</t>
  </si>
  <si>
    <t>8.2</t>
  </si>
  <si>
    <t>Capítol</t>
  </si>
  <si>
    <t>Conjunt de mesura i quadre de distribució</t>
  </si>
  <si>
    <t>8.2.1</t>
  </si>
  <si>
    <t>Partida</t>
  </si>
  <si>
    <t>u</t>
  </si>
  <si>
    <t>Quadre General de baixa tensió</t>
  </si>
  <si>
    <t>PG11-DB8E</t>
  </si>
  <si>
    <t>Partida</t>
  </si>
  <si>
    <t>u</t>
  </si>
  <si>
    <t>Substitució de caixa comandament sistema reg automàtic per armari polièster 500x400x200mm,porta+finestreta,munt.superf.</t>
  </si>
  <si>
    <t>8.2</t>
  </si>
  <si>
    <t>8.3</t>
  </si>
  <si>
    <t>Capítol</t>
  </si>
  <si>
    <t>Línies elèctriques i canalització</t>
  </si>
  <si>
    <t>PG35-DYD4</t>
  </si>
  <si>
    <t>Partida</t>
  </si>
  <si>
    <t>m</t>
  </si>
  <si>
    <t>Cable amb conductor de coure de tensió assignada inferior o igual a 450/750 V, de designació H07V-K, construcció segons norma UNE-EN 50525-2-31, unipolar, de secció 1x1,5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</si>
  <si>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</si>
  <si>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</si>
  <si>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</si>
  <si>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</si>
  <si>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</si>
  <si>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</si>
  <si>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nova línia reg automàtic des de QGBT</t>
  </si>
  <si>
    <t>PG35-DYD9</t>
  </si>
  <si>
    <t>Partida</t>
  </si>
  <si>
    <t>m</t>
  </si>
  <si>
    <t>Cable amb conductor de coure de tensió assignada inferior o igual a 450/750 V, de designació H07V-K, construcció segons norma UNE-EN 50525-2-31, unipolar, de secció 1x2,5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</si>
  <si>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</si>
  <si>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</si>
  <si>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</si>
  <si>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</si>
  <si>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</si>
  <si>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</si>
  <si>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nova línia endoll VE des de QGBT</t>
  </si>
  <si>
    <t>PG2P-6SZ6</t>
  </si>
  <si>
    <t>Partida</t>
  </si>
  <si>
    <t>m</t>
  </si>
  <si>
    <t>Tub rígid PVC,DN=20mm,impacte=2J,resist.compress.=1250N,unió endollada+munt.superf.</t>
  </si>
  <si>
    <t>PG2P-6SZ7</t>
  </si>
  <si>
    <t>Partida</t>
  </si>
  <si>
    <t>m</t>
  </si>
  <si>
    <t>Tub rígid PVC,DN=25mm,impacte=2J,resist.compress.=1250N,unió endollada+munt.superf.</t>
  </si>
  <si>
    <t>8.3</t>
  </si>
  <si>
    <t>8.4</t>
  </si>
  <si>
    <t>Capítol</t>
  </si>
  <si>
    <t>Mecanismes</t>
  </si>
  <si>
    <t>PG6H-CUJL</t>
  </si>
  <si>
    <t>Partida</t>
  </si>
  <si>
    <t>u</t>
  </si>
  <si>
    <t>Kit mecanismes,3 elements,3 bases endoll,+caixa, marc i bastidor,encastat, tipus superficial</t>
  </si>
  <si>
    <t>02.06b</t>
  </si>
  <si>
    <t>Partida</t>
  </si>
  <si>
    <t>u</t>
  </si>
  <si>
    <t>Electrificació de força per a kit de mecanismes de 1, 2 o 3 preses de corrent</t>
  </si>
  <si>
    <t>8.4</t>
  </si>
  <si>
    <t>8.5</t>
  </si>
  <si>
    <t>Capítol</t>
  </si>
  <si>
    <t>Enllumenat</t>
  </si>
  <si>
    <t>PHUL-HCV1</t>
  </si>
  <si>
    <t>Partida</t>
  </si>
  <si>
    <t>u</t>
  </si>
  <si>
    <t>Substitució T8/36W/1200 p/tub led 20W,230V,L=1200mm,G13,&gt;1600lm,4000/6500K,Ra&gt;80</t>
  </si>
  <si>
    <t>PHUL-HCV0</t>
  </si>
  <si>
    <t>Partida</t>
  </si>
  <si>
    <t>u</t>
  </si>
  <si>
    <t>Substitució T8/18W/600 p/tub led 8W,230V,L=600mm,G13,&gt;800lm,4000/6500K,Ra&gt;80</t>
  </si>
  <si>
    <t>EHB5AR07</t>
  </si>
  <si>
    <t>Partida</t>
  </si>
  <si>
    <t>u</t>
  </si>
  <si>
    <t>Llum.estanca+leds 50000h,rect.,l=600mm,15W,1800lm,no regulable,classe I,policarbon.,IP66,munt.superf.</t>
  </si>
  <si>
    <t>8.5</t>
  </si>
  <si>
    <t>8.6</t>
  </si>
  <si>
    <t>Capítol</t>
  </si>
  <si>
    <t>Certificat de la instal·lació i registre a Indústria</t>
  </si>
  <si>
    <t>12.02b</t>
  </si>
  <si>
    <t>Partida</t>
  </si>
  <si>
    <t>u</t>
  </si>
  <si>
    <t>Certificat de la instal·lació de baixa tensió en edifici i registre a Indústria</t>
  </si>
  <si>
    <t>8.6</t>
  </si>
  <si>
    <t>8</t>
  </si>
  <si>
    <t>9</t>
  </si>
  <si>
    <t>Capítol</t>
  </si>
  <si>
    <t>LOCAL 9: JARDINS DE MORAGAS</t>
  </si>
  <si>
    <t>9.1</t>
  </si>
  <si>
    <t>Capítol</t>
  </si>
  <si>
    <t>Actuacions previes</t>
  </si>
  <si>
    <t>00.01</t>
  </si>
  <si>
    <t>Partida</t>
  </si>
  <si>
    <t>u</t>
  </si>
  <si>
    <t>Partida alçada de treballs previs per la identificació de circuits elèctrics</t>
  </si>
  <si>
    <t>00.02</t>
  </si>
  <si>
    <t>Partida</t>
  </si>
  <si>
    <t>u</t>
  </si>
  <si>
    <t>Partida alçada de treballs previs per la retirada de les instal·lacions d'electricitat i enllumenat obsoletes</t>
  </si>
  <si>
    <t>00.05</t>
  </si>
  <si>
    <t>Partida</t>
  </si>
  <si>
    <t>PA</t>
  </si>
  <si>
    <t>Partida alçada de de comprovació de la posta a terra i aïllmanets.</t>
  </si>
  <si>
    <t>9.1</t>
  </si>
  <si>
    <t>9.2</t>
  </si>
  <si>
    <t>Capítol</t>
  </si>
  <si>
    <t>Conjunt de mesura i quadre de distribució</t>
  </si>
  <si>
    <t>9.2.1</t>
  </si>
  <si>
    <t>Partida</t>
  </si>
  <si>
    <t>u</t>
  </si>
  <si>
    <t>Quadre General de baixa tensió</t>
  </si>
  <si>
    <t>9.2</t>
  </si>
  <si>
    <t>9.3</t>
  </si>
  <si>
    <t>Capítol</t>
  </si>
  <si>
    <t>Línies elèctriques i canalització</t>
  </si>
  <si>
    <t>00.02bbb</t>
  </si>
  <si>
    <t>Partida</t>
  </si>
  <si>
    <t>u</t>
  </si>
  <si>
    <t>Petit material elèctric (tapes de caixes de connexions, corbes, etc.) per a deixar la instal·lació elèctrica existent en òptimes condicions</t>
  </si>
  <si>
    <t>PG35-DYD4</t>
  </si>
  <si>
    <t>Partida</t>
  </si>
  <si>
    <t>m</t>
  </si>
  <si>
    <t>Cable amb conductor de coure de tensió assignada inferior o igual a 450/750 V, de designació H07V-K, construcció segons norma UNE-EN 50525-2-31, unipolar, de secció 1x1,5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</si>
  <si>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</si>
  <si>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</si>
  <si>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</si>
  <si>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</si>
  <si>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</si>
  <si>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</si>
  <si>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de caixes de derivació a interruptors nous</t>
  </si>
  <si>
    <t>PG35-DYD9</t>
  </si>
  <si>
    <t>Partida</t>
  </si>
  <si>
    <t>m</t>
  </si>
  <si>
    <t>Cable amb conductor de coure de tensió assignada inferior o igual a 450/750 V, de designació H07V-K, construcció segons norma UNE-EN 50525-2-31, unipolar, de secció 1x2,5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</si>
  <si>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</si>
  <si>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</si>
  <si>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</si>
  <si>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</si>
  <si>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</si>
  <si>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</si>
  <si>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de caixes de derivació a endolls nous</t>
  </si>
  <si>
    <t>PG2P-6SZ6</t>
  </si>
  <si>
    <t>Partida</t>
  </si>
  <si>
    <t>m</t>
  </si>
  <si>
    <t>Tub rígid PVC,DN=20mm,impacte=2J,resist.compress.=1250N,unió endollada+munt.superf.</t>
  </si>
  <si>
    <t>Uts.</t>
  </si>
  <si>
    <t>Llargada</t>
  </si>
  <si>
    <t>Amplada</t>
  </si>
  <si>
    <t>Alçada</t>
  </si>
  <si>
    <t>Parcial</t>
  </si>
  <si>
    <t>Subtotal</t>
  </si>
  <si>
    <t>linia enllumenat</t>
  </si>
  <si>
    <t>linia endolls</t>
  </si>
  <si>
    <t>PG2P-6SZ7</t>
  </si>
  <si>
    <t>Partida</t>
  </si>
  <si>
    <t>m</t>
  </si>
  <si>
    <t>Tub rígid PVC,DN=25mm,impacte=2J,resist.compress.=1250N,unió endollada+munt.superf.</t>
  </si>
  <si>
    <t>9.3</t>
  </si>
  <si>
    <t>9.4</t>
  </si>
  <si>
    <t>Capítol</t>
  </si>
  <si>
    <t>Mecanismes</t>
  </si>
  <si>
    <t>PG6H-CUJQ</t>
  </si>
  <si>
    <t>Partida</t>
  </si>
  <si>
    <t>u</t>
  </si>
  <si>
    <t>Kit mecanismes,1 element,1 base endoll,+caixa, marc i bastidor,superfcicial tipus IP55</t>
  </si>
  <si>
    <t>PG6H-CUJL</t>
  </si>
  <si>
    <t>Partida</t>
  </si>
  <si>
    <t>u</t>
  </si>
  <si>
    <t>Kit mecanismes,3 elements,3 bases endoll,+caixa, marc i bastidor,encastat, tipus superficial</t>
  </si>
  <si>
    <t>02.06b</t>
  </si>
  <si>
    <t>Partida</t>
  </si>
  <si>
    <t>u</t>
  </si>
  <si>
    <t>Electrificació de força per a kit de mecanismes de 1, 2 o 3 preses de corrent</t>
  </si>
  <si>
    <t>PG6H-CUJNb</t>
  </si>
  <si>
    <t>Partida</t>
  </si>
  <si>
    <t>u</t>
  </si>
  <si>
    <t>Kit mecanismes,1 element,1 interruptor,+caixa, marc i bastidor,superficial</t>
  </si>
  <si>
    <t>PG6H-CUJNbb</t>
  </si>
  <si>
    <t>Partida</t>
  </si>
  <si>
    <t>u</t>
  </si>
  <si>
    <t>Kit mecanismes,2 elements,2 interruptor,+caixa, marc i bastidor,superficial</t>
  </si>
  <si>
    <t>PG6H-CUJNbbb</t>
  </si>
  <si>
    <t>Partida</t>
  </si>
  <si>
    <t>u</t>
  </si>
  <si>
    <t>Kit mecanismes,3 elements,3 interruptor,+caixa, marc i bastidor,superficial</t>
  </si>
  <si>
    <t>PG6H-CUIPb</t>
  </si>
  <si>
    <t>Partida</t>
  </si>
  <si>
    <t>u</t>
  </si>
  <si>
    <t>Kit mecanismes,2 elements,1 bases endoll, 1 interruptor,+caixa, marc i bastidor,superfcicial tipus IP55</t>
  </si>
  <si>
    <t>02.09b</t>
  </si>
  <si>
    <t>Partida</t>
  </si>
  <si>
    <t>u</t>
  </si>
  <si>
    <t>Electrificació per a mecanisme interruptor/polsador/commut/detector, 1 línea</t>
  </si>
  <si>
    <t>9.4</t>
  </si>
  <si>
    <t>9.5</t>
  </si>
  <si>
    <t>Capítol</t>
  </si>
  <si>
    <t>Enllumenat</t>
  </si>
  <si>
    <t>PH21-AZT2</t>
  </si>
  <si>
    <t>Partida</t>
  </si>
  <si>
    <t>u</t>
  </si>
  <si>
    <t>Llum decor.encast.downlight leds 25000h,circ.,14W,UGR=22,efic.llumin.=60lm/W,no regulable,classe I,alumini,IP20,encastat</t>
  </si>
  <si>
    <t>PHUL-HCV1</t>
  </si>
  <si>
    <t>Partida</t>
  </si>
  <si>
    <t>u</t>
  </si>
  <si>
    <t>Substitució T8/36W/1200 p/tub led 20W,230V,L=1200mm,G13,&gt;1600lm,4000/6500K,Ra&gt;80</t>
  </si>
  <si>
    <t>PHUL-HCV0</t>
  </si>
  <si>
    <t>Partida</t>
  </si>
  <si>
    <t>u</t>
  </si>
  <si>
    <t>Substitució T8/18W/600 p/tub led 8W,230V,L=600mm,G13,&gt;800lm,4000/6500K,Ra&gt;80</t>
  </si>
  <si>
    <t>EHB5AR06</t>
  </si>
  <si>
    <t>Partida</t>
  </si>
  <si>
    <t>u</t>
  </si>
  <si>
    <t>Llum.estanca+leds 50000h,rect.,l=1200mm,30W,3600lm,no regulable,classe I,policarbon.,IP66,munt.superf.</t>
  </si>
  <si>
    <t>9.5</t>
  </si>
  <si>
    <t>9.6</t>
  </si>
  <si>
    <t>Capítol</t>
  </si>
  <si>
    <t>Certificat de la instal·lació i registre a Indústria</t>
  </si>
  <si>
    <t>12.02b</t>
  </si>
  <si>
    <t>Partida</t>
  </si>
  <si>
    <t>u</t>
  </si>
  <si>
    <t>Certificat de la instal·lació de baixa tensió en edifici i registre a Indústria</t>
  </si>
  <si>
    <t>9.6</t>
  </si>
  <si>
    <t>9</t>
  </si>
  <si>
    <t>10</t>
  </si>
  <si>
    <t>Capítol</t>
  </si>
  <si>
    <t>LOCAL 10: PUTXET</t>
  </si>
  <si>
    <t>10.1</t>
  </si>
  <si>
    <t>Capítol</t>
  </si>
  <si>
    <t>Actuacions previes</t>
  </si>
  <si>
    <t>00.01</t>
  </si>
  <si>
    <t>Partida</t>
  </si>
  <si>
    <t>u</t>
  </si>
  <si>
    <t>Partida alçada de treballs previs per la identificació de circuits elèctrics</t>
  </si>
  <si>
    <t>00.02</t>
  </si>
  <si>
    <t>Partida</t>
  </si>
  <si>
    <t>u</t>
  </si>
  <si>
    <t>Partida alçada de treballs previs per la retirada de les instal·lacions d'electricitat i enllumenat obsoletes</t>
  </si>
  <si>
    <t>00.05</t>
  </si>
  <si>
    <t>Partida</t>
  </si>
  <si>
    <t>PA</t>
  </si>
  <si>
    <t>Partida alçada de de comprovació de la posta a terra i aïllmanets.</t>
  </si>
  <si>
    <t>10.1</t>
  </si>
  <si>
    <t>10.2</t>
  </si>
  <si>
    <t>Capítol</t>
  </si>
  <si>
    <t>Conjunt de mesura i quadre de distribució</t>
  </si>
  <si>
    <t>10.2.1</t>
  </si>
  <si>
    <t>Partida</t>
  </si>
  <si>
    <t>u</t>
  </si>
  <si>
    <t>Quadre General de baixa tensió</t>
  </si>
  <si>
    <t>10.2</t>
  </si>
  <si>
    <t>10.3</t>
  </si>
  <si>
    <t>Capítol</t>
  </si>
  <si>
    <t>Línies elèctriques i canalització</t>
  </si>
  <si>
    <t>00.02bbb</t>
  </si>
  <si>
    <t>Partida</t>
  </si>
  <si>
    <t>u</t>
  </si>
  <si>
    <t>Petit material elèctric (tapes de caixes de connexions, corbes, etc.) per a deixar la instal·lació elèctrica existent en òptimes condicions</t>
  </si>
  <si>
    <t>PG35-DYD4</t>
  </si>
  <si>
    <t>Partida</t>
  </si>
  <si>
    <t>m</t>
  </si>
  <si>
    <t>Cable amb conductor de coure de tensió assignada inferior o igual a 450/750 V, de designació H07V-K, construcció segons norma UNE-EN 50525-2-31, unipolar, de secció 1x1,5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</si>
  <si>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</si>
  <si>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</si>
  <si>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</si>
  <si>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</si>
  <si>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</si>
  <si>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</si>
  <si>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de caixes de derivació a interruptors nous</t>
  </si>
  <si>
    <t>PG35-DYD9</t>
  </si>
  <si>
    <t>Partida</t>
  </si>
  <si>
    <t>m</t>
  </si>
  <si>
    <t>Cable amb conductor de coure de tensió assignada inferior o igual a 450/750 V, de designació H07V-K, construcció segons norma UNE-EN 50525-2-31, unipolar, de secció 1x2,5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</si>
  <si>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</si>
  <si>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</si>
  <si>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</si>
  <si>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</si>
  <si>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</si>
  <si>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</si>
  <si>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de caixes de derivació a endolls nous</t>
  </si>
  <si>
    <t>PG2P-6SZ6</t>
  </si>
  <si>
    <t>Partida</t>
  </si>
  <si>
    <t>m</t>
  </si>
  <si>
    <t>Tub rígid PVC,DN=20mm,impacte=2J,resist.compress.=1250N,unió endollada+munt.superf.</t>
  </si>
  <si>
    <t>Uts.</t>
  </si>
  <si>
    <t>Llargada</t>
  </si>
  <si>
    <t>Amplada</t>
  </si>
  <si>
    <t>Alçada</t>
  </si>
  <si>
    <t>Parcial</t>
  </si>
  <si>
    <t>Subtotal</t>
  </si>
  <si>
    <t>linia enllumenat</t>
  </si>
  <si>
    <t>linia endolls</t>
  </si>
  <si>
    <t>10.3</t>
  </si>
  <si>
    <t>10.4</t>
  </si>
  <si>
    <t>Capítol</t>
  </si>
  <si>
    <t>Mecanismes</t>
  </si>
  <si>
    <t>PG6H-CUJL</t>
  </si>
  <si>
    <t>Partida</t>
  </si>
  <si>
    <t>u</t>
  </si>
  <si>
    <t>Kit mecanismes,3 elements,3 bases endoll,+caixa, marc i bastidor,encastat, tipus superficial</t>
  </si>
  <si>
    <t>02.06b</t>
  </si>
  <si>
    <t>Partida</t>
  </si>
  <si>
    <t>u</t>
  </si>
  <si>
    <t>Electrificació de força per a kit de mecanismes de 1, 2 o 3 preses de corrent</t>
  </si>
  <si>
    <t>PG6H-CUJNb</t>
  </si>
  <si>
    <t>Partida</t>
  </si>
  <si>
    <t>u</t>
  </si>
  <si>
    <t>Kit mecanismes,1 element,1 interruptor,+caixa, marc i bastidor,superficial</t>
  </si>
  <si>
    <t>PG6H-CUJNbb</t>
  </si>
  <si>
    <t>Partida</t>
  </si>
  <si>
    <t>u</t>
  </si>
  <si>
    <t>Kit mecanismes,2 elements,2 interruptor,+caixa, marc i bastidor,superficial</t>
  </si>
  <si>
    <t>02.09b</t>
  </si>
  <si>
    <t>Partida</t>
  </si>
  <si>
    <t>u</t>
  </si>
  <si>
    <t>Electrificació per a mecanisme interruptor/polsador/commut/detector, 1 línea</t>
  </si>
  <si>
    <t>10.4</t>
  </si>
  <si>
    <t>10.5</t>
  </si>
  <si>
    <t>Capítol</t>
  </si>
  <si>
    <t>Enllumenat</t>
  </si>
  <si>
    <t>PHUL-HCV1</t>
  </si>
  <si>
    <t>Partida</t>
  </si>
  <si>
    <t>u</t>
  </si>
  <si>
    <t>Substitució T8/36W/1200 p/tub led 20W,230V,L=1200mm,G13,&gt;1600lm,4000/6500K,Ra&gt;80</t>
  </si>
  <si>
    <t>Uts.</t>
  </si>
  <si>
    <t>Llargada</t>
  </si>
  <si>
    <t>Amplada</t>
  </si>
  <si>
    <t>Alçada</t>
  </si>
  <si>
    <t>Parcial</t>
  </si>
  <si>
    <t>Subtotal</t>
  </si>
  <si>
    <t>local</t>
  </si>
  <si>
    <t>magatzem</t>
  </si>
  <si>
    <t>PHUL-HCV0</t>
  </si>
  <si>
    <t>Partida</t>
  </si>
  <si>
    <t>u</t>
  </si>
  <si>
    <t>Substitució T8/18W/600 p/tub led 8W,230V,L=600mm,G13,&gt;800lm,4000/6500K,Ra&gt;80</t>
  </si>
  <si>
    <t>EHB5AR06</t>
  </si>
  <si>
    <t>Partida</t>
  </si>
  <si>
    <t>u</t>
  </si>
  <si>
    <t>Llum.estanca+leds 50000h,rect.,l=1200mm,30W,3600lm,no regulable,classe I,policarbon.,IP66,munt.superf.</t>
  </si>
  <si>
    <t>10.5</t>
  </si>
  <si>
    <t>10.6</t>
  </si>
  <si>
    <t>Capítol</t>
  </si>
  <si>
    <t>Certificat de la instal·lació i registre a Indústria</t>
  </si>
  <si>
    <t>12.02b</t>
  </si>
  <si>
    <t>Partida</t>
  </si>
  <si>
    <t>u</t>
  </si>
  <si>
    <t>Certificat de la instal·lació de baixa tensió en edifici i registre a Indústria</t>
  </si>
  <si>
    <t>10.6</t>
  </si>
  <si>
    <t>10</t>
  </si>
  <si>
    <t>11</t>
  </si>
  <si>
    <t>Capítol</t>
  </si>
  <si>
    <t>LOCAL 11: CAN BARÓ</t>
  </si>
  <si>
    <t>11.1</t>
  </si>
  <si>
    <t>Capítol</t>
  </si>
  <si>
    <t>Actuacions previes</t>
  </si>
  <si>
    <t>00.01</t>
  </si>
  <si>
    <t>Partida</t>
  </si>
  <si>
    <t>u</t>
  </si>
  <si>
    <t>Partida alçada de treballs previs per la identificació de circuits elèctrics</t>
  </si>
  <si>
    <t>00.02</t>
  </si>
  <si>
    <t>Partida</t>
  </si>
  <si>
    <t>u</t>
  </si>
  <si>
    <t>Partida alçada de treballs previs per la retirada de les instal·lacions d'electricitat i enllumenat obsoletes</t>
  </si>
  <si>
    <t>00.05</t>
  </si>
  <si>
    <t>Partida</t>
  </si>
  <si>
    <t>PA</t>
  </si>
  <si>
    <t>Partida alçada de de comprovació de la posta a terra i aïllmanets.</t>
  </si>
  <si>
    <t>11.1</t>
  </si>
  <si>
    <t>11.2</t>
  </si>
  <si>
    <t>Capítol</t>
  </si>
  <si>
    <t>Conjunt de mesura i quadre de distribució</t>
  </si>
  <si>
    <t>11.2.1</t>
  </si>
  <si>
    <t>Partida</t>
  </si>
  <si>
    <t>u</t>
  </si>
  <si>
    <t>Quadre General de baixa tensió</t>
  </si>
  <si>
    <t>11.2.2</t>
  </si>
  <si>
    <t>Partida</t>
  </si>
  <si>
    <t>u</t>
  </si>
  <si>
    <t>Subquadre magatzem</t>
  </si>
  <si>
    <t>11.2.3</t>
  </si>
  <si>
    <t>Partida</t>
  </si>
  <si>
    <t>u</t>
  </si>
  <si>
    <t>Subquadre vestidor</t>
  </si>
  <si>
    <t>11.2.4</t>
  </si>
  <si>
    <t>Partida</t>
  </si>
  <si>
    <t>u</t>
  </si>
  <si>
    <t>Subquadre office</t>
  </si>
  <si>
    <t>11.2.5</t>
  </si>
  <si>
    <t>Partida</t>
  </si>
  <si>
    <t>u</t>
  </si>
  <si>
    <t>Subquadre parking</t>
  </si>
  <si>
    <t>11.2</t>
  </si>
  <si>
    <t>11.3</t>
  </si>
  <si>
    <t>Capítol</t>
  </si>
  <si>
    <t>Línies elèctriques i canalització</t>
  </si>
  <si>
    <t>PG33-E405b</t>
  </si>
  <si>
    <t>Partida</t>
  </si>
  <si>
    <t>m</t>
  </si>
  <si>
    <t>Nova derivació individual, de comptador a nou quadre general de BT, amb cable amb conductor de coure de tensió assignada0,6/1 kV, de designació RZ, construcció segons norma UNE 21030-2, tetrapolar, de secció 4x10 mm2, amb coberta del cable de poliolefines, classe de reacció al foc segons la norma UNE-EN 50575 amb baixa emissió fums,col. aeri</t>
  </si>
  <si>
    <t>Uts.</t>
  </si>
  <si>
    <t>Llargada</t>
  </si>
  <si>
    <t>Amplada</t>
  </si>
  <si>
    <t>Alçada</t>
  </si>
  <si>
    <t>Parcial</t>
  </si>
  <si>
    <t>Subtotal</t>
  </si>
  <si>
    <t>derivació individual, de comptador a nou QGBT</t>
  </si>
  <si>
    <t>00.04</t>
  </si>
  <si>
    <t>Partida</t>
  </si>
  <si>
    <t>h</t>
  </si>
  <si>
    <t>Camió cistella h=10 a 19m</t>
  </si>
  <si>
    <t>PG33-E401</t>
  </si>
  <si>
    <t>Partida</t>
  </si>
  <si>
    <t>m</t>
  </si>
  <si>
    <t>Cable amb conductor de coure de tensió assignada0,6/1 kV, de designació RZ, construcció segons norma UNE 21030-2, bipolar, de secció 2x10 mm2, amb coberta del cable de poliolefines, classe de reacció al foc segons la norma UNE-EN 50575 amb baixa emissió fums,col. aeri</t>
  </si>
  <si>
    <t>Uts.</t>
  </si>
  <si>
    <t>Llargada</t>
  </si>
  <si>
    <t>Amplada</t>
  </si>
  <si>
    <t>Alçada</t>
  </si>
  <si>
    <t>Parcial</t>
  </si>
  <si>
    <t>Subtotal</t>
  </si>
  <si>
    <t>de QGBT a sq. vestidors</t>
  </si>
  <si>
    <t>de QGBT a sq. office</t>
  </si>
  <si>
    <t>PG33-E400</t>
  </si>
  <si>
    <t>Partida</t>
  </si>
  <si>
    <t>m</t>
  </si>
  <si>
    <t>Cable amb conductor de coure de tensió assignada0,6/1 kV, de designació RZ, construcció segons norma UNE 21030-2, bipolar, de secció 2x6 mm2, amb coberta del cable de poliolefines, classe de reacció al foc segons la norma UNE-EN 50575 amb baixa emissió fums,col. aeri</t>
  </si>
  <si>
    <t>Uts.</t>
  </si>
  <si>
    <t>Llargada</t>
  </si>
  <si>
    <t>Amplada</t>
  </si>
  <si>
    <t>Alçada</t>
  </si>
  <si>
    <t>Parcial</t>
  </si>
  <si>
    <t>Subtotal</t>
  </si>
  <si>
    <t>de QGBT a sq. magatzem</t>
  </si>
  <si>
    <t>00.02bbbb</t>
  </si>
  <si>
    <t>Partida</t>
  </si>
  <si>
    <t>PA</t>
  </si>
  <si>
    <t>Verificació de l'estat de la D.I. del Sq. Parking i connexionat d'aquesta a nou QGBT</t>
  </si>
  <si>
    <t>00.02bbb</t>
  </si>
  <si>
    <t>Partida</t>
  </si>
  <si>
    <t>u</t>
  </si>
  <si>
    <t>Petit material elèctric (tapes de caixes de connexions, corbes, etc.) per a deixar la instal·lació elèctrica existent en òptimes condicions</t>
  </si>
  <si>
    <t>11.3</t>
  </si>
  <si>
    <t>11.4</t>
  </si>
  <si>
    <t>Capítol</t>
  </si>
  <si>
    <t>Mecanismes</t>
  </si>
  <si>
    <t>PG6H-CUJL</t>
  </si>
  <si>
    <t>Partida</t>
  </si>
  <si>
    <t>u</t>
  </si>
  <si>
    <t>Kit mecanismes,3 elements,3 bases endoll,+caixa, marc i bastidor,encastat, tipus superficial</t>
  </si>
  <si>
    <t>Uts.</t>
  </si>
  <si>
    <t>Llargada</t>
  </si>
  <si>
    <t>Amplada</t>
  </si>
  <si>
    <t>Alçada</t>
  </si>
  <si>
    <t>Parcial</t>
  </si>
  <si>
    <t>Subtotal</t>
  </si>
  <si>
    <t>endolls office</t>
  </si>
  <si>
    <t>02.06b</t>
  </si>
  <si>
    <t>Partida</t>
  </si>
  <si>
    <t>u</t>
  </si>
  <si>
    <t>Electrificació de força per a kit de mecanismes de 1, 2 o 3 preses de corrent</t>
  </si>
  <si>
    <t>11.4</t>
  </si>
  <si>
    <t>11.5</t>
  </si>
  <si>
    <t>Capítol</t>
  </si>
  <si>
    <t>Enllumenat</t>
  </si>
  <si>
    <t>PHUL-HCV0</t>
  </si>
  <si>
    <t>Partida</t>
  </si>
  <si>
    <t>u</t>
  </si>
  <si>
    <t>Substitució T8/18W/600 p/tub led 8W,230V,L=600mm,G13,&gt;800lm,4000/6500K,Ra&gt;80</t>
  </si>
  <si>
    <t>Uts.</t>
  </si>
  <si>
    <t>Llargada</t>
  </si>
  <si>
    <t>Amplada</t>
  </si>
  <si>
    <t>Alçada</t>
  </si>
  <si>
    <t>Parcial</t>
  </si>
  <si>
    <t>Subtotal</t>
  </si>
  <si>
    <t>parking</t>
  </si>
  <si>
    <t>EHB5AR06</t>
  </si>
  <si>
    <t>Partida</t>
  </si>
  <si>
    <t>u</t>
  </si>
  <si>
    <t>Llum.estanca+leds 50000h,rect.,l=1200mm,30W,3600lm,no regulable,classe I,policarbon.,IP66,munt.superf.</t>
  </si>
  <si>
    <t>Uts.</t>
  </si>
  <si>
    <t>Llargada</t>
  </si>
  <si>
    <t>Amplada</t>
  </si>
  <si>
    <t>Alçada</t>
  </si>
  <si>
    <t>Parcial</t>
  </si>
  <si>
    <t>Subtotal</t>
  </si>
  <si>
    <t>office</t>
  </si>
  <si>
    <t>vestidor 2</t>
  </si>
  <si>
    <t>magatzem</t>
  </si>
  <si>
    <t>vestidor 1</t>
  </si>
  <si>
    <t>EHB5AR07</t>
  </si>
  <si>
    <t>Partida</t>
  </si>
  <si>
    <t>u</t>
  </si>
  <si>
    <t>Llum.estanca+leds 50000h,rect.,l=600mm,15W,1800lm,no regulable,classe I,policarbon.,IP66,munt.superf.</t>
  </si>
  <si>
    <t>Uts.</t>
  </si>
  <si>
    <t>Llargada</t>
  </si>
  <si>
    <t>Amplada</t>
  </si>
  <si>
    <t>Alçada</t>
  </si>
  <si>
    <t>Parcial</t>
  </si>
  <si>
    <t>Subtotal</t>
  </si>
  <si>
    <t>vestidor 1</t>
  </si>
  <si>
    <t>11.5</t>
  </si>
  <si>
    <t>11.6</t>
  </si>
  <si>
    <t>Capítol</t>
  </si>
  <si>
    <t>Certificat de la instal·lació i registre a Indústria</t>
  </si>
  <si>
    <t>12.02b</t>
  </si>
  <si>
    <t>Partida</t>
  </si>
  <si>
    <t>u</t>
  </si>
  <si>
    <t>Certificat de la instal·lació de baixa tensió en edifici i registre a Indústria</t>
  </si>
  <si>
    <t>11.6</t>
  </si>
  <si>
    <t>11</t>
  </si>
  <si>
    <t>12</t>
  </si>
  <si>
    <t>Capítol</t>
  </si>
  <si>
    <t>LOCAL 12: RONDA GUINEUETA</t>
  </si>
  <si>
    <t>12.1</t>
  </si>
  <si>
    <t>Capítol</t>
  </si>
  <si>
    <t>Actuacions previes</t>
  </si>
  <si>
    <t>00.02c</t>
  </si>
  <si>
    <t>Partida</t>
  </si>
  <si>
    <t>u</t>
  </si>
  <si>
    <t>Partida alçada de treballs previs per la retirada de les instal·lacions d'electricitat i enllumenat obsoletes</t>
  </si>
  <si>
    <t>00.05</t>
  </si>
  <si>
    <t>Partida</t>
  </si>
  <si>
    <t>PA</t>
  </si>
  <si>
    <t>Partida alçada de de comprovació de la posta a terra i aïllmanets.</t>
  </si>
  <si>
    <t>12.1</t>
  </si>
  <si>
    <t>12.2</t>
  </si>
  <si>
    <t>Capítol</t>
  </si>
  <si>
    <t>Conjunt de mesura i quadre de distribució</t>
  </si>
  <si>
    <t>12.2.1</t>
  </si>
  <si>
    <t>Partida</t>
  </si>
  <si>
    <t>u</t>
  </si>
  <si>
    <t>Quadre General de baixa tensió</t>
  </si>
  <si>
    <t>12.2</t>
  </si>
  <si>
    <t>12.3</t>
  </si>
  <si>
    <t>Capítol</t>
  </si>
  <si>
    <t>Línies elèctriques i canalització</t>
  </si>
  <si>
    <t>PG35-DYD9</t>
  </si>
  <si>
    <t>Partida</t>
  </si>
  <si>
    <t>m</t>
  </si>
  <si>
    <t>Cable amb conductor de coure de tensió assignada inferior o igual a 450/750 V, de designació H07V-K, construcció segons norma UNE-EN 50525-2-31, unipolar, de secció 1x2,5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</si>
  <si>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</si>
  <si>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</si>
  <si>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</si>
  <si>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</si>
  <si>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</si>
  <si>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</si>
  <si>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de caixa de derivació a nous endolls ordinador</t>
  </si>
  <si>
    <t>PG2P-6SZ6</t>
  </si>
  <si>
    <t>Partida</t>
  </si>
  <si>
    <t>m</t>
  </si>
  <si>
    <t>Tub rígid PVC,DN=20mm,impacte=2J,resist.compress.=1250N,unió endollada+munt.superf.</t>
  </si>
  <si>
    <t>12.3</t>
  </si>
  <si>
    <t>12.4</t>
  </si>
  <si>
    <t>Capítol</t>
  </si>
  <si>
    <t>Mecanismes</t>
  </si>
  <si>
    <t>PG6H-CUJL</t>
  </si>
  <si>
    <t>Partida</t>
  </si>
  <si>
    <t>u</t>
  </si>
  <si>
    <t>Kit mecanismes,3 elements,3 bases endoll,+caixa, marc i bastidor,encastat, tipus superficial</t>
  </si>
  <si>
    <t>Uts.</t>
  </si>
  <si>
    <t>Llargada</t>
  </si>
  <si>
    <t>Amplada</t>
  </si>
  <si>
    <t>Alçada</t>
  </si>
  <si>
    <t>Parcial</t>
  </si>
  <si>
    <t>Subtotal</t>
  </si>
  <si>
    <t>endolls ordinador</t>
  </si>
  <si>
    <t>02.06b</t>
  </si>
  <si>
    <t>Partida</t>
  </si>
  <si>
    <t>u</t>
  </si>
  <si>
    <t>Electrificació de força per a kit de mecanismes de 1, 2 o 3 preses de corrent</t>
  </si>
  <si>
    <t>12.4</t>
  </si>
  <si>
    <t>12.5</t>
  </si>
  <si>
    <t>Capítol</t>
  </si>
  <si>
    <t>Enllumenat</t>
  </si>
  <si>
    <t>EH2LLRAD</t>
  </si>
  <si>
    <t>Partida</t>
  </si>
  <si>
    <t>u</t>
  </si>
  <si>
    <t>Downlight 13,2W IP54 dutxes</t>
  </si>
  <si>
    <t>EH2LAR02</t>
  </si>
  <si>
    <t>Partida</t>
  </si>
  <si>
    <t>u</t>
  </si>
  <si>
    <t>Downlight 16W IP20</t>
  </si>
  <si>
    <t>PHUL-HCV1</t>
  </si>
  <si>
    <t>Partida</t>
  </si>
  <si>
    <t>u</t>
  </si>
  <si>
    <t>Substitució T8/36W/1200 p/tub led 20W,230V,L=1200mm,G13,&gt;1600lm,4000/6500K,Ra&gt;80</t>
  </si>
  <si>
    <t>12.5</t>
  </si>
  <si>
    <t>12.6</t>
  </si>
  <si>
    <t>Capítol</t>
  </si>
  <si>
    <t>Certificat de la instal·lació i registre a Indústria</t>
  </si>
  <si>
    <t>12.02b</t>
  </si>
  <si>
    <t>Partida</t>
  </si>
  <si>
    <t>u</t>
  </si>
  <si>
    <t>Certificat de la instal·lació de baixa tensió en edifici i registre a Indústria</t>
  </si>
  <si>
    <t>12.6</t>
  </si>
  <si>
    <t>12</t>
  </si>
  <si>
    <t>13</t>
  </si>
  <si>
    <t>Capítol</t>
  </si>
  <si>
    <t>LOCAL 13: COTXERES D'HORTA</t>
  </si>
  <si>
    <t>13.1</t>
  </si>
  <si>
    <t>Capítol</t>
  </si>
  <si>
    <t>Actuacions previes</t>
  </si>
  <si>
    <t>00.02</t>
  </si>
  <si>
    <t>Partida</t>
  </si>
  <si>
    <t>u</t>
  </si>
  <si>
    <t>Partida alçada de treballs previs per la retirada de les instal·lacions d'electricitat i enllumenat obsoletes</t>
  </si>
  <si>
    <t>00.05</t>
  </si>
  <si>
    <t>Partida</t>
  </si>
  <si>
    <t>PA</t>
  </si>
  <si>
    <t>Partida alçada de de comprovació de la posta a terra i aïllmanets.</t>
  </si>
  <si>
    <t>13.1</t>
  </si>
  <si>
    <t>13.2</t>
  </si>
  <si>
    <t>Capítol</t>
  </si>
  <si>
    <t>Conjunt de mesura i quadre de distribució</t>
  </si>
  <si>
    <t>13.2.1</t>
  </si>
  <si>
    <t>Partida</t>
  </si>
  <si>
    <t>u</t>
  </si>
  <si>
    <t>Substitució dels elements trencats de l'armari i caixa de la CGPM</t>
  </si>
  <si>
    <t>13.2.2</t>
  </si>
  <si>
    <t>Partida</t>
  </si>
  <si>
    <t>u</t>
  </si>
  <si>
    <t>Quadre General de baixa tensió</t>
  </si>
  <si>
    <t>13.2</t>
  </si>
  <si>
    <t>13.4</t>
  </si>
  <si>
    <t>Capítol</t>
  </si>
  <si>
    <t>Mecanismes</t>
  </si>
  <si>
    <t>PG6H-CUJQ</t>
  </si>
  <si>
    <t>Partida</t>
  </si>
  <si>
    <t>u</t>
  </si>
  <si>
    <t>Kit mecanismes,1 element,1 base endoll,+caixa, marc i bastidor,superfcicial tipus IP55</t>
  </si>
  <si>
    <t>Uts.</t>
  </si>
  <si>
    <t>Llargada</t>
  </si>
  <si>
    <t>Amplada</t>
  </si>
  <si>
    <t>Alçada</t>
  </si>
  <si>
    <t>Parcial</t>
  </si>
  <si>
    <t>Subtotal</t>
  </si>
  <si>
    <t>endoll cuina</t>
  </si>
  <si>
    <t>PG6H-CUIP</t>
  </si>
  <si>
    <t>Partida</t>
  </si>
  <si>
    <t>u</t>
  </si>
  <si>
    <t>Kit mecanismes,2 elements,2 bases endoll,+caixa, marc i bastidor,superfcicial tipus IP55</t>
  </si>
  <si>
    <t>Uts.</t>
  </si>
  <si>
    <t>Llargada</t>
  </si>
  <si>
    <t>Amplada</t>
  </si>
  <si>
    <t>Alçada</t>
  </si>
  <si>
    <t>Parcial</t>
  </si>
  <si>
    <t>Subtotal</t>
  </si>
  <si>
    <t>substitució d'endolls superficials a zona magatzem</t>
  </si>
  <si>
    <t>02.06b</t>
  </si>
  <si>
    <t>Partida</t>
  </si>
  <si>
    <t>u</t>
  </si>
  <si>
    <t>Electrificació de força per a kit de mecanismes de 1, 2 o 3 preses de corrent</t>
  </si>
  <si>
    <t>PG6H-CUJNbb</t>
  </si>
  <si>
    <t>Partida</t>
  </si>
  <si>
    <t>u</t>
  </si>
  <si>
    <t>Kit mecanismes,2 elements,2 interruptor,+caixa, marc i bastidor,superficial</t>
  </si>
  <si>
    <t>Uts.</t>
  </si>
  <si>
    <t>Llargada</t>
  </si>
  <si>
    <t>Amplada</t>
  </si>
  <si>
    <t>Alçada</t>
  </si>
  <si>
    <t>Parcial</t>
  </si>
  <si>
    <t>Subtotal</t>
  </si>
  <si>
    <t>substitució d'interruptors exteriors</t>
  </si>
  <si>
    <t>PG6H-CUJNbbb</t>
  </si>
  <si>
    <t>Partida</t>
  </si>
  <si>
    <t>u</t>
  </si>
  <si>
    <t>Kit mecanismes,3 elements,3 interruptor,+caixa, marc i bastidor,superficial</t>
  </si>
  <si>
    <t>Uts.</t>
  </si>
  <si>
    <t>Llargada</t>
  </si>
  <si>
    <t>Amplada</t>
  </si>
  <si>
    <t>Alçada</t>
  </si>
  <si>
    <t>Parcial</t>
  </si>
  <si>
    <t>Subtotal</t>
  </si>
  <si>
    <t>substitució d'interruptors exteriors</t>
  </si>
  <si>
    <t>02.09b</t>
  </si>
  <si>
    <t>Partida</t>
  </si>
  <si>
    <t>u</t>
  </si>
  <si>
    <t>Electrificació per a mecanisme interruptor/polsador/commut/detector, 1 línea</t>
  </si>
  <si>
    <t>13.4</t>
  </si>
  <si>
    <t>13.5</t>
  </si>
  <si>
    <t>Capítol</t>
  </si>
  <si>
    <t>Enllumenat</t>
  </si>
  <si>
    <t>PHUL-HCV1</t>
  </si>
  <si>
    <t>Partida</t>
  </si>
  <si>
    <t>u</t>
  </si>
  <si>
    <t>Substitució T8/36W/1200 p/tub led 20W,230V,L=1200mm,G13,&gt;1600lm,4000/6500K,Ra&gt;80</t>
  </si>
  <si>
    <t>13.5</t>
  </si>
  <si>
    <t>13.6</t>
  </si>
  <si>
    <t>Capítol</t>
  </si>
  <si>
    <t>Certificat de la instal·lació i registre a Indústria</t>
  </si>
  <si>
    <t>12.02b</t>
  </si>
  <si>
    <t>Partida</t>
  </si>
  <si>
    <t>u</t>
  </si>
  <si>
    <t>Certificat de la instal·lació de baixa tensió en edifici i registre a Indústria</t>
  </si>
  <si>
    <t>13.6</t>
  </si>
  <si>
    <t>13</t>
  </si>
  <si>
    <t>15</t>
  </si>
  <si>
    <t>Capítol</t>
  </si>
  <si>
    <t>LOCAL 15: VENTURA RODRÍGUEZ</t>
  </si>
  <si>
    <t>15.1</t>
  </si>
  <si>
    <t>Capítol</t>
  </si>
  <si>
    <t>Actuacions previes</t>
  </si>
  <si>
    <t>00.01c</t>
  </si>
  <si>
    <t>Partida</t>
  </si>
  <si>
    <t>u</t>
  </si>
  <si>
    <t>Partida alçada de treballs previs per la identificació de circuits elèctrics</t>
  </si>
  <si>
    <t>00.02</t>
  </si>
  <si>
    <t>Partida</t>
  </si>
  <si>
    <t>u</t>
  </si>
  <si>
    <t>Partida alçada de treballs previs per la retirada de les instal·lacions d'electricitat i enllumenat obsoletes</t>
  </si>
  <si>
    <t>00.05</t>
  </si>
  <si>
    <t>Partida</t>
  </si>
  <si>
    <t>PA</t>
  </si>
  <si>
    <t>Partida alçada de de comprovació de la posta a terra i aïllmanets.</t>
  </si>
  <si>
    <t>15.1</t>
  </si>
  <si>
    <t>15.2</t>
  </si>
  <si>
    <t>Capítol</t>
  </si>
  <si>
    <t>Conjunt de mesura i quadre de distribució</t>
  </si>
  <si>
    <t>15.2.1</t>
  </si>
  <si>
    <t>Partida</t>
  </si>
  <si>
    <t>u</t>
  </si>
  <si>
    <t>Quadre General de baixa tensió</t>
  </si>
  <si>
    <t>15.2</t>
  </si>
  <si>
    <t>15.3</t>
  </si>
  <si>
    <t>Capítol</t>
  </si>
  <si>
    <t>Línies elèctriques i canalització</t>
  </si>
  <si>
    <t>PG35-DYD4</t>
  </si>
  <si>
    <t>Partida</t>
  </si>
  <si>
    <t>m</t>
  </si>
  <si>
    <t>Cable amb conductor de coure de tensió assignada inferior o igual a 450/750 V, de designació H07V-K, construcció segons norma UNE-EN 50525-2-31, unipolar, de secció 1x1,5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</si>
  <si>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</si>
  <si>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</si>
  <si>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</si>
  <si>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</si>
  <si>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</si>
  <si>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</si>
  <si>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nova linia persiana</t>
  </si>
  <si>
    <t>PG35-DYD9</t>
  </si>
  <si>
    <t>Partida</t>
  </si>
  <si>
    <t>m</t>
  </si>
  <si>
    <t>Cable amb conductor de coure de tensió assignada inferior o igual a 450/750 V, de designació H07V-K, construcció segons norma UNE-EN 50525-2-31, unipolar, de secció 1x2,5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</si>
  <si>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</si>
  <si>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</si>
  <si>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</si>
  <si>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</si>
  <si>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</si>
  <si>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</si>
  <si>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nova línia termo 2</t>
  </si>
  <si>
    <t>nova línia endolls</t>
  </si>
  <si>
    <t>PG2P-6SZ6</t>
  </si>
  <si>
    <t>Partida</t>
  </si>
  <si>
    <t>m</t>
  </si>
  <si>
    <t>Tub rígid PVC,DN=20mm,impacte=2J,resist.compress.=1250N,unió endollada+munt.superf.</t>
  </si>
  <si>
    <t>Uts.</t>
  </si>
  <si>
    <t>Llargada</t>
  </si>
  <si>
    <t>Amplada</t>
  </si>
  <si>
    <t>Alçada</t>
  </si>
  <si>
    <t>Parcial</t>
  </si>
  <si>
    <t>Subtotal</t>
  </si>
  <si>
    <t>nova línia termo 2</t>
  </si>
  <si>
    <t>nova línia persiana</t>
  </si>
  <si>
    <t>canalització per linia reg automàtic</t>
  </si>
  <si>
    <t>nova linia endolls</t>
  </si>
  <si>
    <t>15.3</t>
  </si>
  <si>
    <t>15.4</t>
  </si>
  <si>
    <t>Capítol</t>
  </si>
  <si>
    <t>Mecanismes</t>
  </si>
  <si>
    <t>PG6H-CUJQ</t>
  </si>
  <si>
    <t>Partida</t>
  </si>
  <si>
    <t>u</t>
  </si>
  <si>
    <t>Kit mecanismes,1 element,1 base endoll,+caixa, marc i bastidor,superfcicial tipus IP55</t>
  </si>
  <si>
    <t>Uts.</t>
  </si>
  <si>
    <t>Llargada</t>
  </si>
  <si>
    <t>Amplada</t>
  </si>
  <si>
    <t>Alçada</t>
  </si>
  <si>
    <t>Parcial</t>
  </si>
  <si>
    <t>Subtotal</t>
  </si>
  <si>
    <t>substitució endolls existents</t>
  </si>
  <si>
    <t>endoll termo 2</t>
  </si>
  <si>
    <t>PG6H-CUIP</t>
  </si>
  <si>
    <t>Partida</t>
  </si>
  <si>
    <t>u</t>
  </si>
  <si>
    <t>Kit mecanismes,2 elements,2 bases endoll,+caixa, marc i bastidor,superfcicial tipus IP55</t>
  </si>
  <si>
    <t>Uts.</t>
  </si>
  <si>
    <t>Llargada</t>
  </si>
  <si>
    <t>Amplada</t>
  </si>
  <si>
    <t>Alçada</t>
  </si>
  <si>
    <t>Parcial</t>
  </si>
  <si>
    <t>Subtotal</t>
  </si>
  <si>
    <t>office</t>
  </si>
  <si>
    <t>PG6H-CUJL</t>
  </si>
  <si>
    <t>Partida</t>
  </si>
  <si>
    <t>u</t>
  </si>
  <si>
    <t>Kit mecanismes,3 elements,3 bases endoll,+caixa, marc i bastidor,encastat, tipus superficial</t>
  </si>
  <si>
    <t>Uts.</t>
  </si>
  <si>
    <t>Llargada</t>
  </si>
  <si>
    <t>Amplada</t>
  </si>
  <si>
    <t>Alçada</t>
  </si>
  <si>
    <t>Parcial</t>
  </si>
  <si>
    <t>Subtotal</t>
  </si>
  <si>
    <t>fons magatzem</t>
  </si>
  <si>
    <t>entrada magatzem</t>
  </si>
  <si>
    <t>oficina</t>
  </si>
  <si>
    <t>cuina</t>
  </si>
  <si>
    <t>despatx</t>
  </si>
  <si>
    <t>02.06b</t>
  </si>
  <si>
    <t>Partida</t>
  </si>
  <si>
    <t>u</t>
  </si>
  <si>
    <t>Electrificació de força per a kit de mecanismes de 1, 2 o 3 preses de corrent</t>
  </si>
  <si>
    <t>15.4</t>
  </si>
  <si>
    <t>15.5</t>
  </si>
  <si>
    <t>Capítol</t>
  </si>
  <si>
    <t>Enllumenat</t>
  </si>
  <si>
    <t>EH2LAR01b</t>
  </si>
  <si>
    <t>Partida</t>
  </si>
  <si>
    <t>u</t>
  </si>
  <si>
    <t>Aplic superficial,18W</t>
  </si>
  <si>
    <t>PHUL-HCV1</t>
  </si>
  <si>
    <t>Partida</t>
  </si>
  <si>
    <t>u</t>
  </si>
  <si>
    <t>Substitució T8/36W/1200 p/tub led 20W,230V,L=1200mm,G13,&gt;1600lm,4000/6500K,Ra&gt;80</t>
  </si>
  <si>
    <t>15.5</t>
  </si>
  <si>
    <t>15.6</t>
  </si>
  <si>
    <t>Capítol</t>
  </si>
  <si>
    <t>Certificat de la instal·lació i registre a Indústria</t>
  </si>
  <si>
    <t>12.02b</t>
  </si>
  <si>
    <t>Partida</t>
  </si>
  <si>
    <t>u</t>
  </si>
  <si>
    <t>Certificat de la instal·lació de baixa tensió en edifici i registre a Indústria</t>
  </si>
  <si>
    <t>15.6</t>
  </si>
  <si>
    <t>15</t>
  </si>
  <si>
    <t>16</t>
  </si>
  <si>
    <t>Capítol</t>
  </si>
  <si>
    <t>LOCAL 16: TURÓ DE LA PEIRA</t>
  </si>
  <si>
    <t>16.1</t>
  </si>
  <si>
    <t>Capítol</t>
  </si>
  <si>
    <t>Actuacions previes</t>
  </si>
  <si>
    <t>00.01</t>
  </si>
  <si>
    <t>Partida</t>
  </si>
  <si>
    <t>u</t>
  </si>
  <si>
    <t>Partida alçada de treballs previs per la identificació de circuits elèctrics</t>
  </si>
  <si>
    <t>00.02</t>
  </si>
  <si>
    <t>Partida</t>
  </si>
  <si>
    <t>u</t>
  </si>
  <si>
    <t>Partida alçada de treballs previs per la retirada de les instal·lacions d'electricitat i enllumenat obsoletes</t>
  </si>
  <si>
    <t>00.05</t>
  </si>
  <si>
    <t>Partida</t>
  </si>
  <si>
    <t>PA</t>
  </si>
  <si>
    <t>Partida alçada de de comprovació de la posta a terra i aïllmanets.</t>
  </si>
  <si>
    <t>16.1</t>
  </si>
  <si>
    <t>16.2</t>
  </si>
  <si>
    <t>Capítol</t>
  </si>
  <si>
    <t>Conjunt de mesura i quadre de distribució</t>
  </si>
  <si>
    <t>16.2.1</t>
  </si>
  <si>
    <t>Partida</t>
  </si>
  <si>
    <t>u</t>
  </si>
  <si>
    <t>Quadre General de baixa tensió</t>
  </si>
  <si>
    <t>16.2</t>
  </si>
  <si>
    <t>16.3</t>
  </si>
  <si>
    <t>Capítol</t>
  </si>
  <si>
    <t>Línies elèctriques i canalització</t>
  </si>
  <si>
    <t>PG35-DYD9</t>
  </si>
  <si>
    <t>Partida</t>
  </si>
  <si>
    <t>m</t>
  </si>
  <si>
    <t>Cable amb conductor de coure de tensió assignada inferior o igual a 450/750 V, de designació H07V-K, construcció segons norma UNE-EN 50525-2-31, unipolar, de secció 1x2,5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</si>
  <si>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</si>
  <si>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</si>
  <si>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</si>
  <si>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</si>
  <si>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</si>
  <si>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</si>
  <si>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nova línia estufes 2</t>
  </si>
  <si>
    <t>nova linia endolls 2</t>
  </si>
  <si>
    <t>nova linia VE</t>
  </si>
  <si>
    <t>PG2P-6SZ6</t>
  </si>
  <si>
    <t>Partida</t>
  </si>
  <si>
    <t>m</t>
  </si>
  <si>
    <t>Tub rígid PVC,DN=20mm,impacte=2J,resist.compress.=1250N,unió endollada+munt.superf.</t>
  </si>
  <si>
    <t>Uts.</t>
  </si>
  <si>
    <t>Llargada</t>
  </si>
  <si>
    <t>Amplada</t>
  </si>
  <si>
    <t>Alçada</t>
  </si>
  <si>
    <t>Parcial</t>
  </si>
  <si>
    <t>Subtotal</t>
  </si>
  <si>
    <t>nova línia estufes 2</t>
  </si>
  <si>
    <t>nova línia endolls 2</t>
  </si>
  <si>
    <t>nova linia VE</t>
  </si>
  <si>
    <t>16.3</t>
  </si>
  <si>
    <t>16.4</t>
  </si>
  <si>
    <t>Capítol</t>
  </si>
  <si>
    <t>Mecanismes</t>
  </si>
  <si>
    <t>PG6H-CUJQ</t>
  </si>
  <si>
    <t>Partida</t>
  </si>
  <si>
    <t>u</t>
  </si>
  <si>
    <t>Kit mecanismes,1 element,1 base endoll,+caixa, marc i bastidor,superfcicial tipus IP55</t>
  </si>
  <si>
    <t>Uts.</t>
  </si>
  <si>
    <t>Llargada</t>
  </si>
  <si>
    <t>Amplada</t>
  </si>
  <si>
    <t>Alçada</t>
  </si>
  <si>
    <t>Parcial</t>
  </si>
  <si>
    <t>Subtotal</t>
  </si>
  <si>
    <t>endoll carregador VE</t>
  </si>
  <si>
    <t>endolls estufes</t>
  </si>
  <si>
    <t>PG6H-CUIP</t>
  </si>
  <si>
    <t>Partida</t>
  </si>
  <si>
    <t>u</t>
  </si>
  <si>
    <t>Kit mecanismes,2 elements,2 bases endoll,+caixa, marc i bastidor,superfcicial tipus IP55</t>
  </si>
  <si>
    <t>Uts.</t>
  </si>
  <si>
    <t>Llargada</t>
  </si>
  <si>
    <t>Amplada</t>
  </si>
  <si>
    <t>Alçada</t>
  </si>
  <si>
    <t>Parcial</t>
  </si>
  <si>
    <t>Subtotal</t>
  </si>
  <si>
    <t>nous endolls a cuina</t>
  </si>
  <si>
    <t>PG6H-CUJL</t>
  </si>
  <si>
    <t>Partida</t>
  </si>
  <si>
    <t>u</t>
  </si>
  <si>
    <t>Kit mecanismes,3 elements,3 bases endoll,+caixa, marc i bastidor,encastat, tipus superficial</t>
  </si>
  <si>
    <t>Uts.</t>
  </si>
  <si>
    <t>Llargada</t>
  </si>
  <si>
    <t>Amplada</t>
  </si>
  <si>
    <t>Alçada</t>
  </si>
  <si>
    <t>Parcial</t>
  </si>
  <si>
    <t>Subtotal</t>
  </si>
  <si>
    <t>nous endolls a despatx</t>
  </si>
  <si>
    <t>nous endolls carregadors bateries a magatzem</t>
  </si>
  <si>
    <t>02.06b</t>
  </si>
  <si>
    <t>Partida</t>
  </si>
  <si>
    <t>u</t>
  </si>
  <si>
    <t>Electrificació de força per a kit de mecanismes de 1, 2 o 3 preses de corrent</t>
  </si>
  <si>
    <t>PG6H-CUJNb</t>
  </si>
  <si>
    <t>Partida</t>
  </si>
  <si>
    <t>u</t>
  </si>
  <si>
    <t>Kit mecanismes,1 element,1 interruptor,+caixa, marc i bastidor,superficial</t>
  </si>
  <si>
    <t>Uts.</t>
  </si>
  <si>
    <t>Llargada</t>
  </si>
  <si>
    <t>Amplada</t>
  </si>
  <si>
    <t>Alçada</t>
  </si>
  <si>
    <t>Parcial</t>
  </si>
  <si>
    <t>Subtotal</t>
  </si>
  <si>
    <t>substitució interruptors en mal estat</t>
  </si>
  <si>
    <t>02.09b</t>
  </si>
  <si>
    <t>Partida</t>
  </si>
  <si>
    <t>u</t>
  </si>
  <si>
    <t>Electrificació per a mecanisme interruptor/polsador/commut/detector, 1 línea</t>
  </si>
  <si>
    <t>16.4</t>
  </si>
  <si>
    <t>16.5</t>
  </si>
  <si>
    <t>Capítol</t>
  </si>
  <si>
    <t>Enllumenat</t>
  </si>
  <si>
    <t>PHUL-HCV1</t>
  </si>
  <si>
    <t>Partida</t>
  </si>
  <si>
    <t>u</t>
  </si>
  <si>
    <t>Substitució T8/36W/1200 p/tub led 20W,230V,L=1200mm,G13,&gt;1600lm,4000/6500K,Ra&gt;80</t>
  </si>
  <si>
    <t>PHUL-HCV0</t>
  </si>
  <si>
    <t>Partida</t>
  </si>
  <si>
    <t>u</t>
  </si>
  <si>
    <t>Substitució T8/18W/600 p/tub led 8W,230V,L=600mm,G13,&gt;800lm,4000/6500K,Ra&gt;80</t>
  </si>
  <si>
    <t>16.5</t>
  </si>
  <si>
    <t>16.6</t>
  </si>
  <si>
    <t>Capítol</t>
  </si>
  <si>
    <t>Certificat de la instal·lació i registre a Indústria</t>
  </si>
  <si>
    <t>12.02b</t>
  </si>
  <si>
    <t>Partida</t>
  </si>
  <si>
    <t>u</t>
  </si>
  <si>
    <t>Certificat de la instal·lació de baixa tensió en edifici i registre a Indústria</t>
  </si>
  <si>
    <t>16.6</t>
  </si>
  <si>
    <t>16</t>
  </si>
  <si>
    <t>17</t>
  </si>
  <si>
    <t>Capítol</t>
  </si>
  <si>
    <t>LOCAL 17: SELVA DE MAR</t>
  </si>
  <si>
    <t>17.1</t>
  </si>
  <si>
    <t>Capítol</t>
  </si>
  <si>
    <t>Actuacions previes</t>
  </si>
  <si>
    <t>00.01</t>
  </si>
  <si>
    <t>Partida</t>
  </si>
  <si>
    <t>u</t>
  </si>
  <si>
    <t>Partida alçada de treballs previs per la identificació de circuits elèctrics</t>
  </si>
  <si>
    <t>00.02</t>
  </si>
  <si>
    <t>Partida</t>
  </si>
  <si>
    <t>u</t>
  </si>
  <si>
    <t>Partida alçada de treballs previs per la retirada de les instal·lacions d'electricitat i enllumenat obsoletes</t>
  </si>
  <si>
    <t>00.05</t>
  </si>
  <si>
    <t>Partida</t>
  </si>
  <si>
    <t>PA</t>
  </si>
  <si>
    <t>Partida alçada de de comprovació de la posta a terra i aïllmanets.</t>
  </si>
  <si>
    <t>17.1</t>
  </si>
  <si>
    <t>17.2</t>
  </si>
  <si>
    <t>Capítol</t>
  </si>
  <si>
    <t>Conjunt de mesura i quadre de distribució</t>
  </si>
  <si>
    <t>17.2.1</t>
  </si>
  <si>
    <t>Partida</t>
  </si>
  <si>
    <t>u</t>
  </si>
  <si>
    <t>Quadre General de baixa tensió</t>
  </si>
  <si>
    <t>17.2.2</t>
  </si>
  <si>
    <t>Partida</t>
  </si>
  <si>
    <t>u</t>
  </si>
  <si>
    <t>Subquadre maniobra</t>
  </si>
  <si>
    <t>17.2</t>
  </si>
  <si>
    <t>17.3</t>
  </si>
  <si>
    <t>Capítol</t>
  </si>
  <si>
    <t>Línies elèctriques i canalització</t>
  </si>
  <si>
    <t>PG35-DYD4</t>
  </si>
  <si>
    <t>Partida</t>
  </si>
  <si>
    <t>m</t>
  </si>
  <si>
    <t>Cable amb conductor de coure de tensió assignada inferior o igual a 450/750 V, de designació H07V-K, construcció segons norma UNE-EN 50525-2-31, unipolar, de secció 1x1,5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</si>
  <si>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</si>
  <si>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</si>
  <si>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</si>
  <si>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</si>
  <si>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</si>
  <si>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</si>
  <si>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nova linia enllumenat zona menjador</t>
  </si>
  <si>
    <t>PG35-DYD9</t>
  </si>
  <si>
    <t>Partida</t>
  </si>
  <si>
    <t>m</t>
  </si>
  <si>
    <t>Cable amb conductor de coure de tensió assignada inferior o igual a 450/750 V, de designació H07V-K, construcció segons norma UNE-EN 50525-2-31, unipolar, de secció 1x2,5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</si>
  <si>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</si>
  <si>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</si>
  <si>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</si>
  <si>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</si>
  <si>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</si>
  <si>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</si>
  <si>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linia microones-planxa</t>
  </si>
  <si>
    <t>PG2P-6SZ6</t>
  </si>
  <si>
    <t>Partida</t>
  </si>
  <si>
    <t>m</t>
  </si>
  <si>
    <t>Tub rígid PVC,DN=20mm,impacte=2J,resist.compress.=1250N,unió endollada+munt.superf.</t>
  </si>
  <si>
    <t>Uts.</t>
  </si>
  <si>
    <t>Llargada</t>
  </si>
  <si>
    <t>Amplada</t>
  </si>
  <si>
    <t>Alçada</t>
  </si>
  <si>
    <t>Parcial</t>
  </si>
  <si>
    <t>Subtotal</t>
  </si>
  <si>
    <t>linia microones-planxa</t>
  </si>
  <si>
    <t>nova linia enllumenat</t>
  </si>
  <si>
    <t>17.3</t>
  </si>
  <si>
    <t>17.4</t>
  </si>
  <si>
    <t>Capítol</t>
  </si>
  <si>
    <t>Mecanismes</t>
  </si>
  <si>
    <t>PG6H-CUIP</t>
  </si>
  <si>
    <t>Partida</t>
  </si>
  <si>
    <t>u</t>
  </si>
  <si>
    <t>Kit mecanismes,2 elements,2 bases endoll,+caixa, marc i bastidor,superfcicial tipus IP55</t>
  </si>
  <si>
    <t>Uts.</t>
  </si>
  <si>
    <t>Llargada</t>
  </si>
  <si>
    <t>Amplada</t>
  </si>
  <si>
    <t>Alçada</t>
  </si>
  <si>
    <t>Parcial</t>
  </si>
  <si>
    <t>Subtotal</t>
  </si>
  <si>
    <t>cuina</t>
  </si>
  <si>
    <t>endolls nova linia microones i planxa</t>
  </si>
  <si>
    <t>PG6H-CUJL</t>
  </si>
  <si>
    <t>Partida</t>
  </si>
  <si>
    <t>u</t>
  </si>
  <si>
    <t>Kit mecanismes,3 elements,3 bases endoll,+caixa, marc i bastidor,encastat, tipus superficial</t>
  </si>
  <si>
    <t>Uts.</t>
  </si>
  <si>
    <t>Llargada</t>
  </si>
  <si>
    <t>Amplada</t>
  </si>
  <si>
    <t>Alçada</t>
  </si>
  <si>
    <t>Parcial</t>
  </si>
  <si>
    <t>Subtotal</t>
  </si>
  <si>
    <t>endolls magatzem per càrrega bateries</t>
  </si>
  <si>
    <t>endolls despatx</t>
  </si>
  <si>
    <t>02.06b</t>
  </si>
  <si>
    <t>Partida</t>
  </si>
  <si>
    <t>u</t>
  </si>
  <si>
    <t>Electrificació de força per a kit de mecanismes de 1, 2 o 3 preses de corrent</t>
  </si>
  <si>
    <t>17.4</t>
  </si>
  <si>
    <t>17.5</t>
  </si>
  <si>
    <t>Capítol</t>
  </si>
  <si>
    <t>Enllumenat</t>
  </si>
  <si>
    <t>PHQE-C0C8</t>
  </si>
  <si>
    <t>Partida</t>
  </si>
  <si>
    <t>u</t>
  </si>
  <si>
    <t>Projector per a exterior amb leds amb una vida útil &lt;= 50000 h, de forma rectangular, amb distribució de la llum simètrica extensiva, de 25 W de potència, flux lluminós de 3000 lm, amb equip elèctric no regulable, aïllament classe I, cos d'alumini injectat, difusor de vidre trempat i grau de protecció IP66,col.</t>
  </si>
  <si>
    <t>EH2LAR02</t>
  </si>
  <si>
    <t>Partida</t>
  </si>
  <si>
    <t>u</t>
  </si>
  <si>
    <t>Downlight 16W IP20</t>
  </si>
  <si>
    <t>PHUL-HCV1</t>
  </si>
  <si>
    <t>Partida</t>
  </si>
  <si>
    <t>u</t>
  </si>
  <si>
    <t>Substitució T8/36W/1200 p/tub led 20W,230V,L=1200mm,G13,&gt;1600lm,4000/6500K,Ra&gt;80</t>
  </si>
  <si>
    <t>Uts.</t>
  </si>
  <si>
    <t>Llargada</t>
  </si>
  <si>
    <t>Amplada</t>
  </si>
  <si>
    <t>Alçada</t>
  </si>
  <si>
    <t>Parcial</t>
  </si>
  <si>
    <t>Subtotal</t>
  </si>
  <si>
    <t>magatzem</t>
  </si>
  <si>
    <t>garatge</t>
  </si>
  <si>
    <t>oficina</t>
  </si>
  <si>
    <t>vestuari dones</t>
  </si>
  <si>
    <t>vestuari homes</t>
  </si>
  <si>
    <t>cuina, magatzem i general</t>
  </si>
  <si>
    <t>PHUL-HCV0</t>
  </si>
  <si>
    <t>Partida</t>
  </si>
  <si>
    <t>u</t>
  </si>
  <si>
    <t>Substitució T8/18W/600 p/tub led 8W,230V,L=600mm,G13,&gt;800lm,4000/6500K,Ra&gt;80</t>
  </si>
  <si>
    <t>EHB5AR06</t>
  </si>
  <si>
    <t>Partida</t>
  </si>
  <si>
    <t>u</t>
  </si>
  <si>
    <t>Llum.estanca+leds 50000h,rect.,l=1200mm,30W,3600lm,no regulable,classe I,policarbon.,IP66,munt.superf.</t>
  </si>
  <si>
    <t>Uts.</t>
  </si>
  <si>
    <t>Llargada</t>
  </si>
  <si>
    <t>Amplada</t>
  </si>
  <si>
    <t>Alçada</t>
  </si>
  <si>
    <t>Parcial</t>
  </si>
  <si>
    <t>Subtotal</t>
  </si>
  <si>
    <t>substitució del projector del despatx</t>
  </si>
  <si>
    <t>nova línia zona menjador</t>
  </si>
  <si>
    <t>EH61RH4A</t>
  </si>
  <si>
    <t>Partida</t>
  </si>
  <si>
    <t>u</t>
  </si>
  <si>
    <t>Llum emerg.led,no permanent,IP66,classe II,70-100lúmens,auton&lt; 1h, ,forma rect.,policarbon.,preu alt, col.encastat</t>
  </si>
  <si>
    <t>17.5</t>
  </si>
  <si>
    <t>17.6</t>
  </si>
  <si>
    <t>Capítol</t>
  </si>
  <si>
    <t>Certificat de la instal·lació i registre a Indústria</t>
  </si>
  <si>
    <t>12.02b</t>
  </si>
  <si>
    <t>Partida</t>
  </si>
  <si>
    <t>u</t>
  </si>
  <si>
    <t>Certificat de la instal·lació de baixa tensió en edifici i registre a Indústria</t>
  </si>
  <si>
    <t>17.6</t>
  </si>
  <si>
    <t>17</t>
  </si>
  <si>
    <t>18</t>
  </si>
  <si>
    <t>Capítol</t>
  </si>
  <si>
    <t>LOCAL 18: BON PASTOR</t>
  </si>
  <si>
    <t>18.1</t>
  </si>
  <si>
    <t>Capítol</t>
  </si>
  <si>
    <t>Actuacions previes</t>
  </si>
  <si>
    <t>00.02</t>
  </si>
  <si>
    <t>Partida</t>
  </si>
  <si>
    <t>u</t>
  </si>
  <si>
    <t>Partida alçada de treballs previs per la retirada de les instal·lacions d'electricitat i enllumenat obsoletes</t>
  </si>
  <si>
    <t>00.05</t>
  </si>
  <si>
    <t>Partida</t>
  </si>
  <si>
    <t>PA</t>
  </si>
  <si>
    <t>Partida alçada de de comprovació de la posta a terra i aïllmanets.</t>
  </si>
  <si>
    <t>18.1</t>
  </si>
  <si>
    <t>18.2</t>
  </si>
  <si>
    <t>Capítol</t>
  </si>
  <si>
    <t>Conjunt de mesura i quadre de distribució</t>
  </si>
  <si>
    <t>18.2.1</t>
  </si>
  <si>
    <t>Partida</t>
  </si>
  <si>
    <t>u</t>
  </si>
  <si>
    <t>Quadre General de baixa tensió</t>
  </si>
  <si>
    <t>18.2.2</t>
  </si>
  <si>
    <t>Partida</t>
  </si>
  <si>
    <t>u</t>
  </si>
  <si>
    <t>Subquadre termos</t>
  </si>
  <si>
    <t>18.2</t>
  </si>
  <si>
    <t>18.3</t>
  </si>
  <si>
    <t>Capítol</t>
  </si>
  <si>
    <t>Línies elèctriques i canalització</t>
  </si>
  <si>
    <t>PG35-DYD9</t>
  </si>
  <si>
    <t>Partida</t>
  </si>
  <si>
    <t>m</t>
  </si>
  <si>
    <t>Cable amb conductor de coure de tensió assignada inferior o igual a 450/750 V, de designació H07V-K, construcció segons norma UNE-EN 50525-2-31, unipolar, de secció 1x2,5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</si>
  <si>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</si>
  <si>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</si>
  <si>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</si>
  <si>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</si>
  <si>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</si>
  <si>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</si>
  <si>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noves linies termos</t>
  </si>
  <si>
    <t>noves linies endolls</t>
  </si>
  <si>
    <t>nou endoll VE</t>
  </si>
  <si>
    <t>PG35-DYDF</t>
  </si>
  <si>
    <t>Partida</t>
  </si>
  <si>
    <t>m</t>
  </si>
  <si>
    <t>Cable amb conductor de coure de tensió assignada inferior o igual a 450/750 V, de designació H07V-K, construcció segons norma UNE-EN 50525-2-31, unipolar, de secció 1x4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</si>
  <si>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</si>
  <si>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</si>
  <si>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</si>
  <si>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</si>
  <si>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</si>
  <si>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</si>
  <si>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nova línia A/A</t>
  </si>
  <si>
    <t>PG2P-6SZ6</t>
  </si>
  <si>
    <t>Partida</t>
  </si>
  <si>
    <t>m</t>
  </si>
  <si>
    <t>Tub rígid PVC,DN=20mm,impacte=2J,resist.compress.=1250N,unió endollada+munt.superf.</t>
  </si>
  <si>
    <t>Uts.</t>
  </si>
  <si>
    <t>Llargada</t>
  </si>
  <si>
    <t>Amplada</t>
  </si>
  <si>
    <t>Alçada</t>
  </si>
  <si>
    <t>Parcial</t>
  </si>
  <si>
    <t>Subtotal</t>
  </si>
  <si>
    <t>nou endoll a cuina</t>
  </si>
  <si>
    <t>noves linies endolls</t>
  </si>
  <si>
    <t>nou endoll VE</t>
  </si>
  <si>
    <t>PG2P-6SZ7</t>
  </si>
  <si>
    <t>Partida</t>
  </si>
  <si>
    <t>m</t>
  </si>
  <si>
    <t>Tub rígid PVC,DN=25mm,impacte=2J,resist.compress.=1250N,unió endollada+munt.superf.</t>
  </si>
  <si>
    <t>18.3</t>
  </si>
  <si>
    <t>18.4</t>
  </si>
  <si>
    <t>Capítol</t>
  </si>
  <si>
    <t>Mecanismes</t>
  </si>
  <si>
    <t>PG6H-CUJQ</t>
  </si>
  <si>
    <t>Partida</t>
  </si>
  <si>
    <t>u</t>
  </si>
  <si>
    <t>Kit mecanismes,1 element,1 base endoll,+caixa, marc i bastidor,superfcicial tipus IP55</t>
  </si>
  <si>
    <t>Uts.</t>
  </si>
  <si>
    <t>Llargada</t>
  </si>
  <si>
    <t>Amplada</t>
  </si>
  <si>
    <t>Alçada</t>
  </si>
  <si>
    <t>Parcial</t>
  </si>
  <si>
    <t>Subtotal</t>
  </si>
  <si>
    <t>nou endoll termo vestidor dones</t>
  </si>
  <si>
    <t>endoll vehicle elèctric</t>
  </si>
  <si>
    <t>PG6H-CUJL</t>
  </si>
  <si>
    <t>Partida</t>
  </si>
  <si>
    <t>u</t>
  </si>
  <si>
    <t>Kit mecanismes,3 elements,3 bases endoll,+caixa, marc i bastidor,encastat, tipus superficial</t>
  </si>
  <si>
    <t>Uts.</t>
  </si>
  <si>
    <t>Llargada</t>
  </si>
  <si>
    <t>Amplada</t>
  </si>
  <si>
    <t>Alçada</t>
  </si>
  <si>
    <t>Parcial</t>
  </si>
  <si>
    <t>Subtotal</t>
  </si>
  <si>
    <t>nous endolls despatx 1</t>
  </si>
  <si>
    <t>nous endolls despatx 2</t>
  </si>
  <si>
    <t>02.06b</t>
  </si>
  <si>
    <t>Partida</t>
  </si>
  <si>
    <t>u</t>
  </si>
  <si>
    <t>Electrificació de força per a kit de mecanismes de 1, 2 o 3 preses de corrent</t>
  </si>
  <si>
    <t>18.4</t>
  </si>
  <si>
    <t>18.5</t>
  </si>
  <si>
    <t>Capítol</t>
  </si>
  <si>
    <t>Enllumenat</t>
  </si>
  <si>
    <t>EH2LAR01bb</t>
  </si>
  <si>
    <t>Partida</t>
  </si>
  <si>
    <t>u</t>
  </si>
  <si>
    <t>Aplic superficial,18W</t>
  </si>
  <si>
    <t>PHUL-HCV1</t>
  </si>
  <si>
    <t>Partida</t>
  </si>
  <si>
    <t>u</t>
  </si>
  <si>
    <t>Substitució T8/36W/1200 p/tub led 20W,230V,L=1200mm,G13,&gt;1600lm,4000/6500K,Ra&gt;80</t>
  </si>
  <si>
    <t>PHUL-HCV0</t>
  </si>
  <si>
    <t>Partida</t>
  </si>
  <si>
    <t>u</t>
  </si>
  <si>
    <t>Substitució T8/18W/600 p/tub led 8W,230V,L=600mm,G13,&gt;800lm,4000/6500K,Ra&gt;80</t>
  </si>
  <si>
    <t>18.5</t>
  </si>
  <si>
    <t>18.6</t>
  </si>
  <si>
    <t>Capítol</t>
  </si>
  <si>
    <t>Certificat de la instal·lació i registre a Indústria</t>
  </si>
  <si>
    <t>12.02b</t>
  </si>
  <si>
    <t>Partida</t>
  </si>
  <si>
    <t>u</t>
  </si>
  <si>
    <t>Certificat de la instal·lació de baixa tensió en edifici i registre a Indústria</t>
  </si>
  <si>
    <t>18.6</t>
  </si>
  <si>
    <t>18</t>
  </si>
  <si>
    <t>19</t>
  </si>
  <si>
    <t>Capítol</t>
  </si>
  <si>
    <t>LOCAL 19: PARC TRINITAT</t>
  </si>
  <si>
    <t>19.1</t>
  </si>
  <si>
    <t>Capítol</t>
  </si>
  <si>
    <t>Actuacions previes</t>
  </si>
  <si>
    <t>00.01</t>
  </si>
  <si>
    <t>Partida</t>
  </si>
  <si>
    <t>u</t>
  </si>
  <si>
    <t>Partida alçada de treballs previs per la identificació de circuits elèctrics</t>
  </si>
  <si>
    <t>00.02</t>
  </si>
  <si>
    <t>Partida</t>
  </si>
  <si>
    <t>u</t>
  </si>
  <si>
    <t>Partida alçada de treballs previs per la retirada de les instal·lacions d'electricitat i enllumenat obsoletes</t>
  </si>
  <si>
    <t>00.05</t>
  </si>
  <si>
    <t>Partida</t>
  </si>
  <si>
    <t>PA</t>
  </si>
  <si>
    <t>Partida alçada de de comprovació de la posta a terra i aïllmanets.</t>
  </si>
  <si>
    <t>19.1</t>
  </si>
  <si>
    <t>19.2</t>
  </si>
  <si>
    <t>Capítol</t>
  </si>
  <si>
    <t>Conjunt de mesura i quadre de distribució</t>
  </si>
  <si>
    <t>19.2.1</t>
  </si>
  <si>
    <t>Partida</t>
  </si>
  <si>
    <t>u</t>
  </si>
  <si>
    <t>Quadre de baixa tensió - VESTUARIS/OFFICE</t>
  </si>
  <si>
    <t>19.2.2</t>
  </si>
  <si>
    <t>Partida</t>
  </si>
  <si>
    <t>u</t>
  </si>
  <si>
    <t>Quadre de baixa tensió - MAGATZEM</t>
  </si>
  <si>
    <t>19.2</t>
  </si>
  <si>
    <t>19.4</t>
  </si>
  <si>
    <t>Capítol</t>
  </si>
  <si>
    <t>Mecanismes</t>
  </si>
  <si>
    <t>PG6H-CUJQ</t>
  </si>
  <si>
    <t>Partida</t>
  </si>
  <si>
    <t>u</t>
  </si>
  <si>
    <t>Kit mecanismes,1 element,1 base endoll,+caixa, marc i bastidor,superfcicial tipus IP55</t>
  </si>
  <si>
    <t>PG6H-CUJL</t>
  </si>
  <si>
    <t>Partida</t>
  </si>
  <si>
    <t>u</t>
  </si>
  <si>
    <t>Kit mecanismes,3 elements,3 bases endoll,+caixa, marc i bastidor,encastat, tipus superficial</t>
  </si>
  <si>
    <t>Uts.</t>
  </si>
  <si>
    <t>Llargada</t>
  </si>
  <si>
    <t>Amplada</t>
  </si>
  <si>
    <t>Alçada</t>
  </si>
  <si>
    <t>Parcial</t>
  </si>
  <si>
    <t>Subtotal</t>
  </si>
  <si>
    <t>endolls despatx</t>
  </si>
  <si>
    <t>02.06b</t>
  </si>
  <si>
    <t>Partida</t>
  </si>
  <si>
    <t>u</t>
  </si>
  <si>
    <t>Electrificació de força per a kit de mecanismes de 1, 2 o 3 preses de corrent</t>
  </si>
  <si>
    <t>19.4</t>
  </si>
  <si>
    <t>19.5</t>
  </si>
  <si>
    <t>Capítol</t>
  </si>
  <si>
    <t>Enllumenat</t>
  </si>
  <si>
    <t>PHUL-HCV1</t>
  </si>
  <si>
    <t>Partida</t>
  </si>
  <si>
    <t>u</t>
  </si>
  <si>
    <t>Substitució T8/36W/1200 p/tub led 20W,230V,L=1200mm,G13,&gt;1600lm,4000/6500K,Ra&gt;80</t>
  </si>
  <si>
    <t>PHUL-HCV0</t>
  </si>
  <si>
    <t>Partida</t>
  </si>
  <si>
    <t>u</t>
  </si>
  <si>
    <t>Substitució T8/18W/600 p/tub led 8W,230V,L=600mm,G13,&gt;800lm,4000/6500K,Ra&gt;80</t>
  </si>
  <si>
    <t>19.5</t>
  </si>
  <si>
    <t>19.6</t>
  </si>
  <si>
    <t>Capítol</t>
  </si>
  <si>
    <t>Certificat de la instal·lació i registre a Indústria</t>
  </si>
  <si>
    <t>12.02b</t>
  </si>
  <si>
    <t>Partida</t>
  </si>
  <si>
    <t>u</t>
  </si>
  <si>
    <t>Certificat de la instal·lació de baixa tensió en edifici i registre a Indústria</t>
  </si>
  <si>
    <t>19.6</t>
  </si>
  <si>
    <t>19</t>
  </si>
  <si>
    <t>20</t>
  </si>
  <si>
    <t>Capítol</t>
  </si>
  <si>
    <t>LOCAL 20: RASOS DE PEGUERA</t>
  </si>
  <si>
    <t>20.1</t>
  </si>
  <si>
    <t>Capítol</t>
  </si>
  <si>
    <t>Actuacions previes</t>
  </si>
  <si>
    <t>00.02</t>
  </si>
  <si>
    <t>Partida</t>
  </si>
  <si>
    <t>u</t>
  </si>
  <si>
    <t>Partida alçada de treballs previs per la retirada de les instal·lacions d'electricitat i enllumenat obsoletes</t>
  </si>
  <si>
    <t>00.05</t>
  </si>
  <si>
    <t>Partida</t>
  </si>
  <si>
    <t>PA</t>
  </si>
  <si>
    <t>Partida alçada de de comprovació de la posta a terra i aïllmanets.</t>
  </si>
  <si>
    <t>20.1</t>
  </si>
  <si>
    <t>20.2</t>
  </si>
  <si>
    <t>Capítol</t>
  </si>
  <si>
    <t>Conjunt de mesura i quadre de distribució</t>
  </si>
  <si>
    <t>20.2.1</t>
  </si>
  <si>
    <t>Partida</t>
  </si>
  <si>
    <t>u</t>
  </si>
  <si>
    <t>Quadre General de baixa tensió</t>
  </si>
  <si>
    <t>20.2</t>
  </si>
  <si>
    <t>20.3</t>
  </si>
  <si>
    <t>Capítol</t>
  </si>
  <si>
    <t>Línies elèctriques i canalització</t>
  </si>
  <si>
    <t>PG35-DYD4</t>
  </si>
  <si>
    <t>Partida</t>
  </si>
  <si>
    <t>m</t>
  </si>
  <si>
    <t>Cable amb conductor de coure de tensió assignada inferior o igual a 450/750 V, de designació H07V-K, construcció segons norma UNE-EN 50525-2-31, unipolar, de secció 1x1,5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</si>
  <si>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</si>
  <si>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</si>
  <si>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</si>
  <si>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</si>
  <si>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</si>
  <si>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</si>
  <si>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nova linia estufes</t>
  </si>
  <si>
    <t>PG2P-6SZ6</t>
  </si>
  <si>
    <t>Partida</t>
  </si>
  <si>
    <t>m</t>
  </si>
  <si>
    <t>Tub rígid PVC,DN=20mm,impacte=2J,resist.compress.=1250N,unió endollada+munt.superf.</t>
  </si>
  <si>
    <t>Uts.</t>
  </si>
  <si>
    <t>Llargada</t>
  </si>
  <si>
    <t>Amplada</t>
  </si>
  <si>
    <t>Alçada</t>
  </si>
  <si>
    <t>Parcial</t>
  </si>
  <si>
    <t>Subtotal</t>
  </si>
  <si>
    <t>nova linia estufes</t>
  </si>
  <si>
    <t>canalització linia existent persiana automàtica</t>
  </si>
  <si>
    <t>20.3</t>
  </si>
  <si>
    <t>20.4</t>
  </si>
  <si>
    <t>Capítol</t>
  </si>
  <si>
    <t>Mecanismes</t>
  </si>
  <si>
    <t>PG6H-CUJQ</t>
  </si>
  <si>
    <t>Partida</t>
  </si>
  <si>
    <t>u</t>
  </si>
  <si>
    <t>Kit mecanismes,1 element,1 base endoll,+caixa, marc i bastidor,superfcicial tipus IP55</t>
  </si>
  <si>
    <t>Uts.</t>
  </si>
  <si>
    <t>Llargada</t>
  </si>
  <si>
    <t>Amplada</t>
  </si>
  <si>
    <t>Alçada</t>
  </si>
  <si>
    <t>Parcial</t>
  </si>
  <si>
    <t>Subtotal</t>
  </si>
  <si>
    <t>estufes</t>
  </si>
  <si>
    <t>PG6H-CUIP</t>
  </si>
  <si>
    <t>Partida</t>
  </si>
  <si>
    <t>u</t>
  </si>
  <si>
    <t>Kit mecanismes,2 elements,2 bases endoll,+caixa, marc i bastidor,superfcicial tipus IP55</t>
  </si>
  <si>
    <t>02.06b</t>
  </si>
  <si>
    <t>Partida</t>
  </si>
  <si>
    <t>u</t>
  </si>
  <si>
    <t>Electrificació de força per a kit de mecanismes de 1, 2 o 3 preses de corrent</t>
  </si>
  <si>
    <t>20.4</t>
  </si>
  <si>
    <t>20.5</t>
  </si>
  <si>
    <t>Capítol</t>
  </si>
  <si>
    <t>Enllumenat</t>
  </si>
  <si>
    <t>PHUL-HCV1</t>
  </si>
  <si>
    <t>Partida</t>
  </si>
  <si>
    <t>u</t>
  </si>
  <si>
    <t>Substitució T8/36W/1200 p/tub led 20W,230V,L=1200mm,G13,&gt;1600lm,4000/6500K,Ra&gt;80</t>
  </si>
  <si>
    <t>PHUL-HCV0</t>
  </si>
  <si>
    <t>Partida</t>
  </si>
  <si>
    <t>u</t>
  </si>
  <si>
    <t>Substitució T8/18W/600 p/tub led 8W,230V,L=600mm,G13,&gt;800lm,4000/6500K,Ra&gt;80</t>
  </si>
  <si>
    <t>EHB5AR06</t>
  </si>
  <si>
    <t>Partida</t>
  </si>
  <si>
    <t>u</t>
  </si>
  <si>
    <t>Llum.estanca+leds 50000h,rect.,l=1200mm,30W,3600lm,no regulable,classe I,policarbon.,IP66,munt.superf.</t>
  </si>
  <si>
    <t>EHB5AR07</t>
  </si>
  <si>
    <t>Partida</t>
  </si>
  <si>
    <t>u</t>
  </si>
  <si>
    <t>Llum.estanca+leds 50000h,rect.,l=600mm,15W,1800lm,no regulable,classe I,policarbon.,IP66,munt.superf.</t>
  </si>
  <si>
    <t>20.5</t>
  </si>
  <si>
    <t>20.6</t>
  </si>
  <si>
    <t>Capítol</t>
  </si>
  <si>
    <t>Certificat de la instal·lació i registre a Indústria</t>
  </si>
  <si>
    <t>12.02b</t>
  </si>
  <si>
    <t>Partida</t>
  </si>
  <si>
    <t>u</t>
  </si>
  <si>
    <t>Certificat de la instal·lació de baixa tensió en edifici i registre a Indústria</t>
  </si>
  <si>
    <t>20.6</t>
  </si>
  <si>
    <t>20</t>
  </si>
  <si>
    <t>21</t>
  </si>
  <si>
    <t>Capítol</t>
  </si>
  <si>
    <t>LOCAL 21: JARDINS DE CAN SABATÉ</t>
  </si>
  <si>
    <t>21.1</t>
  </si>
  <si>
    <t>Capítol</t>
  </si>
  <si>
    <t>Actuacions previes</t>
  </si>
  <si>
    <t>00.01d</t>
  </si>
  <si>
    <t>Partida</t>
  </si>
  <si>
    <t>u</t>
  </si>
  <si>
    <t>Partida alçada de treballs previs per la identificació de circuits elèctrics</t>
  </si>
  <si>
    <t>00.02d</t>
  </si>
  <si>
    <t>Partida</t>
  </si>
  <si>
    <t>u</t>
  </si>
  <si>
    <t>Partida alçada de treballs previs per la retirada de les instal·lacions d'electricitat i enllumenat obsoletes i el termo elèctric</t>
  </si>
  <si>
    <t>00.05</t>
  </si>
  <si>
    <t>Partida</t>
  </si>
  <si>
    <t>PA</t>
  </si>
  <si>
    <t>Partida alçada de de comprovació de la posta a terra i aïllmanets.</t>
  </si>
  <si>
    <t>21.1</t>
  </si>
  <si>
    <t>21.2</t>
  </si>
  <si>
    <t>Capítol</t>
  </si>
  <si>
    <t>Conjunt de mesura i quadre de distribució</t>
  </si>
  <si>
    <t>21.2.1</t>
  </si>
  <si>
    <t>Partida</t>
  </si>
  <si>
    <t>u</t>
  </si>
  <si>
    <t>Quadre General de baixa tensió</t>
  </si>
  <si>
    <t>21.2</t>
  </si>
  <si>
    <t>21.3</t>
  </si>
  <si>
    <t>Capítol</t>
  </si>
  <si>
    <t>Línies elèctriques i canalització</t>
  </si>
  <si>
    <t>PG35-DYD9</t>
  </si>
  <si>
    <t>Partida</t>
  </si>
  <si>
    <t>m</t>
  </si>
  <si>
    <t>Cable amb conductor de coure de tensió assignada inferior o igual a 450/750 V, de designació H07V-K, construcció segons norma UNE-EN 50525-2-31, unipolar, de secció 1x2,5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</si>
  <si>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</si>
  <si>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</si>
  <si>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</si>
  <si>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</si>
  <si>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</si>
  <si>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</si>
  <si>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endoll estufa</t>
  </si>
  <si>
    <t>endolls carregadors elèctrics zona escriptori</t>
  </si>
  <si>
    <t>PG2P-6SZ6</t>
  </si>
  <si>
    <t>Partida</t>
  </si>
  <si>
    <t>m</t>
  </si>
  <si>
    <t>Tub rígid PVC,DN=20mm,impacte=2J,resist.compress.=1250N,unió endollada+munt.superf.</t>
  </si>
  <si>
    <t>Uts.</t>
  </si>
  <si>
    <t>Llargada</t>
  </si>
  <si>
    <t>Amplada</t>
  </si>
  <si>
    <t>Alçada</t>
  </si>
  <si>
    <t>Parcial</t>
  </si>
  <si>
    <t>Subtotal</t>
  </si>
  <si>
    <t>endoll estufa</t>
  </si>
  <si>
    <t>endolls carregadors elèctrics zona escriptori</t>
  </si>
  <si>
    <t>21.3</t>
  </si>
  <si>
    <t>21.4</t>
  </si>
  <si>
    <t>Capítol</t>
  </si>
  <si>
    <t>Mecanismes</t>
  </si>
  <si>
    <t>PG6H-CUJQ</t>
  </si>
  <si>
    <t>Partida</t>
  </si>
  <si>
    <t>u</t>
  </si>
  <si>
    <t>Kit mecanismes,1 element,1 base endoll,+caixa, marc i bastidor,superfcicial tipus IP55</t>
  </si>
  <si>
    <t>Uts.</t>
  </si>
  <si>
    <t>Llargada</t>
  </si>
  <si>
    <t>Amplada</t>
  </si>
  <si>
    <t>Alçada</t>
  </si>
  <si>
    <t>Parcial</t>
  </si>
  <si>
    <t>Subtotal</t>
  </si>
  <si>
    <t>substitució endoll</t>
  </si>
  <si>
    <t>endoll estufa</t>
  </si>
  <si>
    <t>PG6H-CUIP</t>
  </si>
  <si>
    <t>Partida</t>
  </si>
  <si>
    <t>u</t>
  </si>
  <si>
    <t>Kit mecanismes,2 elements,2 bases endoll,+caixa, marc i bastidor,superfcicial tipus IP55</t>
  </si>
  <si>
    <t>Uts.</t>
  </si>
  <si>
    <t>Llargada</t>
  </si>
  <si>
    <t>Amplada</t>
  </si>
  <si>
    <t>Alçada</t>
  </si>
  <si>
    <t>Parcial</t>
  </si>
  <si>
    <t>Subtotal</t>
  </si>
  <si>
    <t>substitució endoll</t>
  </si>
  <si>
    <t>endolls cuina</t>
  </si>
  <si>
    <t>PG6H-CUJL</t>
  </si>
  <si>
    <t>Partida</t>
  </si>
  <si>
    <t>u</t>
  </si>
  <si>
    <t>Kit mecanismes,3 elements,3 bases endoll,+caixa, marc i bastidor,encastat, tipus superficial</t>
  </si>
  <si>
    <t>Uts.</t>
  </si>
  <si>
    <t>Llargada</t>
  </si>
  <si>
    <t>Amplada</t>
  </si>
  <si>
    <t>Alçada</t>
  </si>
  <si>
    <t>Parcial</t>
  </si>
  <si>
    <t>Subtotal</t>
  </si>
  <si>
    <t>endolls carregadors elec.</t>
  </si>
  <si>
    <t>02.06b</t>
  </si>
  <si>
    <t>Partida</t>
  </si>
  <si>
    <t>u</t>
  </si>
  <si>
    <t>Electrificació de força per a kit de mecanismes de 1, 2 o 3 preses de corrent</t>
  </si>
  <si>
    <t>21.4</t>
  </si>
  <si>
    <t>21.5</t>
  </si>
  <si>
    <t>Capítol</t>
  </si>
  <si>
    <t>Enllumenat</t>
  </si>
  <si>
    <t>PHUL-HCV1</t>
  </si>
  <si>
    <t>Partida</t>
  </si>
  <si>
    <t>u</t>
  </si>
  <si>
    <t>Substitució T8/36W/1200 p/tub led 20W,230V,L=1200mm,G13,&gt;1600lm,4000/6500K,Ra&gt;80</t>
  </si>
  <si>
    <t>PHUL-HCV0</t>
  </si>
  <si>
    <t>Partida</t>
  </si>
  <si>
    <t>u</t>
  </si>
  <si>
    <t>Substitució T8/18W/600 p/tub led 8W,230V,L=600mm,G13,&gt;800lm,4000/6500K,Ra&gt;80</t>
  </si>
  <si>
    <t>21.5</t>
  </si>
  <si>
    <t>21.6</t>
  </si>
  <si>
    <t>Capítol</t>
  </si>
  <si>
    <t>Certificat de la instal·lació i registre a Indústria</t>
  </si>
  <si>
    <t>12.02b</t>
  </si>
  <si>
    <t>Partida</t>
  </si>
  <si>
    <t>u</t>
  </si>
  <si>
    <t>Certificat de la instal·lació de baixa tensió en edifici i registre a Indústria</t>
  </si>
  <si>
    <t>21.6</t>
  </si>
  <si>
    <t>21</t>
  </si>
  <si>
    <t>22</t>
  </si>
  <si>
    <t>Capítol</t>
  </si>
  <si>
    <t>LOCAL 22: TEATRE GREG</t>
  </si>
  <si>
    <t>22.1</t>
  </si>
  <si>
    <t>Capítol</t>
  </si>
  <si>
    <t>Actuacions previes</t>
  </si>
  <si>
    <t>00.03</t>
  </si>
  <si>
    <t>Partida</t>
  </si>
  <si>
    <t>u</t>
  </si>
  <si>
    <t>Verificació de la ubicació de la CGPM i el seu estat.</t>
  </si>
  <si>
    <t>00.05</t>
  </si>
  <si>
    <t>Partida</t>
  </si>
  <si>
    <t>PA</t>
  </si>
  <si>
    <t>Partida alçada de de comprovació de la posta a terra i aïllmanets.</t>
  </si>
  <si>
    <t>22.1</t>
  </si>
  <si>
    <t>22.2</t>
  </si>
  <si>
    <t>Capítol</t>
  </si>
  <si>
    <t>Conjunt de mesura i quadre de distribució</t>
  </si>
  <si>
    <t>22.2.1</t>
  </si>
  <si>
    <t>Partida</t>
  </si>
  <si>
    <t>u</t>
  </si>
  <si>
    <t>Quadre General de baixa tensió</t>
  </si>
  <si>
    <t>22.2</t>
  </si>
  <si>
    <t>22.6</t>
  </si>
  <si>
    <t>Capítol</t>
  </si>
  <si>
    <t>Certificat de la instal·lació i registre a Indústria</t>
  </si>
  <si>
    <t>12.02</t>
  </si>
  <si>
    <t>Partida</t>
  </si>
  <si>
    <t>u</t>
  </si>
  <si>
    <t>Certificat de la instal·lació de baixa tensió en edifici i registre a Indústria</t>
  </si>
  <si>
    <t>22.6</t>
  </si>
  <si>
    <t>22</t>
  </si>
  <si>
    <t>23</t>
  </si>
  <si>
    <t>Capítol</t>
  </si>
  <si>
    <t>LOCAL 23: PARC DE CARLES I</t>
  </si>
  <si>
    <t>23.1</t>
  </si>
  <si>
    <t>Capítol</t>
  </si>
  <si>
    <t>Actuacions previes</t>
  </si>
  <si>
    <t>00.01</t>
  </si>
  <si>
    <t>Partida</t>
  </si>
  <si>
    <t>u</t>
  </si>
  <si>
    <t>Partida alçada de treballs previs per la identificació de circuits elèctrics</t>
  </si>
  <si>
    <t>00.02</t>
  </si>
  <si>
    <t>Partida</t>
  </si>
  <si>
    <t>u</t>
  </si>
  <si>
    <t>Partida alçada de treballs previs per la retirada de les instal·lacions d'electricitat i enllumenat obsoletes</t>
  </si>
  <si>
    <t>00.05</t>
  </si>
  <si>
    <t>Partida</t>
  </si>
  <si>
    <t>PA</t>
  </si>
  <si>
    <t>Partida alçada de de comprovació de la posta a terra i aïllmanets.</t>
  </si>
  <si>
    <t>23.1</t>
  </si>
  <si>
    <t>23.2</t>
  </si>
  <si>
    <t>Capítol</t>
  </si>
  <si>
    <t>Conjunt de mesura i quadre de distribució</t>
  </si>
  <si>
    <t>23.2.1</t>
  </si>
  <si>
    <t>Partida</t>
  </si>
  <si>
    <t>u</t>
  </si>
  <si>
    <t>Quadre General de baixa tensió</t>
  </si>
  <si>
    <t>23.2</t>
  </si>
  <si>
    <t>23.3</t>
  </si>
  <si>
    <t>Capítol</t>
  </si>
  <si>
    <t>Línies elèctriques i canalització</t>
  </si>
  <si>
    <t>00.02bbb</t>
  </si>
  <si>
    <t>Partida</t>
  </si>
  <si>
    <t>u</t>
  </si>
  <si>
    <t>Petit material elèctric (tapes de caixes de connexions, corbes, etc.) per a deixar la instal·lació elèctrica existent en òptimes condicions</t>
  </si>
  <si>
    <t>PG35-DYD4</t>
  </si>
  <si>
    <t>Partida</t>
  </si>
  <si>
    <t>m</t>
  </si>
  <si>
    <t>Cable amb conductor de coure de tensió assignada inferior o igual a 450/750 V, de designació H07V-K, construcció segons norma UNE-EN 50525-2-31, unipolar, de secció 1x1,5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</si>
  <si>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</si>
  <si>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</si>
  <si>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</si>
  <si>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</si>
  <si>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</si>
  <si>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</si>
  <si>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nova linia d'enllumenat</t>
  </si>
  <si>
    <t>nova linia d'enllumenat d'emergencia</t>
  </si>
  <si>
    <t>programador reg</t>
  </si>
  <si>
    <t>PG35-DYD9</t>
  </si>
  <si>
    <t>Partida</t>
  </si>
  <si>
    <t>m</t>
  </si>
  <si>
    <t>Cable amb conductor de coure de tensió assignada inferior o igual a 450/750 V, de designació H07V-K, construcció segons norma UNE-EN 50525-2-31, unipolar, de secció 1x2,5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</si>
  <si>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</si>
  <si>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</si>
  <si>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</si>
  <si>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</si>
  <si>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</si>
  <si>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</si>
  <si>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endolls varis</t>
  </si>
  <si>
    <t>endolls bany</t>
  </si>
  <si>
    <t>endoll termos</t>
  </si>
  <si>
    <t>endolls estufa</t>
  </si>
  <si>
    <t>PG2P-6SZ6</t>
  </si>
  <si>
    <t>Partida</t>
  </si>
  <si>
    <t>m</t>
  </si>
  <si>
    <t>Tub rígid PVC,DN=20mm,impacte=2J,resist.compress.=1250N,unió endollada+munt.superf.</t>
  </si>
  <si>
    <t>Uts.</t>
  </si>
  <si>
    <t>Llargada</t>
  </si>
  <si>
    <t>Amplada</t>
  </si>
  <si>
    <t>Alçada</t>
  </si>
  <si>
    <t>Parcial</t>
  </si>
  <si>
    <t>Subtotal</t>
  </si>
  <si>
    <t>nova linia d'enllumenat</t>
  </si>
  <si>
    <t>nova linia d'enllumenat d'emergencia</t>
  </si>
  <si>
    <t>programador reg</t>
  </si>
  <si>
    <t>endolls varis</t>
  </si>
  <si>
    <t>endolls bany</t>
  </si>
  <si>
    <t>endoll termos</t>
  </si>
  <si>
    <t>endolls estufa</t>
  </si>
  <si>
    <t>PG2P-6SZ7</t>
  </si>
  <si>
    <t>Partida</t>
  </si>
  <si>
    <t>m</t>
  </si>
  <si>
    <t>Tub rígid PVC,DN=25mm,impacte=2J,resist.compress.=1250N,unió endollada+munt.superf.</t>
  </si>
  <si>
    <t>23.3</t>
  </si>
  <si>
    <t>23.4</t>
  </si>
  <si>
    <t>Capítol</t>
  </si>
  <si>
    <t>Mecanismes</t>
  </si>
  <si>
    <t>PG6H-CUJQ</t>
  </si>
  <si>
    <t>Partida</t>
  </si>
  <si>
    <t>u</t>
  </si>
  <si>
    <t>Kit mecanismes,1 element,1 base endoll,+caixa, marc i bastidor,superfcicial tipus IP55</t>
  </si>
  <si>
    <t>PG6H-CUIP</t>
  </si>
  <si>
    <t>Partida</t>
  </si>
  <si>
    <t>u</t>
  </si>
  <si>
    <t>Kit mecanismes,2 elements,2 bases endoll,+caixa, marc i bastidor,superfcicial tipus IP55</t>
  </si>
  <si>
    <t>PG6H-CUJL</t>
  </si>
  <si>
    <t>Partida</t>
  </si>
  <si>
    <t>u</t>
  </si>
  <si>
    <t>Kit mecanismes,3 elements,3 bases endoll,+caixa, marc i bastidor,encastat, tipus superficial</t>
  </si>
  <si>
    <t>02.06b</t>
  </si>
  <si>
    <t>Partida</t>
  </si>
  <si>
    <t>u</t>
  </si>
  <si>
    <t>Electrificació de força per a kit de mecanismes de 1, 2 o 3 preses de corrent</t>
  </si>
  <si>
    <t>PG6H-CUJNb</t>
  </si>
  <si>
    <t>Partida</t>
  </si>
  <si>
    <t>u</t>
  </si>
  <si>
    <t>Kit mecanismes,1 element,1 interruptor,+caixa, marc i bastidor,superficial</t>
  </si>
  <si>
    <t>PG6H-CUJNbb</t>
  </si>
  <si>
    <t>Partida</t>
  </si>
  <si>
    <t>u</t>
  </si>
  <si>
    <t>Kit mecanismes,2 elements,2 interruptor,+caixa, marc i bastidor,superficial</t>
  </si>
  <si>
    <t>02.09b</t>
  </si>
  <si>
    <t>Partida</t>
  </si>
  <si>
    <t>u</t>
  </si>
  <si>
    <t>Electrificació per a mecanisme interruptor/polsador/commut/detector, 1 línea</t>
  </si>
  <si>
    <t>23.4</t>
  </si>
  <si>
    <t>23.5</t>
  </si>
  <si>
    <t>Capítol</t>
  </si>
  <si>
    <t>Enllumenat</t>
  </si>
  <si>
    <t>EH2LAR02</t>
  </si>
  <si>
    <t>Partida</t>
  </si>
  <si>
    <t>u</t>
  </si>
  <si>
    <t>Downlight 16W IP20</t>
  </si>
  <si>
    <t>PHUL-HCV1</t>
  </si>
  <si>
    <t>Partida</t>
  </si>
  <si>
    <t>u</t>
  </si>
  <si>
    <t>Substitució T8/36W/1200 p/tub led 20W,230V,L=1200mm,G13,&gt;1600lm,4000/6500K,Ra&gt;80</t>
  </si>
  <si>
    <t>PHUL-HCV0</t>
  </si>
  <si>
    <t>Partida</t>
  </si>
  <si>
    <t>u</t>
  </si>
  <si>
    <t>Substitució T8/18W/600 p/tub led 8W,230V,L=600mm,G13,&gt;800lm,4000/6500K,Ra&gt;80</t>
  </si>
  <si>
    <t>EH61RC4A</t>
  </si>
  <si>
    <t>Partida</t>
  </si>
  <si>
    <t>u</t>
  </si>
  <si>
    <t>Llum emerg.led,no permanent,IP4X,classe II,70-100lúmens,auton&lt; 1h, ,forma rect.,policarbon.,preu alt, col.encastat</t>
  </si>
  <si>
    <t>03.04</t>
  </si>
  <si>
    <t>Partida</t>
  </si>
  <si>
    <t>u</t>
  </si>
  <si>
    <t>Electrificació de lluminaria emergencia autònoma</t>
  </si>
  <si>
    <t>23.5</t>
  </si>
  <si>
    <t>23.6</t>
  </si>
  <si>
    <t>Capítol</t>
  </si>
  <si>
    <t>Certificat de la instal·lació i registre a Indústria</t>
  </si>
  <si>
    <t>12.02b</t>
  </si>
  <si>
    <t>Partida</t>
  </si>
  <si>
    <t>u</t>
  </si>
  <si>
    <t>Certificat de la instal·lació de baixa tensió en edifici i registre a Indústria</t>
  </si>
  <si>
    <t>23.6</t>
  </si>
  <si>
    <t>23</t>
  </si>
  <si>
    <t>24</t>
  </si>
  <si>
    <t>Capítol</t>
  </si>
  <si>
    <t>LOCAL 24: PARC DE DE LA CIUTADELLA</t>
  </si>
  <si>
    <t>24.1</t>
  </si>
  <si>
    <t>Capítol</t>
  </si>
  <si>
    <t>Actuacions previes</t>
  </si>
  <si>
    <t>00.01</t>
  </si>
  <si>
    <t>Partida</t>
  </si>
  <si>
    <t>u</t>
  </si>
  <si>
    <t>Partida alçada de treballs previs per la identificació de circuits elèctrics</t>
  </si>
  <si>
    <t>00.02</t>
  </si>
  <si>
    <t>Partida</t>
  </si>
  <si>
    <t>u</t>
  </si>
  <si>
    <t>Partida alçada de treballs previs per la retirada de les instal·lacions d'electricitat i enllumenat obsoletes</t>
  </si>
  <si>
    <t>00.05</t>
  </si>
  <si>
    <t>Partida</t>
  </si>
  <si>
    <t>PA</t>
  </si>
  <si>
    <t>Partida alçada de de comprovació de la posta a terra i aïllmanets.</t>
  </si>
  <si>
    <t>24.1</t>
  </si>
  <si>
    <t>24.2</t>
  </si>
  <si>
    <t>Capítol</t>
  </si>
  <si>
    <t>Conjunt de mesura i quadre de distribució</t>
  </si>
  <si>
    <t>24.2.1</t>
  </si>
  <si>
    <t>Partida</t>
  </si>
  <si>
    <t>u</t>
  </si>
  <si>
    <t>Quadre General de baixa tensió</t>
  </si>
  <si>
    <t>24.2</t>
  </si>
  <si>
    <t>24.3</t>
  </si>
  <si>
    <t>Capítol</t>
  </si>
  <si>
    <t>Línies elèctriques i canalització</t>
  </si>
  <si>
    <t>00.02bbb</t>
  </si>
  <si>
    <t>Partida</t>
  </si>
  <si>
    <t>u</t>
  </si>
  <si>
    <t>Petit material elèctric (tapes de caixes de connexions, corbes, etc.) per a deixar la instal·lació elèctrica existent en òptimes condicions</t>
  </si>
  <si>
    <t>PG35-DYD9</t>
  </si>
  <si>
    <t>Partida</t>
  </si>
  <si>
    <t>m</t>
  </si>
  <si>
    <t>Cable amb conductor de coure de tensió assignada inferior o igual a 450/750 V, de designació H07V-K, construcció segons norma UNE-EN 50525-2-31, unipolar, de secció 1x2,5 mm2, amb aïllament de PVC, classe de reacció al foc Eca segons la norma UNE-EN 50575,col.tub</t>
  </si>
  <si>
    <t>Uts.</t>
  </si>
  <si>
    <t>Llargada</t>
  </si>
  <si>
    <t>Amplada</t>
  </si>
  <si>
    <t>Alçada</t>
  </si>
  <si>
    <t>Parcial</t>
  </si>
  <si>
    <t>Subtotal</t>
  </si>
  <si>
    <t>nova linia estufes vestuari homes 1</t>
  </si>
  <si>
    <t>nova linia estufes vestuari homes 2</t>
  </si>
  <si>
    <t>nova linia estufes vestuari dones</t>
  </si>
  <si>
    <t>nova linia estufes menjador</t>
  </si>
  <si>
    <t>nova linia estufes despatx</t>
  </si>
  <si>
    <t>PG2P-6SZ6</t>
  </si>
  <si>
    <t>Partida</t>
  </si>
  <si>
    <t>m</t>
  </si>
  <si>
    <t>Tub rígid PVC,DN=20mm,impacte=2J,resist.compress.=1250N,unió endollada+munt.superf.</t>
  </si>
  <si>
    <t>Uts.</t>
  </si>
  <si>
    <t>Llargada</t>
  </si>
  <si>
    <t>Amplada</t>
  </si>
  <si>
    <t>Alçada</t>
  </si>
  <si>
    <t>Parcial</t>
  </si>
  <si>
    <t>Subtotal</t>
  </si>
  <si>
    <t>nova linia estufes vestuari homes 1</t>
  </si>
  <si>
    <t>nova linia estufes vestuari homes 2</t>
  </si>
  <si>
    <t>nova linia endolls vestuari dones</t>
  </si>
  <si>
    <t>24.3</t>
  </si>
  <si>
    <t>24.4</t>
  </si>
  <si>
    <t>Capítol</t>
  </si>
  <si>
    <t>Mecanismes</t>
  </si>
  <si>
    <t>PG6H-CUJQ</t>
  </si>
  <si>
    <t>Partida</t>
  </si>
  <si>
    <t>u</t>
  </si>
  <si>
    <t>Kit mecanismes,1 element,1 base endoll,+caixa, marc i bastidor,superfcicial tipus IP55</t>
  </si>
  <si>
    <t>Uts.</t>
  </si>
  <si>
    <t>Llargada</t>
  </si>
  <si>
    <t>Amplada</t>
  </si>
  <si>
    <t>Alçada</t>
  </si>
  <si>
    <t>Parcial</t>
  </si>
  <si>
    <t>Subtotal</t>
  </si>
  <si>
    <t>vestuari dones</t>
  </si>
  <si>
    <t>vestuari homes</t>
  </si>
  <si>
    <t>despatx</t>
  </si>
  <si>
    <t>menjador</t>
  </si>
  <si>
    <t>PG6H-CUIP</t>
  </si>
  <si>
    <t>Partida</t>
  </si>
  <si>
    <t>u</t>
  </si>
  <si>
    <t>Kit mecanismes,2 elements,2 bases endoll,+caixa, marc i bastidor,superfcicial tipus IP55</t>
  </si>
  <si>
    <t>Uts.</t>
  </si>
  <si>
    <t>Llargada</t>
  </si>
  <si>
    <t>Amplada</t>
  </si>
  <si>
    <t>Alçada</t>
  </si>
  <si>
    <t>Parcial</t>
  </si>
  <si>
    <t>Subtotal</t>
  </si>
  <si>
    <t>menjador</t>
  </si>
  <si>
    <t>despatx</t>
  </si>
  <si>
    <t>PG6H-CUJL</t>
  </si>
  <si>
    <t>Partida</t>
  </si>
  <si>
    <t>u</t>
  </si>
  <si>
    <t>Kit mecanismes,3 elements,3 bases endoll,+caixa, marc i bastidor,encastat, tipus superficial</t>
  </si>
  <si>
    <t>Uts.</t>
  </si>
  <si>
    <t>Llargada</t>
  </si>
  <si>
    <t>Amplada</t>
  </si>
  <si>
    <t>Alçada</t>
  </si>
  <si>
    <t>Parcial</t>
  </si>
  <si>
    <t>Subtotal</t>
  </si>
  <si>
    <t>despatx</t>
  </si>
  <si>
    <t>02.06b</t>
  </si>
  <si>
    <t>Partida</t>
  </si>
  <si>
    <t>u</t>
  </si>
  <si>
    <t>Electrificació de força per a kit de mecanismes de 1, 2 o 3 preses de corrent</t>
  </si>
  <si>
    <t>02.09b</t>
  </si>
  <si>
    <t>Partida</t>
  </si>
  <si>
    <t>u</t>
  </si>
  <si>
    <t>Electrificació per a mecanisme interruptor/polsador/commut/detector, 1 línea</t>
  </si>
  <si>
    <t>24.4</t>
  </si>
  <si>
    <t>24.5</t>
  </si>
  <si>
    <t>Capítol</t>
  </si>
  <si>
    <t>Enllumenat</t>
  </si>
  <si>
    <t>EH2LAR02</t>
  </si>
  <si>
    <t>Partida</t>
  </si>
  <si>
    <t>u</t>
  </si>
  <si>
    <t>Downlight 16W IP20</t>
  </si>
  <si>
    <t>PHUL-HCV1</t>
  </si>
  <si>
    <t>Partida</t>
  </si>
  <si>
    <t>u</t>
  </si>
  <si>
    <t>Substitució T8/36W/1200 p/tub led 20W,230V,L=1200mm,G13,&gt;1600lm,4000/6500K,Ra&gt;80</t>
  </si>
  <si>
    <t>PHUL-HCV0</t>
  </si>
  <si>
    <t>Partida</t>
  </si>
  <si>
    <t>u</t>
  </si>
  <si>
    <t>Substitució T8/18W/600 p/tub led 8W,230V,L=600mm,G13,&gt;800lm,4000/6500K,Ra&gt;80</t>
  </si>
  <si>
    <t>24.5</t>
  </si>
  <si>
    <t>24.6</t>
  </si>
  <si>
    <t>Capítol</t>
  </si>
  <si>
    <t>Certificat de la instal·lació i registre a Indústria</t>
  </si>
  <si>
    <t>12.02b</t>
  </si>
  <si>
    <t>Partida</t>
  </si>
  <si>
    <t>u</t>
  </si>
  <si>
    <t>Certificat de la instal·lació de baixa tensió en edifici i registre a Indústria</t>
  </si>
  <si>
    <t>24.6</t>
  </si>
  <si>
    <t>24</t>
  </si>
  <si>
    <t>PPT_PARCS I JARDINS_2023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</si>
</sst>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7" x14ac:knownFonts="1">
    <font>
      <sz val="12"/>
      <color rgb="FF000000"/>
      <name val="Verdana"/>
      <family val="2"/>
    </font>
    <font>
      <b/>
      <sz val="9.9499999999999993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808080"/>
      <name val="Arial"/>
      <family val="2"/>
    </font>
    <font>
      <sz val="8"/>
      <color rgb="FF1010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FFFBF"/>
      </patternFill>
    </fill>
    <fill>
      <patternFill patternType="solid">
        <fgColor rgb="FF269900"/>
      </patternFill>
    </fill>
    <fill>
      <patternFill patternType="solid">
        <fgColor rgb="FF3FB219"/>
      </patternFill>
    </fill>
    <fill>
      <patternFill patternType="solid">
        <fgColor rgb="FF58CB32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808080"/>
      </bottom>
      <diagonal/>
    </border>
    <border>
      <left/>
      <right/>
      <top style="thin">
        <color rgb="FF80808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 applyAlignment="1">
      <alignment horizontal="left" vertical="center"/>
    </xf>
    <xf numFmtId="0" fontId="1" fillId="2" borderId="0" xfId="0" applyFont="1" applyFill="1" applyAlignment="1">
      <alignment horizontal="right" vertical="top" wrapText="1"/>
    </xf>
    <xf numFmtId="0" fontId="0" fillId="2" borderId="0" xfId="0" applyFill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2" fillId="2" borderId="0" xfId="0" applyFont="1" applyFill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0" fontId="4" fillId="3" borderId="2" xfId="0" applyFont="1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4" fontId="4" fillId="3" borderId="2" xfId="0" applyNumberFormat="1" applyFont="1" applyFill="1" applyBorder="1" applyAlignment="1">
      <alignment horizontal="right" vertical="top" wrapText="1"/>
    </xf>
    <xf numFmtId="0" fontId="4" fillId="4" borderId="0" xfId="0" applyFont="1" applyFill="1" applyAlignment="1">
      <alignment horizontal="left" vertical="top" wrapText="1"/>
    </xf>
    <xf numFmtId="0" fontId="0" fillId="4" borderId="0" xfId="0" applyFill="1" applyAlignment="1">
      <alignment horizontal="left" vertical="top" wrapText="1"/>
    </xf>
    <xf numFmtId="4" fontId="4" fillId="4" borderId="0" xfId="0" applyNumberFormat="1" applyFont="1" applyFill="1" applyAlignment="1">
      <alignment horizontal="right" vertical="top" wrapText="1"/>
    </xf>
    <xf numFmtId="0" fontId="4" fillId="5" borderId="0" xfId="0" applyFont="1" applyFill="1" applyAlignment="1">
      <alignment horizontal="left" vertical="top" wrapText="1"/>
    </xf>
    <xf numFmtId="0" fontId="0" fillId="5" borderId="0" xfId="0" applyFill="1" applyAlignment="1">
      <alignment horizontal="left" vertical="top" wrapText="1"/>
    </xf>
    <xf numFmtId="4" fontId="4" fillId="5" borderId="0" xfId="0" applyNumberFormat="1" applyFont="1" applyFill="1" applyAlignment="1">
      <alignment horizontal="right" vertical="top" wrapText="1"/>
    </xf>
    <xf numFmtId="164" fontId="2" fillId="0" borderId="0" xfId="0" applyNumberFormat="1" applyFont="1" applyAlignment="1">
      <alignment horizontal="right" vertical="top" wrapText="1"/>
    </xf>
    <xf numFmtId="4" fontId="2" fillId="0" borderId="0" xfId="0" applyNumberFormat="1" applyFont="1" applyAlignment="1">
      <alignment horizontal="right" vertical="top" wrapText="1"/>
    </xf>
    <xf numFmtId="0" fontId="0" fillId="0" borderId="1" xfId="0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4" fontId="4" fillId="5" borderId="1" xfId="0" applyNumberFormat="1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4" fontId="4" fillId="5" borderId="2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right" vertical="top" wrapText="1"/>
    </xf>
    <xf numFmtId="164" fontId="2" fillId="0" borderId="4" xfId="0" applyNumberFormat="1" applyFont="1" applyBorder="1" applyAlignment="1">
      <alignment horizontal="right" vertical="top" wrapText="1"/>
    </xf>
    <xf numFmtId="164" fontId="5" fillId="0" borderId="0" xfId="0" applyNumberFormat="1" applyFont="1" applyAlignment="1">
      <alignment horizontal="right" vertical="top" wrapText="1"/>
    </xf>
    <xf numFmtId="164" fontId="5" fillId="0" borderId="4" xfId="0" applyNumberFormat="1" applyFont="1" applyBorder="1" applyAlignment="1">
      <alignment horizontal="right" vertical="top" wrapText="1"/>
    </xf>
    <xf numFmtId="164" fontId="6" fillId="0" borderId="0" xfId="0" applyNumberFormat="1" applyFont="1" applyAlignment="1">
      <alignment horizontal="right" vertical="top" wrapText="1"/>
    </xf>
    <xf numFmtId="164" fontId="6" fillId="0" borderId="4" xfId="0" applyNumberFormat="1" applyFont="1" applyBorder="1" applyAlignment="1">
      <alignment horizontal="right" vertical="top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4" borderId="5" xfId="0" applyFont="1" applyFill="1" applyBorder="1" applyAlignment="1">
      <alignment horizontal="left" vertical="top" wrapText="1"/>
    </xf>
    <xf numFmtId="0" fontId="0" fillId="4" borderId="5" xfId="0" applyFill="1" applyBorder="1" applyAlignment="1">
      <alignment horizontal="left" vertical="top" wrapText="1"/>
    </xf>
    <xf numFmtId="4" fontId="4" fillId="4" borderId="5" xfId="0" applyNumberFormat="1" applyFont="1" applyFill="1" applyBorder="1" applyAlignment="1">
      <alignment horizontal="right" vertical="top" wrapText="1"/>
    </xf>
    <xf numFmtId="0" fontId="4" fillId="4" borderId="2" xfId="0" applyFont="1" applyFill="1" applyBorder="1" applyAlignment="1">
      <alignment horizontal="left" vertical="top" wrapText="1"/>
    </xf>
    <xf numFmtId="0" fontId="0" fillId="4" borderId="2" xfId="0" applyFill="1" applyBorder="1" applyAlignment="1">
      <alignment horizontal="left" vertical="top" wrapText="1"/>
    </xf>
    <xf numFmtId="4" fontId="4" fillId="4" borderId="2" xfId="0" applyNumberFormat="1" applyFont="1" applyFill="1" applyBorder="1" applyAlignment="1">
      <alignment horizontal="right" vertical="top" wrapText="1"/>
    </xf>
    <xf numFmtId="0" fontId="4" fillId="3" borderId="5" xfId="0" applyFont="1" applyFill="1" applyBorder="1" applyAlignment="1">
      <alignment horizontal="left" vertical="top" wrapText="1"/>
    </xf>
    <xf numFmtId="0" fontId="0" fillId="3" borderId="5" xfId="0" applyFill="1" applyBorder="1" applyAlignment="1">
      <alignment horizontal="left" vertical="top" wrapText="1"/>
    </xf>
    <xf numFmtId="4" fontId="4" fillId="3" borderId="5" xfId="0" applyNumberFormat="1" applyFont="1" applyFill="1" applyBorder="1" applyAlignment="1">
      <alignment horizontal="right" vertical="top" wrapText="1"/>
    </xf>
    <xf numFmtId="0" fontId="2" fillId="0" borderId="0" xfId="0" applyFont="1" applyAlignment="1">
      <alignment horizontal="justify" vertical="top" wrapText="1"/>
    </xf>
    <xf numFmtId="0" fontId="4" fillId="5" borderId="2" xfId="0" applyFont="1" applyFill="1" applyBorder="1" applyAlignment="1">
      <alignment horizontal="justify" vertical="top" wrapText="1"/>
    </xf>
    <xf numFmtId="0" fontId="4" fillId="4" borderId="2" xfId="0" applyFont="1" applyFill="1" applyBorder="1" applyAlignment="1">
      <alignment horizontal="justify" vertical="top" wrapText="1"/>
    </xf>
    <xf numFmtId="0" fontId="4" fillId="5" borderId="0" xfId="0" applyFont="1" applyFill="1" applyAlignment="1">
      <alignment horizontal="justify" vertical="top" wrapText="1"/>
    </xf>
    <xf numFmtId="0" fontId="1" fillId="2" borderId="0" xfId="0" applyFont="1" applyFill="1" applyAlignment="1">
      <alignment horizontal="left" vertical="top" wrapText="1"/>
    </xf>
    <xf numFmtId="0" fontId="4" fillId="3" borderId="2" xfId="0" applyFont="1" applyFill="1" applyBorder="1" applyAlignment="1">
      <alignment horizontal="justify" vertical="top" wrapText="1"/>
    </xf>
    <xf numFmtId="0" fontId="4" fillId="4" borderId="0" xfId="0" applyFont="1" applyFill="1" applyAlignment="1">
      <alignment horizontal="justify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9"/>
  <sheetViews>
    <sheetView tabSelected="1" workbookViewId="0"/>
  </sheetViews>
  <sheetFormatPr defaultColWidth="10.6640625" defaultRowHeight="15" x14ac:dyDescent="0.3"/>
  <cols>
    <col min="1" max="1" width="7.46484375" customWidth="1"/>
    <col min="2" max="2" width="6.53125" customWidth="1"/>
    <col min="3" max="3" width="3.06640625" customWidth="1"/>
    <col min="4" max="4" width="17.73046875" customWidth="1"/>
    <col min="5" max="5" width="10.33203125" customWidth="1"/>
    <col min="6" max="6" width="5.59765625" customWidth="1"/>
    <col min="7" max="7" width="5.53125" customWidth="1"/>
    <col min="8" max="8" width="5.73046875" customWidth="1"/>
    <col min="9" max="9" width="4.9296875" customWidth="1"/>
    <col min="10" max="10" width="6.19921875" customWidth="1"/>
    <col min="11" max="11" width="8.19921875" customWidth="1"/>
    <col min="12" max="12" width="8.06640625" customWidth="1"/>
    <col min="13" max="13" width="8.19921875" customWidth="1"/>
  </cols>
  <sheetData>
    <row r="1" spans="1:13" ht="17.899999999999999" customHeight="1" thickBot="1" x14ac:dyDescent="0.35">
      <c r="A1" s="1" t="s">
        <v>0</v>
      </c>
      <c r="B1" s="56" t="s">
        <v>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ht="17.899999999999999" customHeight="1" thickBot="1" x14ac:dyDescent="0.35">
      <c r="A2" s="56" t="s">
        <v>2</v>
      </c>
      <c r="B2" s="56"/>
      <c r="C2" s="56"/>
      <c r="D2" s="2"/>
      <c r="E2" s="2"/>
      <c r="F2" s="2"/>
      <c r="G2" s="2"/>
      <c r="H2" s="2"/>
      <c r="I2" s="2"/>
      <c r="J2" s="2"/>
      <c r="K2" s="2"/>
      <c r="L2" s="4" t="s">
        <v>3</v>
      </c>
      <c r="M2" s="6">
        <v>3</v>
      </c>
    </row>
    <row r="3" spans="1:13" ht="16.649999999999999" customHeight="1" thickBot="1" x14ac:dyDescent="0.35">
      <c r="A3" s="7" t="s">
        <v>4</v>
      </c>
      <c r="B3" s="7" t="s">
        <v>5</v>
      </c>
      <c r="C3" s="7" t="s">
        <v>6</v>
      </c>
      <c r="D3" s="7" t="s">
        <v>7</v>
      </c>
      <c r="E3" s="8"/>
      <c r="F3" s="8"/>
      <c r="G3" s="8"/>
      <c r="H3" s="8"/>
      <c r="I3" s="8"/>
      <c r="J3" s="8"/>
      <c r="K3" s="9" t="s">
        <v>8</v>
      </c>
      <c r="L3" s="9" t="s">
        <v>9</v>
      </c>
      <c r="M3" s="9" t="s">
        <v>10</v>
      </c>
    </row>
    <row r="4" spans="1:13" ht="44.4" customHeight="1" thickBot="1" x14ac:dyDescent="0.35">
      <c r="A4" s="11" t="s">
        <v>11</v>
      </c>
      <c r="B4" s="11" t="s">
        <v>12</v>
      </c>
      <c r="C4" s="12"/>
      <c r="D4" s="57" t="s">
        <v>13</v>
      </c>
      <c r="E4" s="57"/>
      <c r="F4" s="57"/>
      <c r="G4" s="57"/>
      <c r="H4" s="57"/>
      <c r="I4" s="57"/>
      <c r="J4" s="57"/>
      <c r="K4" s="12"/>
      <c r="L4" s="13">
        <f>L889</f>
        <v>74235.23</v>
      </c>
      <c r="M4" s="13">
        <f>ROUND(L4,2)</f>
        <v>74235.23</v>
      </c>
    </row>
    <row r="5" spans="1:13" ht="15.5" customHeight="1" thickBot="1" x14ac:dyDescent="0.35">
      <c r="A5" s="14" t="s">
        <v>14</v>
      </c>
      <c r="B5" s="14" t="s">
        <v>15</v>
      </c>
      <c r="C5" s="15"/>
      <c r="D5" s="58" t="s">
        <v>16</v>
      </c>
      <c r="E5" s="58"/>
      <c r="F5" s="58"/>
      <c r="G5" s="58"/>
      <c r="H5" s="58"/>
      <c r="I5" s="58"/>
      <c r="J5" s="58"/>
      <c r="K5" s="15"/>
      <c r="L5" s="16">
        <f>L49</f>
        <v>3123.7500000000005</v>
      </c>
      <c r="M5" s="16">
        <f>ROUND(L5,2)</f>
        <v>3123.75</v>
      </c>
    </row>
    <row r="6" spans="1:13" ht="15.5" customHeight="1" thickBot="1" x14ac:dyDescent="0.35">
      <c r="A6" s="17" t="s">
        <v>17</v>
      </c>
      <c r="B6" s="17" t="s">
        <v>18</v>
      </c>
      <c r="C6" s="18"/>
      <c r="D6" s="55" t="s">
        <v>19</v>
      </c>
      <c r="E6" s="55"/>
      <c r="F6" s="55"/>
      <c r="G6" s="55"/>
      <c r="H6" s="55"/>
      <c r="I6" s="55"/>
      <c r="J6" s="55"/>
      <c r="K6" s="18"/>
      <c r="L6" s="19">
        <f>L10</f>
        <v>700</v>
      </c>
      <c r="M6" s="19">
        <f>ROUND(L6,2)</f>
        <v>700</v>
      </c>
    </row>
    <row r="7" spans="1:13" ht="15.5" customHeight="1" thickBot="1" x14ac:dyDescent="0.35">
      <c r="A7" s="10" t="s">
        <v>20</v>
      </c>
      <c r="B7" s="5" t="s">
        <v>21</v>
      </c>
      <c r="C7" s="5" t="s">
        <v>22</v>
      </c>
      <c r="D7" s="52" t="s">
        <v>23</v>
      </c>
      <c r="E7" s="52"/>
      <c r="F7" s="52"/>
      <c r="G7" s="52"/>
      <c r="H7" s="52"/>
      <c r="I7" s="52"/>
      <c r="J7" s="52"/>
      <c r="K7" s="20">
        <f>ROUND(1,2)</f>
        <v>1</v>
      </c>
      <c r="L7" s="21">
        <f>ROUND(242.718*(1+M2/100),2)</f>
        <v>250</v>
      </c>
      <c r="M7" s="21">
        <f>ROUND(K7*L7,2)</f>
        <v>250</v>
      </c>
    </row>
    <row r="8" spans="1:13" ht="15.5" customHeight="1" thickBot="1" x14ac:dyDescent="0.35">
      <c r="A8" s="10" t="s">
        <v>24</v>
      </c>
      <c r="B8" s="5" t="s">
        <v>25</v>
      </c>
      <c r="C8" s="5" t="s">
        <v>26</v>
      </c>
      <c r="D8" s="52" t="s">
        <v>27</v>
      </c>
      <c r="E8" s="52"/>
      <c r="F8" s="52"/>
      <c r="G8" s="52"/>
      <c r="H8" s="52"/>
      <c r="I8" s="52"/>
      <c r="J8" s="52"/>
      <c r="K8" s="20">
        <f>ROUND(1,2)</f>
        <v>1</v>
      </c>
      <c r="L8" s="21">
        <f>ROUND(194.175*(1+M2/100),2)</f>
        <v>200</v>
      </c>
      <c r="M8" s="21">
        <f>ROUND(K8*L8,2)</f>
        <v>200</v>
      </c>
    </row>
    <row r="9" spans="1:13" ht="15.5" customHeight="1" thickBot="1" x14ac:dyDescent="0.35">
      <c r="A9" s="10" t="s">
        <v>28</v>
      </c>
      <c r="B9" s="5" t="s">
        <v>29</v>
      </c>
      <c r="C9" s="5" t="s">
        <v>30</v>
      </c>
      <c r="D9" s="52" t="s">
        <v>31</v>
      </c>
      <c r="E9" s="52"/>
      <c r="F9" s="52"/>
      <c r="G9" s="52"/>
      <c r="H9" s="52"/>
      <c r="I9" s="52"/>
      <c r="J9" s="52"/>
      <c r="K9" s="20">
        <f>ROUND(1,2)</f>
        <v>1</v>
      </c>
      <c r="L9" s="21">
        <f>ROUND(242.718*(1+M2/100),2)</f>
        <v>250</v>
      </c>
      <c r="M9" s="21">
        <f>ROUND(K9*L9,2)</f>
        <v>250</v>
      </c>
    </row>
    <row r="10" spans="1:13" ht="15.5" customHeight="1" thickBot="1" x14ac:dyDescent="0.35">
      <c r="A10" s="22"/>
      <c r="B10" s="22"/>
      <c r="C10" s="22"/>
      <c r="D10" s="23" t="s">
        <v>32</v>
      </c>
      <c r="E10" s="24"/>
      <c r="F10" s="24"/>
      <c r="G10" s="24"/>
      <c r="H10" s="24"/>
      <c r="I10" s="24"/>
      <c r="J10" s="24"/>
      <c r="K10" s="24"/>
      <c r="L10" s="25">
        <f>M7+M8+M9</f>
        <v>700</v>
      </c>
      <c r="M10" s="25">
        <f>ROUND(L10,2)</f>
        <v>700</v>
      </c>
    </row>
    <row r="11" spans="1:13" ht="15.5" customHeight="1" thickBot="1" x14ac:dyDescent="0.35">
      <c r="A11" s="26" t="s">
        <v>33</v>
      </c>
      <c r="B11" s="26" t="s">
        <v>34</v>
      </c>
      <c r="C11" s="27"/>
      <c r="D11" s="53" t="s">
        <v>35</v>
      </c>
      <c r="E11" s="53"/>
      <c r="F11" s="53"/>
      <c r="G11" s="53"/>
      <c r="H11" s="53"/>
      <c r="I11" s="53"/>
      <c r="J11" s="53"/>
      <c r="K11" s="27"/>
      <c r="L11" s="28">
        <f>L14</f>
        <v>1077.42</v>
      </c>
      <c r="M11" s="28">
        <f>ROUND(L11,2)</f>
        <v>1077.42</v>
      </c>
    </row>
    <row r="12" spans="1:13" ht="15.5" customHeight="1" thickBot="1" x14ac:dyDescent="0.35">
      <c r="A12" s="10" t="s">
        <v>36</v>
      </c>
      <c r="B12" s="5" t="s">
        <v>37</v>
      </c>
      <c r="C12" s="5" t="s">
        <v>38</v>
      </c>
      <c r="D12" s="52" t="s">
        <v>39</v>
      </c>
      <c r="E12" s="52"/>
      <c r="F12" s="52"/>
      <c r="G12" s="52"/>
      <c r="H12" s="52"/>
      <c r="I12" s="52"/>
      <c r="J12" s="52"/>
      <c r="K12" s="20">
        <f>ROUND(1,2)</f>
        <v>1</v>
      </c>
      <c r="L12" s="21">
        <f>ROUND(238.41*(1+M2/100),2)</f>
        <v>245.56</v>
      </c>
      <c r="M12" s="21">
        <f>ROUND(K12*L12,2)</f>
        <v>245.56</v>
      </c>
    </row>
    <row r="13" spans="1:13" ht="15.5" customHeight="1" thickBot="1" x14ac:dyDescent="0.35">
      <c r="A13" s="10" t="s">
        <v>40</v>
      </c>
      <c r="B13" s="5" t="s">
        <v>41</v>
      </c>
      <c r="C13" s="5" t="s">
        <v>42</v>
      </c>
      <c r="D13" s="52" t="s">
        <v>43</v>
      </c>
      <c r="E13" s="52"/>
      <c r="F13" s="52"/>
      <c r="G13" s="52"/>
      <c r="H13" s="52"/>
      <c r="I13" s="52"/>
      <c r="J13" s="52"/>
      <c r="K13" s="20">
        <f>ROUND(1,2)</f>
        <v>1</v>
      </c>
      <c r="L13" s="21">
        <f>ROUND(807.63*(1+M2/100),2)</f>
        <v>831.86</v>
      </c>
      <c r="M13" s="21">
        <f>ROUND(K13*L13,2)</f>
        <v>831.86</v>
      </c>
    </row>
    <row r="14" spans="1:13" ht="15.5" customHeight="1" thickBot="1" x14ac:dyDescent="0.35">
      <c r="A14" s="22"/>
      <c r="B14" s="22"/>
      <c r="C14" s="22"/>
      <c r="D14" s="23" t="s">
        <v>44</v>
      </c>
      <c r="E14" s="24"/>
      <c r="F14" s="24"/>
      <c r="G14" s="24"/>
      <c r="H14" s="24"/>
      <c r="I14" s="24"/>
      <c r="J14" s="24"/>
      <c r="K14" s="24"/>
      <c r="L14" s="25">
        <f>M12+M13</f>
        <v>1077.42</v>
      </c>
      <c r="M14" s="25">
        <f>ROUND(L14,2)</f>
        <v>1077.42</v>
      </c>
    </row>
    <row r="15" spans="1:13" ht="15.5" customHeight="1" thickBot="1" x14ac:dyDescent="0.35">
      <c r="A15" s="26" t="s">
        <v>45</v>
      </c>
      <c r="B15" s="26" t="s">
        <v>46</v>
      </c>
      <c r="C15" s="27"/>
      <c r="D15" s="53" t="s">
        <v>47</v>
      </c>
      <c r="E15" s="53"/>
      <c r="F15" s="53"/>
      <c r="G15" s="53"/>
      <c r="H15" s="53"/>
      <c r="I15" s="53"/>
      <c r="J15" s="53"/>
      <c r="K15" s="27"/>
      <c r="L15" s="28">
        <f>L31</f>
        <v>655.97</v>
      </c>
      <c r="M15" s="28">
        <f>ROUND(L15,2)</f>
        <v>655.97</v>
      </c>
    </row>
    <row r="16" spans="1:13" ht="15.5" customHeight="1" thickBot="1" x14ac:dyDescent="0.35">
      <c r="A16" s="10" t="s">
        <v>48</v>
      </c>
      <c r="B16" s="5" t="s">
        <v>49</v>
      </c>
      <c r="C16" s="5" t="s">
        <v>50</v>
      </c>
      <c r="D16" s="52" t="s">
        <v>51</v>
      </c>
      <c r="E16" s="52"/>
      <c r="F16" s="52"/>
      <c r="G16" s="52"/>
      <c r="H16" s="52"/>
      <c r="I16" s="52"/>
      <c r="J16" s="52"/>
      <c r="K16" s="20">
        <f>ROUND(1,2)</f>
        <v>1</v>
      </c>
      <c r="L16" s="21">
        <f>ROUND(72.25*(1+M2/100),2)</f>
        <v>74.42</v>
      </c>
      <c r="M16" s="21">
        <f>ROUND(K16*L16,2)</f>
        <v>74.42</v>
      </c>
    </row>
    <row r="17" spans="1:13" ht="30.9" customHeight="1" thickBot="1" x14ac:dyDescent="0.35">
      <c r="A17" s="10" t="s">
        <v>52</v>
      </c>
      <c r="B17" s="5" t="s">
        <v>53</v>
      </c>
      <c r="C17" s="5" t="s">
        <v>54</v>
      </c>
      <c r="D17" s="52" t="s">
        <v>55</v>
      </c>
      <c r="E17" s="52"/>
      <c r="F17" s="52"/>
      <c r="G17" s="52"/>
      <c r="H17" s="52"/>
      <c r="I17" s="52"/>
      <c r="J17" s="52"/>
      <c r="K17" s="20">
        <f>SUM(K19:K19)</f>
        <v>15</v>
      </c>
      <c r="L17" s="21">
        <f>ROUND(1.08*(1+M2/100),2)</f>
        <v>1.1100000000000001</v>
      </c>
      <c r="M17" s="21">
        <f>ROUND(K17*L17,2)</f>
        <v>16.649999999999999</v>
      </c>
    </row>
    <row r="18" spans="1:13" ht="15.25" customHeight="1" thickBot="1" x14ac:dyDescent="0.35">
      <c r="A18" s="29"/>
      <c r="B18" s="29"/>
      <c r="C18" s="29"/>
      <c r="D18" s="29"/>
      <c r="E18" s="30"/>
      <c r="F18" s="32" t="s">
        <v>56</v>
      </c>
      <c r="G18" s="32" t="s">
        <v>57</v>
      </c>
      <c r="H18" s="32" t="s">
        <v>58</v>
      </c>
      <c r="I18" s="32" t="s">
        <v>59</v>
      </c>
      <c r="J18" s="32" t="s">
        <v>60</v>
      </c>
      <c r="K18" s="32" t="s">
        <v>61</v>
      </c>
      <c r="L18" s="29"/>
      <c r="M18" s="29"/>
    </row>
    <row r="19" spans="1:13" ht="40.25" customHeight="1" thickBot="1" x14ac:dyDescent="0.35">
      <c r="A19" s="29"/>
      <c r="B19" s="29"/>
      <c r="C19" s="29"/>
      <c r="D19" s="33"/>
      <c r="E19" s="34" t="s">
        <v>62</v>
      </c>
      <c r="F19" s="35">
        <v>3</v>
      </c>
      <c r="G19" s="36">
        <v>5</v>
      </c>
      <c r="H19" s="36"/>
      <c r="I19" s="36"/>
      <c r="J19" s="38">
        <f>ROUND(F19*G19,3)</f>
        <v>15</v>
      </c>
      <c r="K19" s="40">
        <f>SUM(J19:J19)</f>
        <v>15</v>
      </c>
      <c r="L19" s="29"/>
      <c r="M19" s="29"/>
    </row>
    <row r="20" spans="1:13" ht="30.9" customHeight="1" thickBot="1" x14ac:dyDescent="0.35">
      <c r="A20" s="10" t="s">
        <v>63</v>
      </c>
      <c r="B20" s="5" t="s">
        <v>64</v>
      </c>
      <c r="C20" s="5" t="s">
        <v>65</v>
      </c>
      <c r="D20" s="52" t="s">
        <v>66</v>
      </c>
      <c r="E20" s="52"/>
      <c r="F20" s="52"/>
      <c r="G20" s="52"/>
      <c r="H20" s="52"/>
      <c r="I20" s="52"/>
      <c r="J20" s="52"/>
      <c r="K20" s="20">
        <f>SUM(K22:K25)</f>
        <v>180</v>
      </c>
      <c r="L20" s="21">
        <f>ROUND(1.25*(1+M2/100),2)</f>
        <v>1.29</v>
      </c>
      <c r="M20" s="21">
        <f>ROUND(K20*L20,2)</f>
        <v>232.2</v>
      </c>
    </row>
    <row r="21" spans="1:13" ht="15.25" customHeight="1" thickBot="1" x14ac:dyDescent="0.35">
      <c r="A21" s="29"/>
      <c r="B21" s="29"/>
      <c r="C21" s="29"/>
      <c r="D21" s="29"/>
      <c r="E21" s="30"/>
      <c r="F21" s="32" t="s">
        <v>67</v>
      </c>
      <c r="G21" s="32" t="s">
        <v>68</v>
      </c>
      <c r="H21" s="32" t="s">
        <v>69</v>
      </c>
      <c r="I21" s="32" t="s">
        <v>70</v>
      </c>
      <c r="J21" s="32" t="s">
        <v>71</v>
      </c>
      <c r="K21" s="32" t="s">
        <v>72</v>
      </c>
      <c r="L21" s="29"/>
      <c r="M21" s="29"/>
    </row>
    <row r="22" spans="1:13" ht="21.65" customHeight="1" thickBot="1" x14ac:dyDescent="0.35">
      <c r="A22" s="29"/>
      <c r="B22" s="29"/>
      <c r="C22" s="29"/>
      <c r="D22" s="33"/>
      <c r="E22" s="34" t="s">
        <v>73</v>
      </c>
      <c r="F22" s="35">
        <v>3</v>
      </c>
      <c r="G22" s="36">
        <v>15</v>
      </c>
      <c r="H22" s="36"/>
      <c r="I22" s="36"/>
      <c r="J22" s="38">
        <f>ROUND(F22*G22,3)</f>
        <v>45</v>
      </c>
      <c r="K22" s="41"/>
      <c r="L22" s="29"/>
      <c r="M22" s="29"/>
    </row>
    <row r="23" spans="1:13" ht="21.65" customHeight="1" thickBot="1" x14ac:dyDescent="0.35">
      <c r="A23" s="29"/>
      <c r="B23" s="29"/>
      <c r="C23" s="29"/>
      <c r="D23" s="33"/>
      <c r="E23" s="5" t="s">
        <v>74</v>
      </c>
      <c r="F23" s="3">
        <v>3</v>
      </c>
      <c r="G23" s="20">
        <v>15</v>
      </c>
      <c r="H23" s="20"/>
      <c r="I23" s="20"/>
      <c r="J23" s="37">
        <f>ROUND(F23*G23,3)</f>
        <v>45</v>
      </c>
      <c r="K23" s="29"/>
      <c r="L23" s="29"/>
      <c r="M23" s="29"/>
    </row>
    <row r="24" spans="1:13" ht="21.65" customHeight="1" thickBot="1" x14ac:dyDescent="0.35">
      <c r="A24" s="29"/>
      <c r="B24" s="29"/>
      <c r="C24" s="29"/>
      <c r="D24" s="33"/>
      <c r="E24" s="5" t="s">
        <v>75</v>
      </c>
      <c r="F24" s="3">
        <v>3</v>
      </c>
      <c r="G24" s="20">
        <v>25</v>
      </c>
      <c r="H24" s="20"/>
      <c r="I24" s="20"/>
      <c r="J24" s="37">
        <f>ROUND(F24*G24,3)</f>
        <v>75</v>
      </c>
      <c r="K24" s="29"/>
      <c r="L24" s="29"/>
      <c r="M24" s="29"/>
    </row>
    <row r="25" spans="1:13" ht="21.65" customHeight="1" thickBot="1" x14ac:dyDescent="0.35">
      <c r="A25" s="29"/>
      <c r="B25" s="29"/>
      <c r="C25" s="29"/>
      <c r="D25" s="33"/>
      <c r="E25" s="5" t="s">
        <v>76</v>
      </c>
      <c r="F25" s="3">
        <v>3</v>
      </c>
      <c r="G25" s="20">
        <v>5</v>
      </c>
      <c r="H25" s="20"/>
      <c r="I25" s="20"/>
      <c r="J25" s="37">
        <f>ROUND(F25*G25,3)</f>
        <v>15</v>
      </c>
      <c r="K25" s="39">
        <f>SUM(J22:J25)</f>
        <v>180</v>
      </c>
      <c r="L25" s="29"/>
      <c r="M25" s="29"/>
    </row>
    <row r="26" spans="1:13" ht="15.5" customHeight="1" thickBot="1" x14ac:dyDescent="0.35">
      <c r="A26" s="10" t="s">
        <v>77</v>
      </c>
      <c r="B26" s="5" t="s">
        <v>78</v>
      </c>
      <c r="C26" s="5" t="s">
        <v>79</v>
      </c>
      <c r="D26" s="52" t="s">
        <v>80</v>
      </c>
      <c r="E26" s="52"/>
      <c r="F26" s="52"/>
      <c r="G26" s="52"/>
      <c r="H26" s="52"/>
      <c r="I26" s="52"/>
      <c r="J26" s="52"/>
      <c r="K26" s="20">
        <f>SUM(K28:K29)</f>
        <v>65</v>
      </c>
      <c r="L26" s="21">
        <f>ROUND(3.48*(1+M2/100),2)</f>
        <v>3.58</v>
      </c>
      <c r="M26" s="21">
        <f>ROUND(K26*L26,2)</f>
        <v>232.7</v>
      </c>
    </row>
    <row r="27" spans="1:13" ht="15.25" customHeight="1" thickBot="1" x14ac:dyDescent="0.35">
      <c r="A27" s="29"/>
      <c r="B27" s="29"/>
      <c r="C27" s="29"/>
      <c r="D27" s="29"/>
      <c r="E27" s="30"/>
      <c r="F27" s="32" t="s">
        <v>81</v>
      </c>
      <c r="G27" s="32" t="s">
        <v>82</v>
      </c>
      <c r="H27" s="32" t="s">
        <v>83</v>
      </c>
      <c r="I27" s="32" t="s">
        <v>84</v>
      </c>
      <c r="J27" s="32" t="s">
        <v>85</v>
      </c>
      <c r="K27" s="32" t="s">
        <v>86</v>
      </c>
      <c r="L27" s="29"/>
      <c r="M27" s="29"/>
    </row>
    <row r="28" spans="1:13" ht="15.25" customHeight="1" thickBot="1" x14ac:dyDescent="0.35">
      <c r="A28" s="29"/>
      <c r="B28" s="29"/>
      <c r="C28" s="29"/>
      <c r="D28" s="33"/>
      <c r="E28" s="34" t="s">
        <v>87</v>
      </c>
      <c r="F28" s="35"/>
      <c r="G28" s="36">
        <v>5</v>
      </c>
      <c r="H28" s="36"/>
      <c r="I28" s="36"/>
      <c r="J28" s="38">
        <f>ROUND(G28,3)</f>
        <v>5</v>
      </c>
      <c r="K28" s="41"/>
      <c r="L28" s="29"/>
      <c r="M28" s="29"/>
    </row>
    <row r="29" spans="1:13" ht="15.25" customHeight="1" thickBot="1" x14ac:dyDescent="0.35">
      <c r="A29" s="29"/>
      <c r="B29" s="29"/>
      <c r="C29" s="29"/>
      <c r="D29" s="33"/>
      <c r="E29" s="5" t="s">
        <v>88</v>
      </c>
      <c r="F29" s="3"/>
      <c r="G29" s="20">
        <v>60</v>
      </c>
      <c r="H29" s="20"/>
      <c r="I29" s="20"/>
      <c r="J29" s="37">
        <f>ROUND(G29,3)</f>
        <v>60</v>
      </c>
      <c r="K29" s="39">
        <f>SUM(J28:J29)</f>
        <v>65</v>
      </c>
      <c r="L29" s="29"/>
      <c r="M29" s="29"/>
    </row>
    <row r="30" spans="1:13" ht="15.5" customHeight="1" thickBot="1" x14ac:dyDescent="0.35">
      <c r="A30" s="10" t="s">
        <v>89</v>
      </c>
      <c r="B30" s="5" t="s">
        <v>90</v>
      </c>
      <c r="C30" s="5" t="s">
        <v>91</v>
      </c>
      <c r="D30" s="52" t="s">
        <v>92</v>
      </c>
      <c r="E30" s="52"/>
      <c r="F30" s="52"/>
      <c r="G30" s="52"/>
      <c r="H30" s="52"/>
      <c r="I30" s="52"/>
      <c r="J30" s="52"/>
      <c r="K30" s="20">
        <f>ROUND(2,2)</f>
        <v>2</v>
      </c>
      <c r="L30" s="21">
        <f>ROUND(48.544*(1+M2/100),2)</f>
        <v>50</v>
      </c>
      <c r="M30" s="21">
        <f>ROUND(K30*L30,2)</f>
        <v>100</v>
      </c>
    </row>
    <row r="31" spans="1:13" ht="15.5" customHeight="1" thickBot="1" x14ac:dyDescent="0.35">
      <c r="A31" s="22"/>
      <c r="B31" s="22"/>
      <c r="C31" s="22"/>
      <c r="D31" s="23" t="s">
        <v>93</v>
      </c>
      <c r="E31" s="24"/>
      <c r="F31" s="24"/>
      <c r="G31" s="24"/>
      <c r="H31" s="24"/>
      <c r="I31" s="24"/>
      <c r="J31" s="24"/>
      <c r="K31" s="24"/>
      <c r="L31" s="25">
        <f>M16+M17+M20+M26+M30</f>
        <v>655.97</v>
      </c>
      <c r="M31" s="25">
        <f>ROUND(L31,2)</f>
        <v>655.97</v>
      </c>
    </row>
    <row r="32" spans="1:13" ht="15.5" customHeight="1" thickBot="1" x14ac:dyDescent="0.35">
      <c r="A32" s="26" t="s">
        <v>94</v>
      </c>
      <c r="B32" s="26" t="s">
        <v>95</v>
      </c>
      <c r="C32" s="27"/>
      <c r="D32" s="53" t="s">
        <v>96</v>
      </c>
      <c r="E32" s="53"/>
      <c r="F32" s="53"/>
      <c r="G32" s="53"/>
      <c r="H32" s="53"/>
      <c r="I32" s="53"/>
      <c r="J32" s="53"/>
      <c r="K32" s="27"/>
      <c r="L32" s="28">
        <f>L45</f>
        <v>566.76</v>
      </c>
      <c r="M32" s="28">
        <f>ROUND(L32,2)</f>
        <v>566.76</v>
      </c>
    </row>
    <row r="33" spans="1:13" ht="15.5" customHeight="1" thickBot="1" x14ac:dyDescent="0.35">
      <c r="A33" s="10" t="s">
        <v>97</v>
      </c>
      <c r="B33" s="5" t="s">
        <v>98</v>
      </c>
      <c r="C33" s="5" t="s">
        <v>99</v>
      </c>
      <c r="D33" s="52" t="s">
        <v>100</v>
      </c>
      <c r="E33" s="52"/>
      <c r="F33" s="52"/>
      <c r="G33" s="52"/>
      <c r="H33" s="52"/>
      <c r="I33" s="52"/>
      <c r="J33" s="52"/>
      <c r="K33" s="20">
        <f>SUM(K35:K36)</f>
        <v>2</v>
      </c>
      <c r="L33" s="21">
        <f>ROUND(40.83*(1+M2/100),2)</f>
        <v>42.05</v>
      </c>
      <c r="M33" s="21">
        <f>ROUND(K33*L33,2)</f>
        <v>84.1</v>
      </c>
    </row>
    <row r="34" spans="1:13" ht="15.25" customHeight="1" thickBot="1" x14ac:dyDescent="0.35">
      <c r="A34" s="29"/>
      <c r="B34" s="29"/>
      <c r="C34" s="29"/>
      <c r="D34" s="29"/>
      <c r="E34" s="30"/>
      <c r="F34" s="32" t="s">
        <v>101</v>
      </c>
      <c r="G34" s="32" t="s">
        <v>102</v>
      </c>
      <c r="H34" s="32" t="s">
        <v>103</v>
      </c>
      <c r="I34" s="32" t="s">
        <v>104</v>
      </c>
      <c r="J34" s="32" t="s">
        <v>105</v>
      </c>
      <c r="K34" s="32" t="s">
        <v>106</v>
      </c>
      <c r="L34" s="29"/>
      <c r="M34" s="29"/>
    </row>
    <row r="35" spans="1:13" ht="15.25" customHeight="1" thickBot="1" x14ac:dyDescent="0.35">
      <c r="A35" s="29"/>
      <c r="B35" s="29"/>
      <c r="C35" s="29"/>
      <c r="D35" s="33"/>
      <c r="E35" s="34" t="s">
        <v>107</v>
      </c>
      <c r="F35" s="35">
        <v>1</v>
      </c>
      <c r="G35" s="36"/>
      <c r="H35" s="36"/>
      <c r="I35" s="36"/>
      <c r="J35" s="38">
        <f>ROUND(F35,3)</f>
        <v>1</v>
      </c>
      <c r="K35" s="41"/>
      <c r="L35" s="29"/>
      <c r="M35" s="29"/>
    </row>
    <row r="36" spans="1:13" ht="15.25" customHeight="1" thickBot="1" x14ac:dyDescent="0.35">
      <c r="A36" s="29"/>
      <c r="B36" s="29"/>
      <c r="C36" s="29"/>
      <c r="D36" s="33"/>
      <c r="E36" s="5" t="s">
        <v>108</v>
      </c>
      <c r="F36" s="3">
        <v>1</v>
      </c>
      <c r="G36" s="20"/>
      <c r="H36" s="20"/>
      <c r="I36" s="20"/>
      <c r="J36" s="37">
        <f>ROUND(F36,3)</f>
        <v>1</v>
      </c>
      <c r="K36" s="39">
        <f>SUM(J35:J36)</f>
        <v>2</v>
      </c>
      <c r="L36" s="29"/>
      <c r="M36" s="29"/>
    </row>
    <row r="37" spans="1:13" ht="15.5" customHeight="1" thickBot="1" x14ac:dyDescent="0.35">
      <c r="A37" s="10" t="s">
        <v>109</v>
      </c>
      <c r="B37" s="5" t="s">
        <v>110</v>
      </c>
      <c r="C37" s="5" t="s">
        <v>111</v>
      </c>
      <c r="D37" s="52" t="s">
        <v>112</v>
      </c>
      <c r="E37" s="52"/>
      <c r="F37" s="52"/>
      <c r="G37" s="52"/>
      <c r="H37" s="52"/>
      <c r="I37" s="52"/>
      <c r="J37" s="52"/>
      <c r="K37" s="20">
        <f>SUM(K39:K41)</f>
        <v>5</v>
      </c>
      <c r="L37" s="21">
        <f>ROUND(58.67*(1+M2/100),2)</f>
        <v>60.43</v>
      </c>
      <c r="M37" s="21">
        <f>ROUND(K37*L37,2)</f>
        <v>302.14999999999998</v>
      </c>
    </row>
    <row r="38" spans="1:13" ht="15.25" customHeight="1" thickBot="1" x14ac:dyDescent="0.35">
      <c r="A38" s="29"/>
      <c r="B38" s="29"/>
      <c r="C38" s="29"/>
      <c r="D38" s="29"/>
      <c r="E38" s="30"/>
      <c r="F38" s="32" t="s">
        <v>113</v>
      </c>
      <c r="G38" s="32" t="s">
        <v>114</v>
      </c>
      <c r="H38" s="32" t="s">
        <v>115</v>
      </c>
      <c r="I38" s="32" t="s">
        <v>116</v>
      </c>
      <c r="J38" s="32" t="s">
        <v>117</v>
      </c>
      <c r="K38" s="32" t="s">
        <v>118</v>
      </c>
      <c r="L38" s="29"/>
      <c r="M38" s="29"/>
    </row>
    <row r="39" spans="1:13" ht="15.25" customHeight="1" thickBot="1" x14ac:dyDescent="0.35">
      <c r="A39" s="29"/>
      <c r="B39" s="29"/>
      <c r="C39" s="29"/>
      <c r="D39" s="33"/>
      <c r="E39" s="34" t="s">
        <v>119</v>
      </c>
      <c r="F39" s="35">
        <v>2</v>
      </c>
      <c r="G39" s="36"/>
      <c r="H39" s="36"/>
      <c r="I39" s="36"/>
      <c r="J39" s="38">
        <f>ROUND(F39,3)</f>
        <v>2</v>
      </c>
      <c r="K39" s="41"/>
      <c r="L39" s="29"/>
      <c r="M39" s="29"/>
    </row>
    <row r="40" spans="1:13" ht="15.25" customHeight="1" thickBot="1" x14ac:dyDescent="0.35">
      <c r="A40" s="29"/>
      <c r="B40" s="29"/>
      <c r="C40" s="29"/>
      <c r="D40" s="33"/>
      <c r="E40" s="5" t="s">
        <v>120</v>
      </c>
      <c r="F40" s="3">
        <v>2</v>
      </c>
      <c r="G40" s="20"/>
      <c r="H40" s="20"/>
      <c r="I40" s="20"/>
      <c r="J40" s="37">
        <f>ROUND(F40,3)</f>
        <v>2</v>
      </c>
      <c r="K40" s="29"/>
      <c r="L40" s="29"/>
      <c r="M40" s="29"/>
    </row>
    <row r="41" spans="1:13" ht="15.25" customHeight="1" thickBot="1" x14ac:dyDescent="0.35">
      <c r="A41" s="29"/>
      <c r="B41" s="29"/>
      <c r="C41" s="29"/>
      <c r="D41" s="33"/>
      <c r="E41" s="5" t="s">
        <v>121</v>
      </c>
      <c r="F41" s="3">
        <v>1</v>
      </c>
      <c r="G41" s="20"/>
      <c r="H41" s="20"/>
      <c r="I41" s="20"/>
      <c r="J41" s="37">
        <f>ROUND(F41,3)</f>
        <v>1</v>
      </c>
      <c r="K41" s="39">
        <f>SUM(J39:J41)</f>
        <v>5</v>
      </c>
      <c r="L41" s="29"/>
      <c r="M41" s="29"/>
    </row>
    <row r="42" spans="1:13" ht="15.5" customHeight="1" thickBot="1" x14ac:dyDescent="0.35">
      <c r="A42" s="10" t="s">
        <v>122</v>
      </c>
      <c r="B42" s="5" t="s">
        <v>123</v>
      </c>
      <c r="C42" s="5" t="s">
        <v>124</v>
      </c>
      <c r="D42" s="52" t="s">
        <v>125</v>
      </c>
      <c r="E42" s="52"/>
      <c r="F42" s="52"/>
      <c r="G42" s="52"/>
      <c r="H42" s="52"/>
      <c r="I42" s="52"/>
      <c r="J42" s="52"/>
      <c r="K42" s="20">
        <f>ROUND(7,2)</f>
        <v>7</v>
      </c>
      <c r="L42" s="21">
        <f>ROUND(19.08*(1+M2/100),2)</f>
        <v>19.649999999999999</v>
      </c>
      <c r="M42" s="21">
        <f>ROUND(K42*L42,2)</f>
        <v>137.55000000000001</v>
      </c>
    </row>
    <row r="43" spans="1:13" ht="15.5" customHeight="1" thickBot="1" x14ac:dyDescent="0.35">
      <c r="A43" s="10" t="s">
        <v>126</v>
      </c>
      <c r="B43" s="5" t="s">
        <v>127</v>
      </c>
      <c r="C43" s="5" t="s">
        <v>128</v>
      </c>
      <c r="D43" s="52" t="s">
        <v>129</v>
      </c>
      <c r="E43" s="52"/>
      <c r="F43" s="52"/>
      <c r="G43" s="52"/>
      <c r="H43" s="52"/>
      <c r="I43" s="52"/>
      <c r="J43" s="52"/>
      <c r="K43" s="20">
        <f>ROUND(1,2)</f>
        <v>1</v>
      </c>
      <c r="L43" s="21">
        <f>ROUND(22.93*(1+M2/100),2)</f>
        <v>23.62</v>
      </c>
      <c r="M43" s="21">
        <f>ROUND(K43*L43,2)</f>
        <v>23.62</v>
      </c>
    </row>
    <row r="44" spans="1:13" ht="15.5" customHeight="1" thickBot="1" x14ac:dyDescent="0.35">
      <c r="A44" s="10" t="s">
        <v>130</v>
      </c>
      <c r="B44" s="5" t="s">
        <v>131</v>
      </c>
      <c r="C44" s="5" t="s">
        <v>132</v>
      </c>
      <c r="D44" s="52" t="s">
        <v>133</v>
      </c>
      <c r="E44" s="52"/>
      <c r="F44" s="52"/>
      <c r="G44" s="52"/>
      <c r="H44" s="52"/>
      <c r="I44" s="52"/>
      <c r="J44" s="52"/>
      <c r="K44" s="20">
        <f>ROUND(1,2)</f>
        <v>1</v>
      </c>
      <c r="L44" s="21">
        <f>ROUND(18.78*(1+M2/100),2)</f>
        <v>19.34</v>
      </c>
      <c r="M44" s="21">
        <f>ROUND(K44*L44,2)</f>
        <v>19.34</v>
      </c>
    </row>
    <row r="45" spans="1:13" ht="15.5" customHeight="1" thickBot="1" x14ac:dyDescent="0.35">
      <c r="A45" s="22"/>
      <c r="B45" s="22"/>
      <c r="C45" s="22"/>
      <c r="D45" s="23" t="s">
        <v>134</v>
      </c>
      <c r="E45" s="24"/>
      <c r="F45" s="24"/>
      <c r="G45" s="24"/>
      <c r="H45" s="24"/>
      <c r="I45" s="24"/>
      <c r="J45" s="24"/>
      <c r="K45" s="24"/>
      <c r="L45" s="25">
        <f>M33+M37+M42+M43+M44</f>
        <v>566.76</v>
      </c>
      <c r="M45" s="25">
        <f>ROUND(L45,2)</f>
        <v>566.76</v>
      </c>
    </row>
    <row r="46" spans="1:13" ht="15.5" customHeight="1" thickBot="1" x14ac:dyDescent="0.35">
      <c r="A46" s="26" t="s">
        <v>135</v>
      </c>
      <c r="B46" s="26" t="s">
        <v>136</v>
      </c>
      <c r="C46" s="27"/>
      <c r="D46" s="53" t="s">
        <v>137</v>
      </c>
      <c r="E46" s="53"/>
      <c r="F46" s="53"/>
      <c r="G46" s="53"/>
      <c r="H46" s="53"/>
      <c r="I46" s="53"/>
      <c r="J46" s="53"/>
      <c r="K46" s="27"/>
      <c r="L46" s="28">
        <f>L48</f>
        <v>123.6</v>
      </c>
      <c r="M46" s="28">
        <f>ROUND(L46,2)</f>
        <v>123.6</v>
      </c>
    </row>
    <row r="47" spans="1:13" ht="15.5" customHeight="1" thickBot="1" x14ac:dyDescent="0.35">
      <c r="A47" s="10" t="s">
        <v>138</v>
      </c>
      <c r="B47" s="5" t="s">
        <v>139</v>
      </c>
      <c r="C47" s="5" t="s">
        <v>140</v>
      </c>
      <c r="D47" s="52" t="s">
        <v>141</v>
      </c>
      <c r="E47" s="52"/>
      <c r="F47" s="52"/>
      <c r="G47" s="52"/>
      <c r="H47" s="52"/>
      <c r="I47" s="52"/>
      <c r="J47" s="52"/>
      <c r="K47" s="20">
        <f>ROUND(1,2)</f>
        <v>1</v>
      </c>
      <c r="L47" s="21">
        <f>ROUND(120*(1+M2/100),2)</f>
        <v>123.6</v>
      </c>
      <c r="M47" s="21">
        <f>ROUND(K47*L47,2)</f>
        <v>123.6</v>
      </c>
    </row>
    <row r="48" spans="1:13" ht="15.5" customHeight="1" thickBot="1" x14ac:dyDescent="0.35">
      <c r="A48" s="22"/>
      <c r="B48" s="22"/>
      <c r="C48" s="22"/>
      <c r="D48" s="23" t="s">
        <v>142</v>
      </c>
      <c r="E48" s="24"/>
      <c r="F48" s="24"/>
      <c r="G48" s="24"/>
      <c r="H48" s="24"/>
      <c r="I48" s="24"/>
      <c r="J48" s="24"/>
      <c r="K48" s="24"/>
      <c r="L48" s="25">
        <f>M47</f>
        <v>123.6</v>
      </c>
      <c r="M48" s="25">
        <f>ROUND(L48,2)</f>
        <v>123.6</v>
      </c>
    </row>
    <row r="49" spans="1:13" ht="15.5" customHeight="1" thickBot="1" x14ac:dyDescent="0.35">
      <c r="A49" s="42"/>
      <c r="B49" s="42"/>
      <c r="C49" s="42"/>
      <c r="D49" s="43" t="s">
        <v>143</v>
      </c>
      <c r="E49" s="44"/>
      <c r="F49" s="44"/>
      <c r="G49" s="44"/>
      <c r="H49" s="44"/>
      <c r="I49" s="44"/>
      <c r="J49" s="44"/>
      <c r="K49" s="44"/>
      <c r="L49" s="45">
        <f>M10+M14+M31+M45+M48</f>
        <v>3123.7500000000005</v>
      </c>
      <c r="M49" s="45">
        <f>ROUND(L49,2)</f>
        <v>3123.75</v>
      </c>
    </row>
    <row r="50" spans="1:13" ht="15.5" customHeight="1" thickBot="1" x14ac:dyDescent="0.35">
      <c r="A50" s="46" t="s">
        <v>144</v>
      </c>
      <c r="B50" s="46" t="s">
        <v>145</v>
      </c>
      <c r="C50" s="47"/>
      <c r="D50" s="54" t="s">
        <v>146</v>
      </c>
      <c r="E50" s="54"/>
      <c r="F50" s="54"/>
      <c r="G50" s="54"/>
      <c r="H50" s="54"/>
      <c r="I50" s="54"/>
      <c r="J50" s="54"/>
      <c r="K50" s="47"/>
      <c r="L50" s="48">
        <f>L84</f>
        <v>1658.12</v>
      </c>
      <c r="M50" s="48">
        <f>ROUND(L50,2)</f>
        <v>1658.12</v>
      </c>
    </row>
    <row r="51" spans="1:13" ht="15.5" customHeight="1" thickBot="1" x14ac:dyDescent="0.35">
      <c r="A51" s="17" t="s">
        <v>147</v>
      </c>
      <c r="B51" s="17" t="s">
        <v>148</v>
      </c>
      <c r="C51" s="18"/>
      <c r="D51" s="55" t="s">
        <v>149</v>
      </c>
      <c r="E51" s="55"/>
      <c r="F51" s="55"/>
      <c r="G51" s="55"/>
      <c r="H51" s="55"/>
      <c r="I51" s="55"/>
      <c r="J51" s="55"/>
      <c r="K51" s="18"/>
      <c r="L51" s="19">
        <f>L55</f>
        <v>700</v>
      </c>
      <c r="M51" s="19">
        <f>ROUND(L51,2)</f>
        <v>700</v>
      </c>
    </row>
    <row r="52" spans="1:13" ht="15.5" customHeight="1" thickBot="1" x14ac:dyDescent="0.35">
      <c r="A52" s="10" t="s">
        <v>150</v>
      </c>
      <c r="B52" s="5" t="s">
        <v>151</v>
      </c>
      <c r="C52" s="5" t="s">
        <v>152</v>
      </c>
      <c r="D52" s="52" t="s">
        <v>153</v>
      </c>
      <c r="E52" s="52"/>
      <c r="F52" s="52"/>
      <c r="G52" s="52"/>
      <c r="H52" s="52"/>
      <c r="I52" s="52"/>
      <c r="J52" s="52"/>
      <c r="K52" s="20">
        <f>ROUND(1,2)</f>
        <v>1</v>
      </c>
      <c r="L52" s="21">
        <f>ROUND(242.718*(1+M2/100),2)</f>
        <v>250</v>
      </c>
      <c r="M52" s="21">
        <f>ROUND(K52*L52,2)</f>
        <v>250</v>
      </c>
    </row>
    <row r="53" spans="1:13" ht="15.5" customHeight="1" thickBot="1" x14ac:dyDescent="0.35">
      <c r="A53" s="10" t="s">
        <v>154</v>
      </c>
      <c r="B53" s="5" t="s">
        <v>155</v>
      </c>
      <c r="C53" s="5" t="s">
        <v>156</v>
      </c>
      <c r="D53" s="52" t="s">
        <v>157</v>
      </c>
      <c r="E53" s="52"/>
      <c r="F53" s="52"/>
      <c r="G53" s="52"/>
      <c r="H53" s="52"/>
      <c r="I53" s="52"/>
      <c r="J53" s="52"/>
      <c r="K53" s="20">
        <f>ROUND(1,2)</f>
        <v>1</v>
      </c>
      <c r="L53" s="21">
        <f>ROUND(242.718*(1+M2/100),2)</f>
        <v>250</v>
      </c>
      <c r="M53" s="21">
        <f>ROUND(K53*L53,2)</f>
        <v>250</v>
      </c>
    </row>
    <row r="54" spans="1:13" ht="15.5" customHeight="1" thickBot="1" x14ac:dyDescent="0.35">
      <c r="A54" s="10" t="s">
        <v>158</v>
      </c>
      <c r="B54" s="5" t="s">
        <v>159</v>
      </c>
      <c r="C54" s="5" t="s">
        <v>160</v>
      </c>
      <c r="D54" s="52" t="s">
        <v>161</v>
      </c>
      <c r="E54" s="52"/>
      <c r="F54" s="52"/>
      <c r="G54" s="52"/>
      <c r="H54" s="52"/>
      <c r="I54" s="52"/>
      <c r="J54" s="52"/>
      <c r="K54" s="20">
        <f>ROUND(1,2)</f>
        <v>1</v>
      </c>
      <c r="L54" s="21">
        <f>ROUND(194.175*(1+M2/100),2)</f>
        <v>200</v>
      </c>
      <c r="M54" s="21">
        <f>ROUND(K54*L54,2)</f>
        <v>200</v>
      </c>
    </row>
    <row r="55" spans="1:13" ht="15.5" customHeight="1" thickBot="1" x14ac:dyDescent="0.35">
      <c r="A55" s="22"/>
      <c r="B55" s="22"/>
      <c r="C55" s="22"/>
      <c r="D55" s="23" t="s">
        <v>162</v>
      </c>
      <c r="E55" s="24"/>
      <c r="F55" s="24"/>
      <c r="G55" s="24"/>
      <c r="H55" s="24"/>
      <c r="I55" s="24"/>
      <c r="J55" s="24"/>
      <c r="K55" s="24"/>
      <c r="L55" s="25">
        <f>M52+M53+M54</f>
        <v>700</v>
      </c>
      <c r="M55" s="25">
        <f>ROUND(L55,2)</f>
        <v>700</v>
      </c>
    </row>
    <row r="56" spans="1:13" ht="15.5" customHeight="1" thickBot="1" x14ac:dyDescent="0.35">
      <c r="A56" s="26" t="s">
        <v>163</v>
      </c>
      <c r="B56" s="26" t="s">
        <v>164</v>
      </c>
      <c r="C56" s="27"/>
      <c r="D56" s="53" t="s">
        <v>165</v>
      </c>
      <c r="E56" s="53"/>
      <c r="F56" s="53"/>
      <c r="G56" s="53"/>
      <c r="H56" s="53"/>
      <c r="I56" s="53"/>
      <c r="J56" s="53"/>
      <c r="K56" s="27"/>
      <c r="L56" s="28">
        <f>L58</f>
        <v>353.96</v>
      </c>
      <c r="M56" s="28">
        <f>ROUND(L56,2)</f>
        <v>353.96</v>
      </c>
    </row>
    <row r="57" spans="1:13" ht="15.5" customHeight="1" thickBot="1" x14ac:dyDescent="0.35">
      <c r="A57" s="10" t="s">
        <v>166</v>
      </c>
      <c r="B57" s="5" t="s">
        <v>167</v>
      </c>
      <c r="C57" s="5" t="s">
        <v>168</v>
      </c>
      <c r="D57" s="52" t="s">
        <v>169</v>
      </c>
      <c r="E57" s="52"/>
      <c r="F57" s="52"/>
      <c r="G57" s="52"/>
      <c r="H57" s="52"/>
      <c r="I57" s="52"/>
      <c r="J57" s="52"/>
      <c r="K57" s="20">
        <f>ROUND(1,2)</f>
        <v>1</v>
      </c>
      <c r="L57" s="21">
        <f>ROUND(343.65*(1+M2/100),2)</f>
        <v>353.96</v>
      </c>
      <c r="M57" s="21">
        <f>ROUND(K57*L57,2)</f>
        <v>353.96</v>
      </c>
    </row>
    <row r="58" spans="1:13" ht="15.5" customHeight="1" thickBot="1" x14ac:dyDescent="0.35">
      <c r="A58" s="22"/>
      <c r="B58" s="22"/>
      <c r="C58" s="22"/>
      <c r="D58" s="23" t="s">
        <v>170</v>
      </c>
      <c r="E58" s="24"/>
      <c r="F58" s="24"/>
      <c r="G58" s="24"/>
      <c r="H58" s="24"/>
      <c r="I58" s="24"/>
      <c r="J58" s="24"/>
      <c r="K58" s="24"/>
      <c r="L58" s="25">
        <f>M57</f>
        <v>353.96</v>
      </c>
      <c r="M58" s="25">
        <f>ROUND(L58,2)</f>
        <v>353.96</v>
      </c>
    </row>
    <row r="59" spans="1:13" ht="15.5" customHeight="1" thickBot="1" x14ac:dyDescent="0.35">
      <c r="A59" s="26" t="s">
        <v>171</v>
      </c>
      <c r="B59" s="26" t="s">
        <v>172</v>
      </c>
      <c r="C59" s="27"/>
      <c r="D59" s="53" t="s">
        <v>173</v>
      </c>
      <c r="E59" s="53"/>
      <c r="F59" s="53"/>
      <c r="G59" s="53"/>
      <c r="H59" s="53"/>
      <c r="I59" s="53"/>
      <c r="J59" s="53"/>
      <c r="K59" s="27"/>
      <c r="L59" s="28">
        <f>L66</f>
        <v>84.55</v>
      </c>
      <c r="M59" s="28">
        <f>ROUND(L59,2)</f>
        <v>84.55</v>
      </c>
    </row>
    <row r="60" spans="1:13" ht="30.9" customHeight="1" thickBot="1" x14ac:dyDescent="0.35">
      <c r="A60" s="10" t="s">
        <v>174</v>
      </c>
      <c r="B60" s="5" t="s">
        <v>175</v>
      </c>
      <c r="C60" s="5" t="s">
        <v>176</v>
      </c>
      <c r="D60" s="52" t="s">
        <v>177</v>
      </c>
      <c r="E60" s="52"/>
      <c r="F60" s="52"/>
      <c r="G60" s="52"/>
      <c r="H60" s="52"/>
      <c r="I60" s="52"/>
      <c r="J60" s="52"/>
      <c r="K60" s="20">
        <f>SUM(K62:K63)</f>
        <v>15</v>
      </c>
      <c r="L60" s="21">
        <f>ROUND(1.08*(1+M2/100),2)</f>
        <v>1.1100000000000001</v>
      </c>
      <c r="M60" s="21">
        <f>ROUND(K60*L60,2)</f>
        <v>16.649999999999999</v>
      </c>
    </row>
    <row r="61" spans="1:13" ht="15.25" customHeight="1" thickBot="1" x14ac:dyDescent="0.35">
      <c r="A61" s="29"/>
      <c r="B61" s="29"/>
      <c r="C61" s="29"/>
      <c r="D61" s="29"/>
      <c r="E61" s="30"/>
      <c r="F61" s="32" t="s">
        <v>178</v>
      </c>
      <c r="G61" s="32" t="s">
        <v>179</v>
      </c>
      <c r="H61" s="32" t="s">
        <v>180</v>
      </c>
      <c r="I61" s="32" t="s">
        <v>181</v>
      </c>
      <c r="J61" s="32" t="s">
        <v>182</v>
      </c>
      <c r="K61" s="32" t="s">
        <v>183</v>
      </c>
      <c r="L61" s="29"/>
      <c r="M61" s="29"/>
    </row>
    <row r="62" spans="1:13" ht="21.65" customHeight="1" thickBot="1" x14ac:dyDescent="0.35">
      <c r="A62" s="29"/>
      <c r="B62" s="29"/>
      <c r="C62" s="29"/>
      <c r="D62" s="33"/>
      <c r="E62" s="34" t="s">
        <v>184</v>
      </c>
      <c r="F62" s="35">
        <v>3</v>
      </c>
      <c r="G62" s="36">
        <v>5</v>
      </c>
      <c r="H62" s="36"/>
      <c r="I62" s="36"/>
      <c r="J62" s="38">
        <f>ROUND(F62*G62,3)</f>
        <v>15</v>
      </c>
      <c r="K62" s="41"/>
      <c r="L62" s="29"/>
      <c r="M62" s="29"/>
    </row>
    <row r="63" spans="1:13" ht="15.25" customHeight="1" thickBot="1" x14ac:dyDescent="0.35">
      <c r="A63" s="29"/>
      <c r="B63" s="29"/>
      <c r="C63" s="29"/>
      <c r="D63" s="33"/>
      <c r="E63" s="5"/>
      <c r="F63" s="3"/>
      <c r="G63" s="20"/>
      <c r="H63" s="20"/>
      <c r="I63" s="20"/>
      <c r="J63" s="31" t="s">
        <v>185</v>
      </c>
      <c r="K63" s="39">
        <f>SUM(J62:J63)</f>
        <v>15</v>
      </c>
      <c r="L63" s="29"/>
      <c r="M63" s="29"/>
    </row>
    <row r="64" spans="1:13" ht="15.5" customHeight="1" thickBot="1" x14ac:dyDescent="0.35">
      <c r="A64" s="10" t="s">
        <v>186</v>
      </c>
      <c r="B64" s="5" t="s">
        <v>187</v>
      </c>
      <c r="C64" s="5" t="s">
        <v>188</v>
      </c>
      <c r="D64" s="52" t="s">
        <v>189</v>
      </c>
      <c r="E64" s="52"/>
      <c r="F64" s="52"/>
      <c r="G64" s="52"/>
      <c r="H64" s="52"/>
      <c r="I64" s="52"/>
      <c r="J64" s="52"/>
      <c r="K64" s="20">
        <f>ROUND(5,2)</f>
        <v>5</v>
      </c>
      <c r="L64" s="21">
        <f>ROUND(3.48*(1+M2/100),2)</f>
        <v>3.58</v>
      </c>
      <c r="M64" s="21">
        <f>ROUND(K64*L64,2)</f>
        <v>17.899999999999999</v>
      </c>
    </row>
    <row r="65" spans="1:13" ht="15.5" customHeight="1" thickBot="1" x14ac:dyDescent="0.35">
      <c r="A65" s="10" t="s">
        <v>190</v>
      </c>
      <c r="B65" s="5" t="s">
        <v>191</v>
      </c>
      <c r="C65" s="5" t="s">
        <v>192</v>
      </c>
      <c r="D65" s="52" t="s">
        <v>193</v>
      </c>
      <c r="E65" s="52"/>
      <c r="F65" s="52"/>
      <c r="G65" s="52"/>
      <c r="H65" s="52"/>
      <c r="I65" s="52"/>
      <c r="J65" s="52"/>
      <c r="K65" s="20">
        <f>ROUND(1,2)</f>
        <v>1</v>
      </c>
      <c r="L65" s="21">
        <f>ROUND(48.544*(1+M2/100),2)</f>
        <v>50</v>
      </c>
      <c r="M65" s="21">
        <f>ROUND(K65*L65,2)</f>
        <v>50</v>
      </c>
    </row>
    <row r="66" spans="1:13" ht="15.5" customHeight="1" thickBot="1" x14ac:dyDescent="0.35">
      <c r="A66" s="22"/>
      <c r="B66" s="22"/>
      <c r="C66" s="22"/>
      <c r="D66" s="23" t="s">
        <v>194</v>
      </c>
      <c r="E66" s="24"/>
      <c r="F66" s="24"/>
      <c r="G66" s="24"/>
      <c r="H66" s="24"/>
      <c r="I66" s="24"/>
      <c r="J66" s="24"/>
      <c r="K66" s="24"/>
      <c r="L66" s="25">
        <f>M60+M64+M65</f>
        <v>84.55</v>
      </c>
      <c r="M66" s="25">
        <f>ROUND(L66,2)</f>
        <v>84.55</v>
      </c>
    </row>
    <row r="67" spans="1:13" ht="15.5" customHeight="1" thickBot="1" x14ac:dyDescent="0.35">
      <c r="A67" s="26" t="s">
        <v>195</v>
      </c>
      <c r="B67" s="26" t="s">
        <v>196</v>
      </c>
      <c r="C67" s="27"/>
      <c r="D67" s="53" t="s">
        <v>197</v>
      </c>
      <c r="E67" s="53"/>
      <c r="F67" s="53"/>
      <c r="G67" s="53"/>
      <c r="H67" s="53"/>
      <c r="I67" s="53"/>
      <c r="J67" s="53"/>
      <c r="K67" s="27"/>
      <c r="L67" s="28">
        <f>L76</f>
        <v>161.43</v>
      </c>
      <c r="M67" s="28">
        <f>ROUND(L67,2)</f>
        <v>161.43</v>
      </c>
    </row>
    <row r="68" spans="1:13" ht="15.5" customHeight="1" thickBot="1" x14ac:dyDescent="0.35">
      <c r="A68" s="10" t="s">
        <v>198</v>
      </c>
      <c r="B68" s="5" t="s">
        <v>199</v>
      </c>
      <c r="C68" s="5" t="s">
        <v>200</v>
      </c>
      <c r="D68" s="52" t="s">
        <v>201</v>
      </c>
      <c r="E68" s="52"/>
      <c r="F68" s="52"/>
      <c r="G68" s="52"/>
      <c r="H68" s="52"/>
      <c r="I68" s="52"/>
      <c r="J68" s="52"/>
      <c r="K68" s="20">
        <f>SUM(K70:K71)</f>
        <v>1</v>
      </c>
      <c r="L68" s="21">
        <f>ROUND(40.83*(1+M2/100),2)</f>
        <v>42.05</v>
      </c>
      <c r="M68" s="21">
        <f>ROUND(K68*L68,2)</f>
        <v>42.05</v>
      </c>
    </row>
    <row r="69" spans="1:13" ht="15.25" customHeight="1" thickBot="1" x14ac:dyDescent="0.35">
      <c r="A69" s="29"/>
      <c r="B69" s="29"/>
      <c r="C69" s="29"/>
      <c r="D69" s="29"/>
      <c r="E69" s="30"/>
      <c r="F69" s="32" t="s">
        <v>202</v>
      </c>
      <c r="G69" s="32" t="s">
        <v>203</v>
      </c>
      <c r="H69" s="32" t="s">
        <v>204</v>
      </c>
      <c r="I69" s="32" t="s">
        <v>205</v>
      </c>
      <c r="J69" s="32" t="s">
        <v>206</v>
      </c>
      <c r="K69" s="32" t="s">
        <v>207</v>
      </c>
      <c r="L69" s="29"/>
      <c r="M69" s="29"/>
    </row>
    <row r="70" spans="1:13" ht="15.25" customHeight="1" thickBot="1" x14ac:dyDescent="0.35">
      <c r="A70" s="29"/>
      <c r="B70" s="29"/>
      <c r="C70" s="29"/>
      <c r="D70" s="33"/>
      <c r="E70" s="34" t="s">
        <v>208</v>
      </c>
      <c r="F70" s="35">
        <v>1</v>
      </c>
      <c r="G70" s="36"/>
      <c r="H70" s="36"/>
      <c r="I70" s="36"/>
      <c r="J70" s="38">
        <f>ROUND(F70,3)</f>
        <v>1</v>
      </c>
      <c r="K70" s="41"/>
      <c r="L70" s="29"/>
      <c r="M70" s="29"/>
    </row>
    <row r="71" spans="1:13" ht="15.25" customHeight="1" thickBot="1" x14ac:dyDescent="0.35">
      <c r="A71" s="29"/>
      <c r="B71" s="29"/>
      <c r="C71" s="29"/>
      <c r="D71" s="33"/>
      <c r="E71" s="5"/>
      <c r="F71" s="3"/>
      <c r="G71" s="20"/>
      <c r="H71" s="20"/>
      <c r="I71" s="20"/>
      <c r="J71" s="31" t="s">
        <v>209</v>
      </c>
      <c r="K71" s="39">
        <f>SUM(J70:J71)</f>
        <v>1</v>
      </c>
      <c r="L71" s="29"/>
      <c r="M71" s="29"/>
    </row>
    <row r="72" spans="1:13" ht="15.5" customHeight="1" thickBot="1" x14ac:dyDescent="0.35">
      <c r="A72" s="10" t="s">
        <v>210</v>
      </c>
      <c r="B72" s="5" t="s">
        <v>211</v>
      </c>
      <c r="C72" s="5" t="s">
        <v>212</v>
      </c>
      <c r="D72" s="52" t="s">
        <v>213</v>
      </c>
      <c r="E72" s="52"/>
      <c r="F72" s="52"/>
      <c r="G72" s="52"/>
      <c r="H72" s="52"/>
      <c r="I72" s="52"/>
      <c r="J72" s="52"/>
      <c r="K72" s="20">
        <f>SUM(K74:K74)</f>
        <v>1</v>
      </c>
      <c r="L72" s="21">
        <f>ROUND(58.67*(1+M2/100),2)</f>
        <v>60.43</v>
      </c>
      <c r="M72" s="21">
        <f>ROUND(K72*L72,2)</f>
        <v>60.43</v>
      </c>
    </row>
    <row r="73" spans="1:13" ht="15.25" customHeight="1" thickBot="1" x14ac:dyDescent="0.35">
      <c r="A73" s="29"/>
      <c r="B73" s="29"/>
      <c r="C73" s="29"/>
      <c r="D73" s="29"/>
      <c r="E73" s="30"/>
      <c r="F73" s="32" t="s">
        <v>214</v>
      </c>
      <c r="G73" s="32" t="s">
        <v>215</v>
      </c>
      <c r="H73" s="32" t="s">
        <v>216</v>
      </c>
      <c r="I73" s="32" t="s">
        <v>217</v>
      </c>
      <c r="J73" s="32" t="s">
        <v>218</v>
      </c>
      <c r="K73" s="32" t="s">
        <v>219</v>
      </c>
      <c r="L73" s="29"/>
      <c r="M73" s="29"/>
    </row>
    <row r="74" spans="1:13" ht="21.65" customHeight="1" thickBot="1" x14ac:dyDescent="0.35">
      <c r="A74" s="29"/>
      <c r="B74" s="29"/>
      <c r="C74" s="29"/>
      <c r="D74" s="33"/>
      <c r="E74" s="34" t="s">
        <v>220</v>
      </c>
      <c r="F74" s="35">
        <v>1</v>
      </c>
      <c r="G74" s="36"/>
      <c r="H74" s="36"/>
      <c r="I74" s="36"/>
      <c r="J74" s="38">
        <f>ROUND(F74,3)</f>
        <v>1</v>
      </c>
      <c r="K74" s="40">
        <f>SUM(J74:J74)</f>
        <v>1</v>
      </c>
      <c r="L74" s="29"/>
      <c r="M74" s="29"/>
    </row>
    <row r="75" spans="1:13" ht="15.5" customHeight="1" thickBot="1" x14ac:dyDescent="0.35">
      <c r="A75" s="10" t="s">
        <v>221</v>
      </c>
      <c r="B75" s="5" t="s">
        <v>222</v>
      </c>
      <c r="C75" s="5" t="s">
        <v>223</v>
      </c>
      <c r="D75" s="52" t="s">
        <v>224</v>
      </c>
      <c r="E75" s="52"/>
      <c r="F75" s="52"/>
      <c r="G75" s="52"/>
      <c r="H75" s="52"/>
      <c r="I75" s="52"/>
      <c r="J75" s="52"/>
      <c r="K75" s="20">
        <f>ROUND(3,2)</f>
        <v>3</v>
      </c>
      <c r="L75" s="21">
        <f>ROUND(19.08*(1+M2/100),2)</f>
        <v>19.649999999999999</v>
      </c>
      <c r="M75" s="21">
        <f>ROUND(K75*L75,2)</f>
        <v>58.95</v>
      </c>
    </row>
    <row r="76" spans="1:13" ht="15.5" customHeight="1" thickBot="1" x14ac:dyDescent="0.35">
      <c r="A76" s="22"/>
      <c r="B76" s="22"/>
      <c r="C76" s="22"/>
      <c r="D76" s="23" t="s">
        <v>225</v>
      </c>
      <c r="E76" s="24"/>
      <c r="F76" s="24"/>
      <c r="G76" s="24"/>
      <c r="H76" s="24"/>
      <c r="I76" s="24"/>
      <c r="J76" s="24"/>
      <c r="K76" s="24"/>
      <c r="L76" s="25">
        <f>M68+M72+M75</f>
        <v>161.43</v>
      </c>
      <c r="M76" s="25">
        <f>ROUND(L76,2)</f>
        <v>161.43</v>
      </c>
    </row>
    <row r="77" spans="1:13" ht="15.5" customHeight="1" thickBot="1" x14ac:dyDescent="0.35">
      <c r="A77" s="26" t="s">
        <v>226</v>
      </c>
      <c r="B77" s="26" t="s">
        <v>227</v>
      </c>
      <c r="C77" s="27"/>
      <c r="D77" s="53" t="s">
        <v>228</v>
      </c>
      <c r="E77" s="53"/>
      <c r="F77" s="53"/>
      <c r="G77" s="53"/>
      <c r="H77" s="53"/>
      <c r="I77" s="53"/>
      <c r="J77" s="53"/>
      <c r="K77" s="27"/>
      <c r="L77" s="28">
        <f>L80</f>
        <v>234.57999999999998</v>
      </c>
      <c r="M77" s="28">
        <f>ROUND(L77,2)</f>
        <v>234.58</v>
      </c>
    </row>
    <row r="78" spans="1:13" ht="15.5" customHeight="1" thickBot="1" x14ac:dyDescent="0.35">
      <c r="A78" s="10" t="s">
        <v>229</v>
      </c>
      <c r="B78" s="5" t="s">
        <v>230</v>
      </c>
      <c r="C78" s="5" t="s">
        <v>231</v>
      </c>
      <c r="D78" s="52" t="s">
        <v>232</v>
      </c>
      <c r="E78" s="52"/>
      <c r="F78" s="52"/>
      <c r="G78" s="52"/>
      <c r="H78" s="52"/>
      <c r="I78" s="52"/>
      <c r="J78" s="52"/>
      <c r="K78" s="20">
        <f>ROUND(7,2)</f>
        <v>7</v>
      </c>
      <c r="L78" s="21">
        <f>ROUND(20.48*(1+M2/100),2)</f>
        <v>21.09</v>
      </c>
      <c r="M78" s="21">
        <f>ROUND(K78*L78,2)</f>
        <v>147.63</v>
      </c>
    </row>
    <row r="79" spans="1:13" ht="15.5" customHeight="1" thickBot="1" x14ac:dyDescent="0.35">
      <c r="A79" s="10" t="s">
        <v>233</v>
      </c>
      <c r="B79" s="5" t="s">
        <v>234</v>
      </c>
      <c r="C79" s="5" t="s">
        <v>235</v>
      </c>
      <c r="D79" s="52" t="s">
        <v>236</v>
      </c>
      <c r="E79" s="52"/>
      <c r="F79" s="52"/>
      <c r="G79" s="52"/>
      <c r="H79" s="52"/>
      <c r="I79" s="52"/>
      <c r="J79" s="52"/>
      <c r="K79" s="20">
        <f>ROUND(5,2)</f>
        <v>5</v>
      </c>
      <c r="L79" s="21">
        <f>ROUND(16.88*(1+M2/100),2)</f>
        <v>17.39</v>
      </c>
      <c r="M79" s="21">
        <f>ROUND(K79*L79,2)</f>
        <v>86.95</v>
      </c>
    </row>
    <row r="80" spans="1:13" ht="15.5" customHeight="1" thickBot="1" x14ac:dyDescent="0.35">
      <c r="A80" s="22"/>
      <c r="B80" s="22"/>
      <c r="C80" s="22"/>
      <c r="D80" s="23" t="s">
        <v>237</v>
      </c>
      <c r="E80" s="24"/>
      <c r="F80" s="24"/>
      <c r="G80" s="24"/>
      <c r="H80" s="24"/>
      <c r="I80" s="24"/>
      <c r="J80" s="24"/>
      <c r="K80" s="24"/>
      <c r="L80" s="25">
        <f>M78+M79</f>
        <v>234.57999999999998</v>
      </c>
      <c r="M80" s="25">
        <f>ROUND(L80,2)</f>
        <v>234.58</v>
      </c>
    </row>
    <row r="81" spans="1:13" ht="15.5" customHeight="1" thickBot="1" x14ac:dyDescent="0.35">
      <c r="A81" s="26" t="s">
        <v>238</v>
      </c>
      <c r="B81" s="26" t="s">
        <v>239</v>
      </c>
      <c r="C81" s="27"/>
      <c r="D81" s="53" t="s">
        <v>240</v>
      </c>
      <c r="E81" s="53"/>
      <c r="F81" s="53"/>
      <c r="G81" s="53"/>
      <c r="H81" s="53"/>
      <c r="I81" s="53"/>
      <c r="J81" s="53"/>
      <c r="K81" s="27"/>
      <c r="L81" s="28">
        <f>L83</f>
        <v>123.6</v>
      </c>
      <c r="M81" s="28">
        <f>ROUND(L81,2)</f>
        <v>123.6</v>
      </c>
    </row>
    <row r="82" spans="1:13" ht="15.5" customHeight="1" thickBot="1" x14ac:dyDescent="0.35">
      <c r="A82" s="10" t="s">
        <v>241</v>
      </c>
      <c r="B82" s="5" t="s">
        <v>242</v>
      </c>
      <c r="C82" s="5" t="s">
        <v>243</v>
      </c>
      <c r="D82" s="52" t="s">
        <v>244</v>
      </c>
      <c r="E82" s="52"/>
      <c r="F82" s="52"/>
      <c r="G82" s="52"/>
      <c r="H82" s="52"/>
      <c r="I82" s="52"/>
      <c r="J82" s="52"/>
      <c r="K82" s="20">
        <f>ROUND(1,2)</f>
        <v>1</v>
      </c>
      <c r="L82" s="21">
        <f>ROUND(120*(1+M2/100),2)</f>
        <v>123.6</v>
      </c>
      <c r="M82" s="21">
        <f>ROUND(K82*L82,2)</f>
        <v>123.6</v>
      </c>
    </row>
    <row r="83" spans="1:13" ht="15.5" customHeight="1" thickBot="1" x14ac:dyDescent="0.35">
      <c r="A83" s="22"/>
      <c r="B83" s="22"/>
      <c r="C83" s="22"/>
      <c r="D83" s="23" t="s">
        <v>245</v>
      </c>
      <c r="E83" s="24"/>
      <c r="F83" s="24"/>
      <c r="G83" s="24"/>
      <c r="H83" s="24"/>
      <c r="I83" s="24"/>
      <c r="J83" s="24"/>
      <c r="K83" s="24"/>
      <c r="L83" s="25">
        <f>M82</f>
        <v>123.6</v>
      </c>
      <c r="M83" s="25">
        <f>ROUND(L83,2)</f>
        <v>123.6</v>
      </c>
    </row>
    <row r="84" spans="1:13" ht="15.5" customHeight="1" thickBot="1" x14ac:dyDescent="0.35">
      <c r="A84" s="42"/>
      <c r="B84" s="42"/>
      <c r="C84" s="42"/>
      <c r="D84" s="43" t="s">
        <v>246</v>
      </c>
      <c r="E84" s="44"/>
      <c r="F84" s="44"/>
      <c r="G84" s="44"/>
      <c r="H84" s="44"/>
      <c r="I84" s="44"/>
      <c r="J84" s="44"/>
      <c r="K84" s="44"/>
      <c r="L84" s="45">
        <f>M55+M58+M66+M76+M80+M83</f>
        <v>1658.12</v>
      </c>
      <c r="M84" s="45">
        <f>ROUND(L84,2)</f>
        <v>1658.12</v>
      </c>
    </row>
    <row r="85" spans="1:13" ht="15.5" customHeight="1" thickBot="1" x14ac:dyDescent="0.35">
      <c r="A85" s="46" t="s">
        <v>247</v>
      </c>
      <c r="B85" s="46" t="s">
        <v>248</v>
      </c>
      <c r="C85" s="47"/>
      <c r="D85" s="54" t="s">
        <v>249</v>
      </c>
      <c r="E85" s="54"/>
      <c r="F85" s="54"/>
      <c r="G85" s="54"/>
      <c r="H85" s="54"/>
      <c r="I85" s="54"/>
      <c r="J85" s="54"/>
      <c r="K85" s="47"/>
      <c r="L85" s="48">
        <f>L117</f>
        <v>2198.9299999999998</v>
      </c>
      <c r="M85" s="48">
        <f>ROUND(L85,2)</f>
        <v>2198.9299999999998</v>
      </c>
    </row>
    <row r="86" spans="1:13" ht="15.5" customHeight="1" thickBot="1" x14ac:dyDescent="0.35">
      <c r="A86" s="17" t="s">
        <v>250</v>
      </c>
      <c r="B86" s="17" t="s">
        <v>251</v>
      </c>
      <c r="C86" s="18"/>
      <c r="D86" s="55" t="s">
        <v>252</v>
      </c>
      <c r="E86" s="55"/>
      <c r="F86" s="55"/>
      <c r="G86" s="55"/>
      <c r="H86" s="55"/>
      <c r="I86" s="55"/>
      <c r="J86" s="55"/>
      <c r="K86" s="18"/>
      <c r="L86" s="19">
        <f>L90</f>
        <v>700</v>
      </c>
      <c r="M86" s="19">
        <f>ROUND(L86,2)</f>
        <v>700</v>
      </c>
    </row>
    <row r="87" spans="1:13" ht="15.5" customHeight="1" thickBot="1" x14ac:dyDescent="0.35">
      <c r="A87" s="10" t="s">
        <v>253</v>
      </c>
      <c r="B87" s="5" t="s">
        <v>254</v>
      </c>
      <c r="C87" s="5" t="s">
        <v>255</v>
      </c>
      <c r="D87" s="52" t="s">
        <v>256</v>
      </c>
      <c r="E87" s="52"/>
      <c r="F87" s="52"/>
      <c r="G87" s="52"/>
      <c r="H87" s="52"/>
      <c r="I87" s="52"/>
      <c r="J87" s="52"/>
      <c r="K87" s="20">
        <f>ROUND(1,2)</f>
        <v>1</v>
      </c>
      <c r="L87" s="21">
        <f>ROUND(242.718*(1+M2/100),2)</f>
        <v>250</v>
      </c>
      <c r="M87" s="21">
        <f>ROUND(K87*L87,2)</f>
        <v>250</v>
      </c>
    </row>
    <row r="88" spans="1:13" ht="15.5" customHeight="1" thickBot="1" x14ac:dyDescent="0.35">
      <c r="A88" s="10" t="s">
        <v>257</v>
      </c>
      <c r="B88" s="5" t="s">
        <v>258</v>
      </c>
      <c r="C88" s="5" t="s">
        <v>259</v>
      </c>
      <c r="D88" s="52" t="s">
        <v>260</v>
      </c>
      <c r="E88" s="52"/>
      <c r="F88" s="52"/>
      <c r="G88" s="52"/>
      <c r="H88" s="52"/>
      <c r="I88" s="52"/>
      <c r="J88" s="52"/>
      <c r="K88" s="20">
        <f>ROUND(1,2)</f>
        <v>1</v>
      </c>
      <c r="L88" s="21">
        <f>ROUND(242.718*(1+M2/100),2)</f>
        <v>250</v>
      </c>
      <c r="M88" s="21">
        <f>ROUND(K88*L88,2)</f>
        <v>250</v>
      </c>
    </row>
    <row r="89" spans="1:13" ht="15.5" customHeight="1" thickBot="1" x14ac:dyDescent="0.35">
      <c r="A89" s="10" t="s">
        <v>261</v>
      </c>
      <c r="B89" s="5" t="s">
        <v>262</v>
      </c>
      <c r="C89" s="5" t="s">
        <v>263</v>
      </c>
      <c r="D89" s="52" t="s">
        <v>264</v>
      </c>
      <c r="E89" s="52"/>
      <c r="F89" s="52"/>
      <c r="G89" s="52"/>
      <c r="H89" s="52"/>
      <c r="I89" s="52"/>
      <c r="J89" s="52"/>
      <c r="K89" s="20">
        <f>ROUND(1,2)</f>
        <v>1</v>
      </c>
      <c r="L89" s="21">
        <f>ROUND(194.175*(1+M2/100),2)</f>
        <v>200</v>
      </c>
      <c r="M89" s="21">
        <f>ROUND(K89*L89,2)</f>
        <v>200</v>
      </c>
    </row>
    <row r="90" spans="1:13" ht="15.5" customHeight="1" thickBot="1" x14ac:dyDescent="0.35">
      <c r="A90" s="22"/>
      <c r="B90" s="22"/>
      <c r="C90" s="22"/>
      <c r="D90" s="23" t="s">
        <v>265</v>
      </c>
      <c r="E90" s="24"/>
      <c r="F90" s="24"/>
      <c r="G90" s="24"/>
      <c r="H90" s="24"/>
      <c r="I90" s="24"/>
      <c r="J90" s="24"/>
      <c r="K90" s="24"/>
      <c r="L90" s="25">
        <f>M87+M88+M89</f>
        <v>700</v>
      </c>
      <c r="M90" s="25">
        <f>ROUND(L90,2)</f>
        <v>700</v>
      </c>
    </row>
    <row r="91" spans="1:13" ht="15.5" customHeight="1" thickBot="1" x14ac:dyDescent="0.35">
      <c r="A91" s="26" t="s">
        <v>266</v>
      </c>
      <c r="B91" s="26" t="s">
        <v>267</v>
      </c>
      <c r="C91" s="27"/>
      <c r="D91" s="53" t="s">
        <v>268</v>
      </c>
      <c r="E91" s="53"/>
      <c r="F91" s="53"/>
      <c r="G91" s="53"/>
      <c r="H91" s="53"/>
      <c r="I91" s="53"/>
      <c r="J91" s="53"/>
      <c r="K91" s="27"/>
      <c r="L91" s="28">
        <f>L93</f>
        <v>390.96</v>
      </c>
      <c r="M91" s="28">
        <f>ROUND(L91,2)</f>
        <v>390.96</v>
      </c>
    </row>
    <row r="92" spans="1:13" ht="15.5" customHeight="1" thickBot="1" x14ac:dyDescent="0.35">
      <c r="A92" s="10" t="s">
        <v>269</v>
      </c>
      <c r="B92" s="5" t="s">
        <v>270</v>
      </c>
      <c r="C92" s="5" t="s">
        <v>271</v>
      </c>
      <c r="D92" s="52" t="s">
        <v>272</v>
      </c>
      <c r="E92" s="52"/>
      <c r="F92" s="52"/>
      <c r="G92" s="52"/>
      <c r="H92" s="52"/>
      <c r="I92" s="52"/>
      <c r="J92" s="52"/>
      <c r="K92" s="20">
        <f>ROUND(1,2)</f>
        <v>1</v>
      </c>
      <c r="L92" s="21">
        <f>ROUND(379.57*(1+M2/100),2)</f>
        <v>390.96</v>
      </c>
      <c r="M92" s="21">
        <f>ROUND(K92*L92,2)</f>
        <v>390.96</v>
      </c>
    </row>
    <row r="93" spans="1:13" ht="15.5" customHeight="1" thickBot="1" x14ac:dyDescent="0.35">
      <c r="A93" s="22"/>
      <c r="B93" s="22"/>
      <c r="C93" s="22"/>
      <c r="D93" s="23" t="s">
        <v>273</v>
      </c>
      <c r="E93" s="24"/>
      <c r="F93" s="24"/>
      <c r="G93" s="24"/>
      <c r="H93" s="24"/>
      <c r="I93" s="24"/>
      <c r="J93" s="24"/>
      <c r="K93" s="24"/>
      <c r="L93" s="25">
        <f>M92</f>
        <v>390.96</v>
      </c>
      <c r="M93" s="25">
        <f>ROUND(L93,2)</f>
        <v>390.96</v>
      </c>
    </row>
    <row r="94" spans="1:13" ht="15.5" customHeight="1" thickBot="1" x14ac:dyDescent="0.35">
      <c r="A94" s="26" t="s">
        <v>274</v>
      </c>
      <c r="B94" s="26" t="s">
        <v>275</v>
      </c>
      <c r="C94" s="27"/>
      <c r="D94" s="53" t="s">
        <v>276</v>
      </c>
      <c r="E94" s="53"/>
      <c r="F94" s="53"/>
      <c r="G94" s="53"/>
      <c r="H94" s="53"/>
      <c r="I94" s="53"/>
      <c r="J94" s="53"/>
      <c r="K94" s="27"/>
      <c r="L94" s="28">
        <f>L100</f>
        <v>215.73999999999998</v>
      </c>
      <c r="M94" s="28">
        <f>ROUND(L94,2)</f>
        <v>215.74</v>
      </c>
    </row>
    <row r="95" spans="1:13" ht="15.5" customHeight="1" thickBot="1" x14ac:dyDescent="0.35">
      <c r="A95" s="10" t="s">
        <v>277</v>
      </c>
      <c r="B95" s="5" t="s">
        <v>278</v>
      </c>
      <c r="C95" s="5" t="s">
        <v>279</v>
      </c>
      <c r="D95" s="52" t="s">
        <v>280</v>
      </c>
      <c r="E95" s="52"/>
      <c r="F95" s="52"/>
      <c r="G95" s="52"/>
      <c r="H95" s="52"/>
      <c r="I95" s="52"/>
      <c r="J95" s="52"/>
      <c r="K95" s="20">
        <f>ROUND(1,2)</f>
        <v>1</v>
      </c>
      <c r="L95" s="21">
        <f>ROUND(64.8*(1+M2/100),2)</f>
        <v>66.739999999999995</v>
      </c>
      <c r="M95" s="21">
        <f>ROUND(K95*L95,2)</f>
        <v>66.739999999999995</v>
      </c>
    </row>
    <row r="96" spans="1:13" ht="30.9" customHeight="1" thickBot="1" x14ac:dyDescent="0.35">
      <c r="A96" s="10" t="s">
        <v>281</v>
      </c>
      <c r="B96" s="5" t="s">
        <v>282</v>
      </c>
      <c r="C96" s="5" t="s">
        <v>283</v>
      </c>
      <c r="D96" s="52" t="s">
        <v>284</v>
      </c>
      <c r="E96" s="52"/>
      <c r="F96" s="52"/>
      <c r="G96" s="52"/>
      <c r="H96" s="52"/>
      <c r="I96" s="52"/>
      <c r="J96" s="52"/>
      <c r="K96" s="20">
        <f>SUM(K98:K98)</f>
        <v>60</v>
      </c>
      <c r="L96" s="21">
        <f>ROUND(1.25*(1+M2/100),2)</f>
        <v>1.29</v>
      </c>
      <c r="M96" s="21">
        <f>ROUND(K96*L96,2)</f>
        <v>77.400000000000006</v>
      </c>
    </row>
    <row r="97" spans="1:13" ht="15.25" customHeight="1" thickBot="1" x14ac:dyDescent="0.35">
      <c r="A97" s="29"/>
      <c r="B97" s="29"/>
      <c r="C97" s="29"/>
      <c r="D97" s="29"/>
      <c r="E97" s="30"/>
      <c r="F97" s="32" t="s">
        <v>285</v>
      </c>
      <c r="G97" s="32" t="s">
        <v>286</v>
      </c>
      <c r="H97" s="32" t="s">
        <v>287</v>
      </c>
      <c r="I97" s="32" t="s">
        <v>288</v>
      </c>
      <c r="J97" s="32" t="s">
        <v>289</v>
      </c>
      <c r="K97" s="32" t="s">
        <v>290</v>
      </c>
      <c r="L97" s="29"/>
      <c r="M97" s="29"/>
    </row>
    <row r="98" spans="1:13" ht="21.65" customHeight="1" thickBot="1" x14ac:dyDescent="0.35">
      <c r="A98" s="29"/>
      <c r="B98" s="29"/>
      <c r="C98" s="29"/>
      <c r="D98" s="33"/>
      <c r="E98" s="34" t="s">
        <v>291</v>
      </c>
      <c r="F98" s="35">
        <v>3</v>
      </c>
      <c r="G98" s="36">
        <v>20</v>
      </c>
      <c r="H98" s="36"/>
      <c r="I98" s="36"/>
      <c r="J98" s="38">
        <f>ROUND(F98*G98,3)</f>
        <v>60</v>
      </c>
      <c r="K98" s="40">
        <f>SUM(J98:J98)</f>
        <v>60</v>
      </c>
      <c r="L98" s="29"/>
      <c r="M98" s="29"/>
    </row>
    <row r="99" spans="1:13" ht="15.5" customHeight="1" thickBot="1" x14ac:dyDescent="0.35">
      <c r="A99" s="10" t="s">
        <v>292</v>
      </c>
      <c r="B99" s="5" t="s">
        <v>293</v>
      </c>
      <c r="C99" s="5" t="s">
        <v>294</v>
      </c>
      <c r="D99" s="52" t="s">
        <v>295</v>
      </c>
      <c r="E99" s="52"/>
      <c r="F99" s="52"/>
      <c r="G99" s="52"/>
      <c r="H99" s="52"/>
      <c r="I99" s="52"/>
      <c r="J99" s="52"/>
      <c r="K99" s="20">
        <f>ROUND(20,2)</f>
        <v>20</v>
      </c>
      <c r="L99" s="21">
        <f>ROUND(3.48*(1+M2/100),2)</f>
        <v>3.58</v>
      </c>
      <c r="M99" s="21">
        <f>ROUND(K99*L99,2)</f>
        <v>71.599999999999994</v>
      </c>
    </row>
    <row r="100" spans="1:13" ht="15.5" customHeight="1" thickBot="1" x14ac:dyDescent="0.35">
      <c r="A100" s="22"/>
      <c r="B100" s="22"/>
      <c r="C100" s="22"/>
      <c r="D100" s="23" t="s">
        <v>296</v>
      </c>
      <c r="E100" s="24"/>
      <c r="F100" s="24"/>
      <c r="G100" s="24"/>
      <c r="H100" s="24"/>
      <c r="I100" s="24"/>
      <c r="J100" s="24"/>
      <c r="K100" s="24"/>
      <c r="L100" s="25">
        <f>M95+M96+M99</f>
        <v>215.73999999999998</v>
      </c>
      <c r="M100" s="25">
        <f>ROUND(L100,2)</f>
        <v>215.74</v>
      </c>
    </row>
    <row r="101" spans="1:13" ht="15.5" customHeight="1" thickBot="1" x14ac:dyDescent="0.35">
      <c r="A101" s="26" t="s">
        <v>297</v>
      </c>
      <c r="B101" s="26" t="s">
        <v>298</v>
      </c>
      <c r="C101" s="27"/>
      <c r="D101" s="53" t="s">
        <v>299</v>
      </c>
      <c r="E101" s="53"/>
      <c r="F101" s="53"/>
      <c r="G101" s="53"/>
      <c r="H101" s="53"/>
      <c r="I101" s="53"/>
      <c r="J101" s="53"/>
      <c r="K101" s="27"/>
      <c r="L101" s="28">
        <f>L110</f>
        <v>283.55999999999995</v>
      </c>
      <c r="M101" s="28">
        <f>ROUND(L101,2)</f>
        <v>283.56</v>
      </c>
    </row>
    <row r="102" spans="1:13" ht="15.5" customHeight="1" thickBot="1" x14ac:dyDescent="0.35">
      <c r="A102" s="10" t="s">
        <v>300</v>
      </c>
      <c r="B102" s="5" t="s">
        <v>301</v>
      </c>
      <c r="C102" s="5" t="s">
        <v>302</v>
      </c>
      <c r="D102" s="52" t="s">
        <v>303</v>
      </c>
      <c r="E102" s="52"/>
      <c r="F102" s="52"/>
      <c r="G102" s="52"/>
      <c r="H102" s="52"/>
      <c r="I102" s="52"/>
      <c r="J102" s="52"/>
      <c r="K102" s="20">
        <f>SUM(K104:K105)</f>
        <v>2</v>
      </c>
      <c r="L102" s="21">
        <f>ROUND(40.83*(1+M2/100),2)</f>
        <v>42.05</v>
      </c>
      <c r="M102" s="21">
        <f>ROUND(K102*L102,2)</f>
        <v>84.1</v>
      </c>
    </row>
    <row r="103" spans="1:13" ht="15.25" customHeight="1" thickBot="1" x14ac:dyDescent="0.35">
      <c r="A103" s="29"/>
      <c r="B103" s="29"/>
      <c r="C103" s="29"/>
      <c r="D103" s="29"/>
      <c r="E103" s="30"/>
      <c r="F103" s="32" t="s">
        <v>304</v>
      </c>
      <c r="G103" s="32" t="s">
        <v>305</v>
      </c>
      <c r="H103" s="32" t="s">
        <v>306</v>
      </c>
      <c r="I103" s="32" t="s">
        <v>307</v>
      </c>
      <c r="J103" s="32" t="s">
        <v>308</v>
      </c>
      <c r="K103" s="32" t="s">
        <v>309</v>
      </c>
      <c r="L103" s="29"/>
      <c r="M103" s="29"/>
    </row>
    <row r="104" spans="1:13" ht="15.25" customHeight="1" thickBot="1" x14ac:dyDescent="0.35">
      <c r="A104" s="29"/>
      <c r="B104" s="29"/>
      <c r="C104" s="29"/>
      <c r="D104" s="33"/>
      <c r="E104" s="34" t="s">
        <v>310</v>
      </c>
      <c r="F104" s="35">
        <v>1</v>
      </c>
      <c r="G104" s="36"/>
      <c r="H104" s="36"/>
      <c r="I104" s="36"/>
      <c r="J104" s="38">
        <f>ROUND(F104,3)</f>
        <v>1</v>
      </c>
      <c r="K104" s="41"/>
      <c r="L104" s="29"/>
      <c r="M104" s="29"/>
    </row>
    <row r="105" spans="1:13" ht="15.25" customHeight="1" thickBot="1" x14ac:dyDescent="0.35">
      <c r="A105" s="29"/>
      <c r="B105" s="29"/>
      <c r="C105" s="29"/>
      <c r="D105" s="33"/>
      <c r="E105" s="5" t="s">
        <v>311</v>
      </c>
      <c r="F105" s="3">
        <v>1</v>
      </c>
      <c r="G105" s="20"/>
      <c r="H105" s="20"/>
      <c r="I105" s="20"/>
      <c r="J105" s="37">
        <f>ROUND(F105,3)</f>
        <v>1</v>
      </c>
      <c r="K105" s="39">
        <f>SUM(J104:J105)</f>
        <v>2</v>
      </c>
      <c r="L105" s="29"/>
      <c r="M105" s="29"/>
    </row>
    <row r="106" spans="1:13" ht="15.5" customHeight="1" thickBot="1" x14ac:dyDescent="0.35">
      <c r="A106" s="10" t="s">
        <v>312</v>
      </c>
      <c r="B106" s="5" t="s">
        <v>313</v>
      </c>
      <c r="C106" s="5" t="s">
        <v>314</v>
      </c>
      <c r="D106" s="52" t="s">
        <v>315</v>
      </c>
      <c r="E106" s="52"/>
      <c r="F106" s="52"/>
      <c r="G106" s="52"/>
      <c r="H106" s="52"/>
      <c r="I106" s="52"/>
      <c r="J106" s="52"/>
      <c r="K106" s="20">
        <f>SUM(K108:K108)</f>
        <v>2</v>
      </c>
      <c r="L106" s="21">
        <f>ROUND(58.67*(1+M2/100),2)</f>
        <v>60.43</v>
      </c>
      <c r="M106" s="21">
        <f>ROUND(K106*L106,2)</f>
        <v>120.86</v>
      </c>
    </row>
    <row r="107" spans="1:13" ht="15.25" customHeight="1" thickBot="1" x14ac:dyDescent="0.35">
      <c r="A107" s="29"/>
      <c r="B107" s="29"/>
      <c r="C107" s="29"/>
      <c r="D107" s="29"/>
      <c r="E107" s="30"/>
      <c r="F107" s="32" t="s">
        <v>316</v>
      </c>
      <c r="G107" s="32" t="s">
        <v>317</v>
      </c>
      <c r="H107" s="32" t="s">
        <v>318</v>
      </c>
      <c r="I107" s="32" t="s">
        <v>319</v>
      </c>
      <c r="J107" s="32" t="s">
        <v>320</v>
      </c>
      <c r="K107" s="32" t="s">
        <v>321</v>
      </c>
      <c r="L107" s="29"/>
      <c r="M107" s="29"/>
    </row>
    <row r="108" spans="1:13" ht="15.25" customHeight="1" thickBot="1" x14ac:dyDescent="0.35">
      <c r="A108" s="29"/>
      <c r="B108" s="29"/>
      <c r="C108" s="29"/>
      <c r="D108" s="33"/>
      <c r="E108" s="34" t="s">
        <v>322</v>
      </c>
      <c r="F108" s="35">
        <v>2</v>
      </c>
      <c r="G108" s="36"/>
      <c r="H108" s="36"/>
      <c r="I108" s="36"/>
      <c r="J108" s="38">
        <f>ROUND(F108,3)</f>
        <v>2</v>
      </c>
      <c r="K108" s="40">
        <f>SUM(J108:J108)</f>
        <v>2</v>
      </c>
      <c r="L108" s="29"/>
      <c r="M108" s="29"/>
    </row>
    <row r="109" spans="1:13" ht="15.5" customHeight="1" thickBot="1" x14ac:dyDescent="0.35">
      <c r="A109" s="10" t="s">
        <v>323</v>
      </c>
      <c r="B109" s="5" t="s">
        <v>324</v>
      </c>
      <c r="C109" s="5" t="s">
        <v>325</v>
      </c>
      <c r="D109" s="52" t="s">
        <v>326</v>
      </c>
      <c r="E109" s="52"/>
      <c r="F109" s="52"/>
      <c r="G109" s="52"/>
      <c r="H109" s="52"/>
      <c r="I109" s="52"/>
      <c r="J109" s="52"/>
      <c r="K109" s="20">
        <f>ROUND(4,2)</f>
        <v>4</v>
      </c>
      <c r="L109" s="21">
        <f>ROUND(19.08*(1+M2/100),2)</f>
        <v>19.649999999999999</v>
      </c>
      <c r="M109" s="21">
        <f>ROUND(K109*L109,2)</f>
        <v>78.599999999999994</v>
      </c>
    </row>
    <row r="110" spans="1:13" ht="15.5" customHeight="1" thickBot="1" x14ac:dyDescent="0.35">
      <c r="A110" s="22"/>
      <c r="B110" s="22"/>
      <c r="C110" s="22"/>
      <c r="D110" s="23" t="s">
        <v>327</v>
      </c>
      <c r="E110" s="24"/>
      <c r="F110" s="24"/>
      <c r="G110" s="24"/>
      <c r="H110" s="24"/>
      <c r="I110" s="24"/>
      <c r="J110" s="24"/>
      <c r="K110" s="24"/>
      <c r="L110" s="25">
        <f>M102+M106+M109</f>
        <v>283.55999999999995</v>
      </c>
      <c r="M110" s="25">
        <f>ROUND(L110,2)</f>
        <v>283.56</v>
      </c>
    </row>
    <row r="111" spans="1:13" ht="15.5" customHeight="1" thickBot="1" x14ac:dyDescent="0.35">
      <c r="A111" s="26" t="s">
        <v>328</v>
      </c>
      <c r="B111" s="26" t="s">
        <v>329</v>
      </c>
      <c r="C111" s="27"/>
      <c r="D111" s="53" t="s">
        <v>330</v>
      </c>
      <c r="E111" s="53"/>
      <c r="F111" s="53"/>
      <c r="G111" s="53"/>
      <c r="H111" s="53"/>
      <c r="I111" s="53"/>
      <c r="J111" s="53"/>
      <c r="K111" s="27"/>
      <c r="L111" s="28">
        <f>L113</f>
        <v>485.07</v>
      </c>
      <c r="M111" s="28">
        <f>ROUND(L111,2)</f>
        <v>485.07</v>
      </c>
    </row>
    <row r="112" spans="1:13" ht="15.5" customHeight="1" thickBot="1" x14ac:dyDescent="0.35">
      <c r="A112" s="10" t="s">
        <v>331</v>
      </c>
      <c r="B112" s="5" t="s">
        <v>332</v>
      </c>
      <c r="C112" s="5" t="s">
        <v>333</v>
      </c>
      <c r="D112" s="52" t="s">
        <v>334</v>
      </c>
      <c r="E112" s="52"/>
      <c r="F112" s="52"/>
      <c r="G112" s="52"/>
      <c r="H112" s="52"/>
      <c r="I112" s="52"/>
      <c r="J112" s="52"/>
      <c r="K112" s="20">
        <f>ROUND(23,2)</f>
        <v>23</v>
      </c>
      <c r="L112" s="21">
        <f>ROUND(20.48*(1+M2/100),2)</f>
        <v>21.09</v>
      </c>
      <c r="M112" s="21">
        <f>ROUND(K112*L112,2)</f>
        <v>485.07</v>
      </c>
    </row>
    <row r="113" spans="1:13" ht="15.5" customHeight="1" thickBot="1" x14ac:dyDescent="0.35">
      <c r="A113" s="22"/>
      <c r="B113" s="22"/>
      <c r="C113" s="22"/>
      <c r="D113" s="23" t="s">
        <v>335</v>
      </c>
      <c r="E113" s="24"/>
      <c r="F113" s="24"/>
      <c r="G113" s="24"/>
      <c r="H113" s="24"/>
      <c r="I113" s="24"/>
      <c r="J113" s="24"/>
      <c r="K113" s="24"/>
      <c r="L113" s="25">
        <f>M112</f>
        <v>485.07</v>
      </c>
      <c r="M113" s="25">
        <f>ROUND(L113,2)</f>
        <v>485.07</v>
      </c>
    </row>
    <row r="114" spans="1:13" ht="15.5" customHeight="1" thickBot="1" x14ac:dyDescent="0.35">
      <c r="A114" s="26" t="s">
        <v>336</v>
      </c>
      <c r="B114" s="26" t="s">
        <v>337</v>
      </c>
      <c r="C114" s="27"/>
      <c r="D114" s="53" t="s">
        <v>338</v>
      </c>
      <c r="E114" s="53"/>
      <c r="F114" s="53"/>
      <c r="G114" s="53"/>
      <c r="H114" s="53"/>
      <c r="I114" s="53"/>
      <c r="J114" s="53"/>
      <c r="K114" s="27"/>
      <c r="L114" s="28">
        <f>L116</f>
        <v>123.6</v>
      </c>
      <c r="M114" s="28">
        <f>ROUND(L114,2)</f>
        <v>123.6</v>
      </c>
    </row>
    <row r="115" spans="1:13" ht="15.5" customHeight="1" thickBot="1" x14ac:dyDescent="0.35">
      <c r="A115" s="10" t="s">
        <v>339</v>
      </c>
      <c r="B115" s="5" t="s">
        <v>340</v>
      </c>
      <c r="C115" s="5" t="s">
        <v>341</v>
      </c>
      <c r="D115" s="52" t="s">
        <v>342</v>
      </c>
      <c r="E115" s="52"/>
      <c r="F115" s="52"/>
      <c r="G115" s="52"/>
      <c r="H115" s="52"/>
      <c r="I115" s="52"/>
      <c r="J115" s="52"/>
      <c r="K115" s="20">
        <f>ROUND(1,2)</f>
        <v>1</v>
      </c>
      <c r="L115" s="21">
        <f>ROUND(120*(1+M2/100),2)</f>
        <v>123.6</v>
      </c>
      <c r="M115" s="21">
        <f>ROUND(K115*L115,2)</f>
        <v>123.6</v>
      </c>
    </row>
    <row r="116" spans="1:13" ht="15.5" customHeight="1" thickBot="1" x14ac:dyDescent="0.35">
      <c r="A116" s="22"/>
      <c r="B116" s="22"/>
      <c r="C116" s="22"/>
      <c r="D116" s="23" t="s">
        <v>343</v>
      </c>
      <c r="E116" s="24"/>
      <c r="F116" s="24"/>
      <c r="G116" s="24"/>
      <c r="H116" s="24"/>
      <c r="I116" s="24"/>
      <c r="J116" s="24"/>
      <c r="K116" s="24"/>
      <c r="L116" s="25">
        <f>M115</f>
        <v>123.6</v>
      </c>
      <c r="M116" s="25">
        <f>ROUND(L116,2)</f>
        <v>123.6</v>
      </c>
    </row>
    <row r="117" spans="1:13" ht="15.5" customHeight="1" thickBot="1" x14ac:dyDescent="0.35">
      <c r="A117" s="42"/>
      <c r="B117" s="42"/>
      <c r="C117" s="42"/>
      <c r="D117" s="43" t="s">
        <v>344</v>
      </c>
      <c r="E117" s="44"/>
      <c r="F117" s="44"/>
      <c r="G117" s="44"/>
      <c r="H117" s="44"/>
      <c r="I117" s="44"/>
      <c r="J117" s="44"/>
      <c r="K117" s="44"/>
      <c r="L117" s="45">
        <f>M90+M93+M100+M110+M113+M116</f>
        <v>2198.9299999999998</v>
      </c>
      <c r="M117" s="45">
        <f>ROUND(L117,2)</f>
        <v>2198.9299999999998</v>
      </c>
    </row>
    <row r="118" spans="1:13" ht="15.5" customHeight="1" thickBot="1" x14ac:dyDescent="0.35">
      <c r="A118" s="46" t="s">
        <v>345</v>
      </c>
      <c r="B118" s="46" t="s">
        <v>346</v>
      </c>
      <c r="C118" s="47"/>
      <c r="D118" s="54" t="s">
        <v>347</v>
      </c>
      <c r="E118" s="54"/>
      <c r="F118" s="54"/>
      <c r="G118" s="54"/>
      <c r="H118" s="54"/>
      <c r="I118" s="54"/>
      <c r="J118" s="54"/>
      <c r="K118" s="47"/>
      <c r="L118" s="48">
        <f>L163</f>
        <v>3699.2899999999995</v>
      </c>
      <c r="M118" s="48">
        <f>ROUND(L118,2)</f>
        <v>3699.29</v>
      </c>
    </row>
    <row r="119" spans="1:13" ht="15.5" customHeight="1" thickBot="1" x14ac:dyDescent="0.35">
      <c r="A119" s="17" t="s">
        <v>348</v>
      </c>
      <c r="B119" s="17" t="s">
        <v>349</v>
      </c>
      <c r="C119" s="18"/>
      <c r="D119" s="55" t="s">
        <v>350</v>
      </c>
      <c r="E119" s="55"/>
      <c r="F119" s="55"/>
      <c r="G119" s="55"/>
      <c r="H119" s="55"/>
      <c r="I119" s="55"/>
      <c r="J119" s="55"/>
      <c r="K119" s="18"/>
      <c r="L119" s="19">
        <f>L123</f>
        <v>700</v>
      </c>
      <c r="M119" s="19">
        <f>ROUND(L119,2)</f>
        <v>700</v>
      </c>
    </row>
    <row r="120" spans="1:13" ht="15.5" customHeight="1" thickBot="1" x14ac:dyDescent="0.35">
      <c r="A120" s="10" t="s">
        <v>351</v>
      </c>
      <c r="B120" s="5" t="s">
        <v>352</v>
      </c>
      <c r="C120" s="5" t="s">
        <v>353</v>
      </c>
      <c r="D120" s="52" t="s">
        <v>354</v>
      </c>
      <c r="E120" s="52"/>
      <c r="F120" s="52"/>
      <c r="G120" s="52"/>
      <c r="H120" s="52"/>
      <c r="I120" s="52"/>
      <c r="J120" s="52"/>
      <c r="K120" s="20">
        <f>ROUND(1,2)</f>
        <v>1</v>
      </c>
      <c r="L120" s="21">
        <f>ROUND(242.718*(1+M2/100),2)</f>
        <v>250</v>
      </c>
      <c r="M120" s="21">
        <f>ROUND(K120*L120,2)</f>
        <v>250</v>
      </c>
    </row>
    <row r="121" spans="1:13" ht="15.5" customHeight="1" thickBot="1" x14ac:dyDescent="0.35">
      <c r="A121" s="10" t="s">
        <v>355</v>
      </c>
      <c r="B121" s="5" t="s">
        <v>356</v>
      </c>
      <c r="C121" s="5" t="s">
        <v>357</v>
      </c>
      <c r="D121" s="52" t="s">
        <v>358</v>
      </c>
      <c r="E121" s="52"/>
      <c r="F121" s="52"/>
      <c r="G121" s="52"/>
      <c r="H121" s="52"/>
      <c r="I121" s="52"/>
      <c r="J121" s="52"/>
      <c r="K121" s="20">
        <f>ROUND(1,2)</f>
        <v>1</v>
      </c>
      <c r="L121" s="21">
        <f>ROUND(242.718*(1+M2/100),2)</f>
        <v>250</v>
      </c>
      <c r="M121" s="21">
        <f>ROUND(K121*L121,2)</f>
        <v>250</v>
      </c>
    </row>
    <row r="122" spans="1:13" ht="15.5" customHeight="1" thickBot="1" x14ac:dyDescent="0.35">
      <c r="A122" s="10" t="s">
        <v>359</v>
      </c>
      <c r="B122" s="5" t="s">
        <v>360</v>
      </c>
      <c r="C122" s="5" t="s">
        <v>361</v>
      </c>
      <c r="D122" s="52" t="s">
        <v>362</v>
      </c>
      <c r="E122" s="52"/>
      <c r="F122" s="52"/>
      <c r="G122" s="52"/>
      <c r="H122" s="52"/>
      <c r="I122" s="52"/>
      <c r="J122" s="52"/>
      <c r="K122" s="20">
        <f>ROUND(1,2)</f>
        <v>1</v>
      </c>
      <c r="L122" s="21">
        <f>ROUND(194.175*(1+M2/100),2)</f>
        <v>200</v>
      </c>
      <c r="M122" s="21">
        <f>ROUND(K122*L122,2)</f>
        <v>200</v>
      </c>
    </row>
    <row r="123" spans="1:13" ht="15.5" customHeight="1" thickBot="1" x14ac:dyDescent="0.35">
      <c r="A123" s="22"/>
      <c r="B123" s="22"/>
      <c r="C123" s="22"/>
      <c r="D123" s="23" t="s">
        <v>363</v>
      </c>
      <c r="E123" s="24"/>
      <c r="F123" s="24"/>
      <c r="G123" s="24"/>
      <c r="H123" s="24"/>
      <c r="I123" s="24"/>
      <c r="J123" s="24"/>
      <c r="K123" s="24"/>
      <c r="L123" s="25">
        <f>M120+M121+M122</f>
        <v>700</v>
      </c>
      <c r="M123" s="25">
        <f>ROUND(L123,2)</f>
        <v>700</v>
      </c>
    </row>
    <row r="124" spans="1:13" ht="15.5" customHeight="1" thickBot="1" x14ac:dyDescent="0.35">
      <c r="A124" s="26" t="s">
        <v>364</v>
      </c>
      <c r="B124" s="26" t="s">
        <v>365</v>
      </c>
      <c r="C124" s="27"/>
      <c r="D124" s="53" t="s">
        <v>366</v>
      </c>
      <c r="E124" s="53"/>
      <c r="F124" s="53"/>
      <c r="G124" s="53"/>
      <c r="H124" s="53"/>
      <c r="I124" s="53"/>
      <c r="J124" s="53"/>
      <c r="K124" s="27"/>
      <c r="L124" s="28">
        <f>L126</f>
        <v>638.22</v>
      </c>
      <c r="M124" s="28">
        <f>ROUND(L124,2)</f>
        <v>638.22</v>
      </c>
    </row>
    <row r="125" spans="1:13" ht="15.5" customHeight="1" thickBot="1" x14ac:dyDescent="0.35">
      <c r="A125" s="10" t="s">
        <v>367</v>
      </c>
      <c r="B125" s="5" t="s">
        <v>368</v>
      </c>
      <c r="C125" s="5" t="s">
        <v>369</v>
      </c>
      <c r="D125" s="52" t="s">
        <v>370</v>
      </c>
      <c r="E125" s="52"/>
      <c r="F125" s="52"/>
      <c r="G125" s="52"/>
      <c r="H125" s="52"/>
      <c r="I125" s="52"/>
      <c r="J125" s="52"/>
      <c r="K125" s="20">
        <f>ROUND(1,2)</f>
        <v>1</v>
      </c>
      <c r="L125" s="21">
        <f>ROUND(619.63*(1+M2/100),2)</f>
        <v>638.22</v>
      </c>
      <c r="M125" s="21">
        <f>ROUND(K125*L125,2)</f>
        <v>638.22</v>
      </c>
    </row>
    <row r="126" spans="1:13" ht="15.5" customHeight="1" thickBot="1" x14ac:dyDescent="0.35">
      <c r="A126" s="22"/>
      <c r="B126" s="22"/>
      <c r="C126" s="22"/>
      <c r="D126" s="23" t="s">
        <v>371</v>
      </c>
      <c r="E126" s="24"/>
      <c r="F126" s="24"/>
      <c r="G126" s="24"/>
      <c r="H126" s="24"/>
      <c r="I126" s="24"/>
      <c r="J126" s="24"/>
      <c r="K126" s="24"/>
      <c r="L126" s="25">
        <f>M125</f>
        <v>638.22</v>
      </c>
      <c r="M126" s="25">
        <f>ROUND(L126,2)</f>
        <v>638.22</v>
      </c>
    </row>
    <row r="127" spans="1:13" ht="15.5" customHeight="1" thickBot="1" x14ac:dyDescent="0.35">
      <c r="A127" s="26" t="s">
        <v>372</v>
      </c>
      <c r="B127" s="26" t="s">
        <v>373</v>
      </c>
      <c r="C127" s="27"/>
      <c r="D127" s="53" t="s">
        <v>374</v>
      </c>
      <c r="E127" s="53"/>
      <c r="F127" s="53"/>
      <c r="G127" s="53"/>
      <c r="H127" s="53"/>
      <c r="I127" s="53"/>
      <c r="J127" s="53"/>
      <c r="K127" s="27"/>
      <c r="L127" s="28">
        <f>L142</f>
        <v>1428.24</v>
      </c>
      <c r="M127" s="28">
        <f>ROUND(L127,2)</f>
        <v>1428.24</v>
      </c>
    </row>
    <row r="128" spans="1:13" ht="15.5" customHeight="1" thickBot="1" x14ac:dyDescent="0.35">
      <c r="A128" s="10" t="s">
        <v>375</v>
      </c>
      <c r="B128" s="5" t="s">
        <v>376</v>
      </c>
      <c r="C128" s="5" t="s">
        <v>377</v>
      </c>
      <c r="D128" s="52" t="s">
        <v>378</v>
      </c>
      <c r="E128" s="52"/>
      <c r="F128" s="52"/>
      <c r="G128" s="52"/>
      <c r="H128" s="52"/>
      <c r="I128" s="52"/>
      <c r="J128" s="52"/>
      <c r="K128" s="20">
        <f>ROUND(1,2)</f>
        <v>1</v>
      </c>
      <c r="L128" s="21">
        <f>ROUND(64.8*(1+M2/100),2)</f>
        <v>66.739999999999995</v>
      </c>
      <c r="M128" s="21">
        <f>ROUND(K128*L128,2)</f>
        <v>66.739999999999995</v>
      </c>
    </row>
    <row r="129" spans="1:13" ht="30.9" customHeight="1" thickBot="1" x14ac:dyDescent="0.35">
      <c r="A129" s="10" t="s">
        <v>379</v>
      </c>
      <c r="B129" s="5" t="s">
        <v>380</v>
      </c>
      <c r="C129" s="5" t="s">
        <v>381</v>
      </c>
      <c r="D129" s="52" t="s">
        <v>382</v>
      </c>
      <c r="E129" s="52"/>
      <c r="F129" s="52"/>
      <c r="G129" s="52"/>
      <c r="H129" s="52"/>
      <c r="I129" s="52"/>
      <c r="J129" s="52"/>
      <c r="K129" s="20">
        <f>SUM(K131:K133)</f>
        <v>300</v>
      </c>
      <c r="L129" s="21">
        <f>ROUND(1.08*(1+M2/100),2)</f>
        <v>1.1100000000000001</v>
      </c>
      <c r="M129" s="21">
        <f>ROUND(K129*L129,2)</f>
        <v>333</v>
      </c>
    </row>
    <row r="130" spans="1:13" ht="15.25" customHeight="1" thickBot="1" x14ac:dyDescent="0.35">
      <c r="A130" s="29"/>
      <c r="B130" s="29"/>
      <c r="C130" s="29"/>
      <c r="D130" s="29"/>
      <c r="E130" s="30"/>
      <c r="F130" s="32" t="s">
        <v>383</v>
      </c>
      <c r="G130" s="32" t="s">
        <v>384</v>
      </c>
      <c r="H130" s="32" t="s">
        <v>385</v>
      </c>
      <c r="I130" s="32" t="s">
        <v>386</v>
      </c>
      <c r="J130" s="32" t="s">
        <v>387</v>
      </c>
      <c r="K130" s="32" t="s">
        <v>388</v>
      </c>
      <c r="L130" s="29"/>
      <c r="M130" s="29"/>
    </row>
    <row r="131" spans="1:13" ht="15.25" customHeight="1" thickBot="1" x14ac:dyDescent="0.35">
      <c r="A131" s="29"/>
      <c r="B131" s="29"/>
      <c r="C131" s="29"/>
      <c r="D131" s="33"/>
      <c r="E131" s="34" t="s">
        <v>389</v>
      </c>
      <c r="F131" s="35">
        <v>3</v>
      </c>
      <c r="G131" s="36">
        <v>65</v>
      </c>
      <c r="H131" s="36"/>
      <c r="I131" s="36"/>
      <c r="J131" s="38">
        <f>ROUND(F131*G131,3)</f>
        <v>195</v>
      </c>
      <c r="K131" s="41"/>
      <c r="L131" s="29"/>
      <c r="M131" s="29"/>
    </row>
    <row r="132" spans="1:13" ht="15.25" customHeight="1" thickBot="1" x14ac:dyDescent="0.35">
      <c r="A132" s="29"/>
      <c r="B132" s="29"/>
      <c r="C132" s="29"/>
      <c r="D132" s="33"/>
      <c r="E132" s="5" t="s">
        <v>390</v>
      </c>
      <c r="F132" s="3">
        <v>3</v>
      </c>
      <c r="G132" s="20">
        <v>30</v>
      </c>
      <c r="H132" s="20"/>
      <c r="I132" s="20"/>
      <c r="J132" s="37">
        <f>ROUND(F132*G132,3)</f>
        <v>90</v>
      </c>
      <c r="K132" s="29"/>
      <c r="L132" s="29"/>
      <c r="M132" s="29"/>
    </row>
    <row r="133" spans="1:13" ht="15.25" customHeight="1" thickBot="1" x14ac:dyDescent="0.35">
      <c r="A133" s="29"/>
      <c r="B133" s="29"/>
      <c r="C133" s="29"/>
      <c r="D133" s="33"/>
      <c r="E133" s="5" t="s">
        <v>391</v>
      </c>
      <c r="F133" s="3">
        <v>3</v>
      </c>
      <c r="G133" s="20">
        <v>5</v>
      </c>
      <c r="H133" s="20"/>
      <c r="I133" s="20"/>
      <c r="J133" s="37">
        <f>ROUND(F133*G133,3)</f>
        <v>15</v>
      </c>
      <c r="K133" s="39">
        <f>SUM(J131:J133)</f>
        <v>300</v>
      </c>
      <c r="L133" s="29"/>
      <c r="M133" s="29"/>
    </row>
    <row r="134" spans="1:13" ht="30.9" customHeight="1" thickBot="1" x14ac:dyDescent="0.35">
      <c r="A134" s="10" t="s">
        <v>392</v>
      </c>
      <c r="B134" s="5" t="s">
        <v>393</v>
      </c>
      <c r="C134" s="5" t="s">
        <v>394</v>
      </c>
      <c r="D134" s="52" t="s">
        <v>395</v>
      </c>
      <c r="E134" s="52"/>
      <c r="F134" s="52"/>
      <c r="G134" s="52"/>
      <c r="H134" s="52"/>
      <c r="I134" s="52"/>
      <c r="J134" s="52"/>
      <c r="K134" s="20">
        <f>SUM(K136:K137)</f>
        <v>270</v>
      </c>
      <c r="L134" s="21">
        <f>ROUND(1.25*(1+M2/100),2)</f>
        <v>1.29</v>
      </c>
      <c r="M134" s="21">
        <f>ROUND(K134*L134,2)</f>
        <v>348.3</v>
      </c>
    </row>
    <row r="135" spans="1:13" ht="15.25" customHeight="1" thickBot="1" x14ac:dyDescent="0.35">
      <c r="A135" s="29"/>
      <c r="B135" s="29"/>
      <c r="C135" s="29"/>
      <c r="D135" s="29"/>
      <c r="E135" s="30"/>
      <c r="F135" s="32" t="s">
        <v>396</v>
      </c>
      <c r="G135" s="32" t="s">
        <v>397</v>
      </c>
      <c r="H135" s="32" t="s">
        <v>398</v>
      </c>
      <c r="I135" s="32" t="s">
        <v>399</v>
      </c>
      <c r="J135" s="32" t="s">
        <v>400</v>
      </c>
      <c r="K135" s="32" t="s">
        <v>401</v>
      </c>
      <c r="L135" s="29"/>
      <c r="M135" s="29"/>
    </row>
    <row r="136" spans="1:13" ht="21.65" customHeight="1" thickBot="1" x14ac:dyDescent="0.35">
      <c r="A136" s="29"/>
      <c r="B136" s="29"/>
      <c r="C136" s="29"/>
      <c r="D136" s="33"/>
      <c r="E136" s="34" t="s">
        <v>402</v>
      </c>
      <c r="F136" s="35">
        <v>3</v>
      </c>
      <c r="G136" s="36">
        <v>25</v>
      </c>
      <c r="H136" s="36"/>
      <c r="I136" s="36"/>
      <c r="J136" s="38">
        <f>ROUND(F136*G136,3)</f>
        <v>75</v>
      </c>
      <c r="K136" s="41"/>
      <c r="L136" s="29"/>
      <c r="M136" s="29"/>
    </row>
    <row r="137" spans="1:13" ht="15.25" customHeight="1" thickBot="1" x14ac:dyDescent="0.35">
      <c r="A137" s="29"/>
      <c r="B137" s="29"/>
      <c r="C137" s="29"/>
      <c r="D137" s="33"/>
      <c r="E137" s="5" t="s">
        <v>403</v>
      </c>
      <c r="F137" s="3">
        <v>3</v>
      </c>
      <c r="G137" s="20">
        <v>65</v>
      </c>
      <c r="H137" s="20"/>
      <c r="I137" s="20"/>
      <c r="J137" s="37">
        <f>ROUND(F137*G137,3)</f>
        <v>195</v>
      </c>
      <c r="K137" s="39">
        <f>SUM(J136:J137)</f>
        <v>270</v>
      </c>
      <c r="L137" s="29"/>
      <c r="M137" s="29"/>
    </row>
    <row r="138" spans="1:13" ht="15.5" customHeight="1" thickBot="1" x14ac:dyDescent="0.35">
      <c r="A138" s="10" t="s">
        <v>404</v>
      </c>
      <c r="B138" s="5" t="s">
        <v>405</v>
      </c>
      <c r="C138" s="5" t="s">
        <v>406</v>
      </c>
      <c r="D138" s="52" t="s">
        <v>407</v>
      </c>
      <c r="E138" s="52"/>
      <c r="F138" s="52"/>
      <c r="G138" s="52"/>
      <c r="H138" s="52"/>
      <c r="I138" s="52"/>
      <c r="J138" s="52"/>
      <c r="K138" s="20">
        <f>SUM(K140:K141)</f>
        <v>190</v>
      </c>
      <c r="L138" s="21">
        <f>ROUND(3.48*(1+M2/100),2)</f>
        <v>3.58</v>
      </c>
      <c r="M138" s="21">
        <f>ROUND(K138*L138,2)</f>
        <v>680.2</v>
      </c>
    </row>
    <row r="139" spans="1:13" ht="15.25" customHeight="1" thickBot="1" x14ac:dyDescent="0.35">
      <c r="A139" s="29"/>
      <c r="B139" s="29"/>
      <c r="C139" s="29"/>
      <c r="D139" s="29"/>
      <c r="E139" s="30"/>
      <c r="F139" s="32" t="s">
        <v>408</v>
      </c>
      <c r="G139" s="32" t="s">
        <v>409</v>
      </c>
      <c r="H139" s="32" t="s">
        <v>410</v>
      </c>
      <c r="I139" s="32" t="s">
        <v>411</v>
      </c>
      <c r="J139" s="32" t="s">
        <v>412</v>
      </c>
      <c r="K139" s="32" t="s">
        <v>413</v>
      </c>
      <c r="L139" s="29"/>
      <c r="M139" s="29"/>
    </row>
    <row r="140" spans="1:13" ht="15.25" customHeight="1" thickBot="1" x14ac:dyDescent="0.35">
      <c r="A140" s="29"/>
      <c r="B140" s="29"/>
      <c r="C140" s="29"/>
      <c r="D140" s="33"/>
      <c r="E140" s="34" t="s">
        <v>414</v>
      </c>
      <c r="F140" s="35">
        <v>1</v>
      </c>
      <c r="G140" s="36">
        <v>100</v>
      </c>
      <c r="H140" s="36"/>
      <c r="I140" s="36"/>
      <c r="J140" s="38">
        <f>ROUND(F140*G140,3)</f>
        <v>100</v>
      </c>
      <c r="K140" s="41"/>
      <c r="L140" s="29"/>
      <c r="M140" s="29"/>
    </row>
    <row r="141" spans="1:13" ht="15.25" customHeight="1" thickBot="1" x14ac:dyDescent="0.35">
      <c r="A141" s="29"/>
      <c r="B141" s="29"/>
      <c r="C141" s="29"/>
      <c r="D141" s="33"/>
      <c r="E141" s="5" t="s">
        <v>415</v>
      </c>
      <c r="F141" s="3">
        <v>1</v>
      </c>
      <c r="G141" s="20">
        <v>90</v>
      </c>
      <c r="H141" s="20"/>
      <c r="I141" s="20"/>
      <c r="J141" s="37">
        <f>ROUND(F141*G141,3)</f>
        <v>90</v>
      </c>
      <c r="K141" s="39">
        <f>SUM(J140:J141)</f>
        <v>190</v>
      </c>
      <c r="L141" s="29"/>
      <c r="M141" s="29"/>
    </row>
    <row r="142" spans="1:13" ht="15.5" customHeight="1" thickBot="1" x14ac:dyDescent="0.35">
      <c r="A142" s="22"/>
      <c r="B142" s="22"/>
      <c r="C142" s="22"/>
      <c r="D142" s="23" t="s">
        <v>416</v>
      </c>
      <c r="E142" s="24"/>
      <c r="F142" s="24"/>
      <c r="G142" s="24"/>
      <c r="H142" s="24"/>
      <c r="I142" s="24"/>
      <c r="J142" s="24"/>
      <c r="K142" s="24"/>
      <c r="L142" s="25">
        <f>M128+M129+M134+M138</f>
        <v>1428.24</v>
      </c>
      <c r="M142" s="25">
        <f>ROUND(L142,2)</f>
        <v>1428.24</v>
      </c>
    </row>
    <row r="143" spans="1:13" ht="15.5" customHeight="1" thickBot="1" x14ac:dyDescent="0.35">
      <c r="A143" s="26" t="s">
        <v>417</v>
      </c>
      <c r="B143" s="26" t="s">
        <v>418</v>
      </c>
      <c r="C143" s="27"/>
      <c r="D143" s="53" t="s">
        <v>419</v>
      </c>
      <c r="E143" s="53"/>
      <c r="F143" s="53"/>
      <c r="G143" s="53"/>
      <c r="H143" s="53"/>
      <c r="I143" s="53"/>
      <c r="J143" s="53"/>
      <c r="K143" s="27"/>
      <c r="L143" s="28">
        <f>L153</f>
        <v>290.77999999999997</v>
      </c>
      <c r="M143" s="28">
        <f>ROUND(L143,2)</f>
        <v>290.77999999999997</v>
      </c>
    </row>
    <row r="144" spans="1:13" ht="15.5" customHeight="1" thickBot="1" x14ac:dyDescent="0.35">
      <c r="A144" s="10" t="s">
        <v>420</v>
      </c>
      <c r="B144" s="5" t="s">
        <v>421</v>
      </c>
      <c r="C144" s="5" t="s">
        <v>422</v>
      </c>
      <c r="D144" s="52" t="s">
        <v>423</v>
      </c>
      <c r="E144" s="52"/>
      <c r="F144" s="52"/>
      <c r="G144" s="52"/>
      <c r="H144" s="52"/>
      <c r="I144" s="52"/>
      <c r="J144" s="52"/>
      <c r="K144" s="20">
        <f>SUM(K146:K146)</f>
        <v>1</v>
      </c>
      <c r="L144" s="21">
        <f>ROUND(23.62*(1+M2/100),2)</f>
        <v>24.33</v>
      </c>
      <c r="M144" s="21">
        <f>ROUND(K144*L144,2)</f>
        <v>24.33</v>
      </c>
    </row>
    <row r="145" spans="1:13" ht="15.25" customHeight="1" thickBot="1" x14ac:dyDescent="0.35">
      <c r="A145" s="29"/>
      <c r="B145" s="29"/>
      <c r="C145" s="29"/>
      <c r="D145" s="29"/>
      <c r="E145" s="30"/>
      <c r="F145" s="32" t="s">
        <v>424</v>
      </c>
      <c r="G145" s="32" t="s">
        <v>425</v>
      </c>
      <c r="H145" s="32" t="s">
        <v>426</v>
      </c>
      <c r="I145" s="32" t="s">
        <v>427</v>
      </c>
      <c r="J145" s="32" t="s">
        <v>428</v>
      </c>
      <c r="K145" s="32" t="s">
        <v>429</v>
      </c>
      <c r="L145" s="29"/>
      <c r="M145" s="29"/>
    </row>
    <row r="146" spans="1:13" ht="15.25" customHeight="1" thickBot="1" x14ac:dyDescent="0.35">
      <c r="A146" s="29"/>
      <c r="B146" s="29"/>
      <c r="C146" s="29"/>
      <c r="D146" s="33"/>
      <c r="E146" s="34" t="s">
        <v>430</v>
      </c>
      <c r="F146" s="35">
        <v>1</v>
      </c>
      <c r="G146" s="36"/>
      <c r="H146" s="36"/>
      <c r="I146" s="36"/>
      <c r="J146" s="38">
        <f>ROUND(F146,3)</f>
        <v>1</v>
      </c>
      <c r="K146" s="40">
        <f>SUM(J146:J146)</f>
        <v>1</v>
      </c>
      <c r="L146" s="29"/>
      <c r="M146" s="29"/>
    </row>
    <row r="147" spans="1:13" ht="15.5" customHeight="1" thickBot="1" x14ac:dyDescent="0.35">
      <c r="A147" s="10" t="s">
        <v>431</v>
      </c>
      <c r="B147" s="5" t="s">
        <v>432</v>
      </c>
      <c r="C147" s="5" t="s">
        <v>433</v>
      </c>
      <c r="D147" s="52" t="s">
        <v>434</v>
      </c>
      <c r="E147" s="52"/>
      <c r="F147" s="52"/>
      <c r="G147" s="52"/>
      <c r="H147" s="52"/>
      <c r="I147" s="52"/>
      <c r="J147" s="52"/>
      <c r="K147" s="20">
        <f>SUM(K149:K151)</f>
        <v>4</v>
      </c>
      <c r="L147" s="21">
        <f>ROUND(40.83*(1+M2/100),2)</f>
        <v>42.05</v>
      </c>
      <c r="M147" s="21">
        <f>ROUND(K147*L147,2)</f>
        <v>168.2</v>
      </c>
    </row>
    <row r="148" spans="1:13" ht="15.25" customHeight="1" thickBot="1" x14ac:dyDescent="0.35">
      <c r="A148" s="29"/>
      <c r="B148" s="29"/>
      <c r="C148" s="29"/>
      <c r="D148" s="29"/>
      <c r="E148" s="30"/>
      <c r="F148" s="32" t="s">
        <v>435</v>
      </c>
      <c r="G148" s="32" t="s">
        <v>436</v>
      </c>
      <c r="H148" s="32" t="s">
        <v>437</v>
      </c>
      <c r="I148" s="32" t="s">
        <v>438</v>
      </c>
      <c r="J148" s="32" t="s">
        <v>439</v>
      </c>
      <c r="K148" s="32" t="s">
        <v>440</v>
      </c>
      <c r="L148" s="29"/>
      <c r="M148" s="29"/>
    </row>
    <row r="149" spans="1:13" ht="15.25" customHeight="1" thickBot="1" x14ac:dyDescent="0.35">
      <c r="A149" s="29"/>
      <c r="B149" s="29"/>
      <c r="C149" s="29"/>
      <c r="D149" s="33"/>
      <c r="E149" s="34" t="s">
        <v>441</v>
      </c>
      <c r="F149" s="35">
        <v>2</v>
      </c>
      <c r="G149" s="36"/>
      <c r="H149" s="36"/>
      <c r="I149" s="36"/>
      <c r="J149" s="38">
        <f>ROUND(F149,3)</f>
        <v>2</v>
      </c>
      <c r="K149" s="41"/>
      <c r="L149" s="29"/>
      <c r="M149" s="29"/>
    </row>
    <row r="150" spans="1:13" ht="15.25" customHeight="1" thickBot="1" x14ac:dyDescent="0.35">
      <c r="A150" s="29"/>
      <c r="B150" s="29"/>
      <c r="C150" s="29"/>
      <c r="D150" s="33"/>
      <c r="E150" s="5" t="s">
        <v>442</v>
      </c>
      <c r="F150" s="3">
        <v>1</v>
      </c>
      <c r="G150" s="20"/>
      <c r="H150" s="20"/>
      <c r="I150" s="20"/>
      <c r="J150" s="37">
        <f>ROUND(F150,3)</f>
        <v>1</v>
      </c>
      <c r="K150" s="29"/>
      <c r="L150" s="29"/>
      <c r="M150" s="29"/>
    </row>
    <row r="151" spans="1:13" ht="15.25" customHeight="1" thickBot="1" x14ac:dyDescent="0.35">
      <c r="A151" s="29"/>
      <c r="B151" s="29"/>
      <c r="C151" s="29"/>
      <c r="D151" s="33"/>
      <c r="E151" s="5" t="s">
        <v>443</v>
      </c>
      <c r="F151" s="3">
        <v>1</v>
      </c>
      <c r="G151" s="20"/>
      <c r="H151" s="20"/>
      <c r="I151" s="20"/>
      <c r="J151" s="37">
        <f>ROUND(F151,3)</f>
        <v>1</v>
      </c>
      <c r="K151" s="39">
        <f>SUM(J149:J151)</f>
        <v>4</v>
      </c>
      <c r="L151" s="29"/>
      <c r="M151" s="29"/>
    </row>
    <row r="152" spans="1:13" ht="15.5" customHeight="1" thickBot="1" x14ac:dyDescent="0.35">
      <c r="A152" s="10" t="s">
        <v>444</v>
      </c>
      <c r="B152" s="5" t="s">
        <v>445</v>
      </c>
      <c r="C152" s="5" t="s">
        <v>446</v>
      </c>
      <c r="D152" s="52" t="s">
        <v>447</v>
      </c>
      <c r="E152" s="52"/>
      <c r="F152" s="52"/>
      <c r="G152" s="52"/>
      <c r="H152" s="52"/>
      <c r="I152" s="52"/>
      <c r="J152" s="52"/>
      <c r="K152" s="20">
        <f>ROUND(5,2)</f>
        <v>5</v>
      </c>
      <c r="L152" s="21">
        <f>ROUND(19.08*(1+M2/100),2)</f>
        <v>19.649999999999999</v>
      </c>
      <c r="M152" s="21">
        <f>ROUND(K152*L152,2)</f>
        <v>98.25</v>
      </c>
    </row>
    <row r="153" spans="1:13" ht="15.5" customHeight="1" thickBot="1" x14ac:dyDescent="0.35">
      <c r="A153" s="22"/>
      <c r="B153" s="22"/>
      <c r="C153" s="22"/>
      <c r="D153" s="23" t="s">
        <v>448</v>
      </c>
      <c r="E153" s="24"/>
      <c r="F153" s="24"/>
      <c r="G153" s="24"/>
      <c r="H153" s="24"/>
      <c r="I153" s="24"/>
      <c r="J153" s="24"/>
      <c r="K153" s="24"/>
      <c r="L153" s="25">
        <f>M144+M147+M152</f>
        <v>290.77999999999997</v>
      </c>
      <c r="M153" s="25">
        <f>ROUND(L153,2)</f>
        <v>290.77999999999997</v>
      </c>
    </row>
    <row r="154" spans="1:13" ht="15.5" customHeight="1" thickBot="1" x14ac:dyDescent="0.35">
      <c r="A154" s="26" t="s">
        <v>449</v>
      </c>
      <c r="B154" s="26" t="s">
        <v>450</v>
      </c>
      <c r="C154" s="27"/>
      <c r="D154" s="53" t="s">
        <v>451</v>
      </c>
      <c r="E154" s="53"/>
      <c r="F154" s="53"/>
      <c r="G154" s="53"/>
      <c r="H154" s="53"/>
      <c r="I154" s="53"/>
      <c r="J154" s="53"/>
      <c r="K154" s="27"/>
      <c r="L154" s="28">
        <f>L159</f>
        <v>518.45000000000005</v>
      </c>
      <c r="M154" s="28">
        <f>ROUND(L154,2)</f>
        <v>518.45000000000005</v>
      </c>
    </row>
    <row r="155" spans="1:13" ht="15.5" customHeight="1" thickBot="1" x14ac:dyDescent="0.35">
      <c r="A155" s="10" t="s">
        <v>452</v>
      </c>
      <c r="B155" s="5" t="s">
        <v>453</v>
      </c>
      <c r="C155" s="5" t="s">
        <v>454</v>
      </c>
      <c r="D155" s="52" t="s">
        <v>455</v>
      </c>
      <c r="E155" s="52"/>
      <c r="F155" s="52"/>
      <c r="G155" s="52"/>
      <c r="H155" s="52"/>
      <c r="I155" s="52"/>
      <c r="J155" s="52"/>
      <c r="K155" s="20">
        <f>ROUND(8,2)</f>
        <v>8</v>
      </c>
      <c r="L155" s="21">
        <f>ROUND(20.48*(1+M2/100),2)</f>
        <v>21.09</v>
      </c>
      <c r="M155" s="21">
        <f>ROUND(K155*L155,2)</f>
        <v>168.72</v>
      </c>
    </row>
    <row r="156" spans="1:13" ht="15.5" customHeight="1" thickBot="1" x14ac:dyDescent="0.35">
      <c r="A156" s="10" t="s">
        <v>456</v>
      </c>
      <c r="B156" s="5" t="s">
        <v>457</v>
      </c>
      <c r="C156" s="5" t="s">
        <v>458</v>
      </c>
      <c r="D156" s="52" t="s">
        <v>459</v>
      </c>
      <c r="E156" s="52"/>
      <c r="F156" s="52"/>
      <c r="G156" s="52"/>
      <c r="H156" s="52"/>
      <c r="I156" s="52"/>
      <c r="J156" s="52"/>
      <c r="K156" s="20">
        <f>ROUND(4,2)</f>
        <v>4</v>
      </c>
      <c r="L156" s="21">
        <f>ROUND(16.88*(1+M2/100),2)</f>
        <v>17.39</v>
      </c>
      <c r="M156" s="21">
        <f>ROUND(K156*L156,2)</f>
        <v>69.56</v>
      </c>
    </row>
    <row r="157" spans="1:13" ht="15.5" customHeight="1" thickBot="1" x14ac:dyDescent="0.35">
      <c r="A157" s="10" t="s">
        <v>460</v>
      </c>
      <c r="B157" s="5" t="s">
        <v>461</v>
      </c>
      <c r="C157" s="5" t="s">
        <v>462</v>
      </c>
      <c r="D157" s="52" t="s">
        <v>463</v>
      </c>
      <c r="E157" s="52"/>
      <c r="F157" s="52"/>
      <c r="G157" s="52"/>
      <c r="H157" s="52"/>
      <c r="I157" s="52"/>
      <c r="J157" s="52"/>
      <c r="K157" s="20">
        <f>ROUND(3,2)</f>
        <v>3</v>
      </c>
      <c r="L157" s="21">
        <f>ROUND(81.28*(1+M2/100),2)</f>
        <v>83.72</v>
      </c>
      <c r="M157" s="21">
        <f>ROUND(K157*L157,2)</f>
        <v>251.16</v>
      </c>
    </row>
    <row r="158" spans="1:13" ht="15.5" customHeight="1" thickBot="1" x14ac:dyDescent="0.35">
      <c r="A158" s="10" t="s">
        <v>464</v>
      </c>
      <c r="B158" s="5" t="s">
        <v>465</v>
      </c>
      <c r="C158" s="5" t="s">
        <v>466</v>
      </c>
      <c r="D158" s="52" t="s">
        <v>467</v>
      </c>
      <c r="E158" s="52"/>
      <c r="F158" s="52"/>
      <c r="G158" s="52"/>
      <c r="H158" s="52"/>
      <c r="I158" s="52"/>
      <c r="J158" s="52"/>
      <c r="K158" s="20">
        <f>ROUND(3,2)</f>
        <v>3</v>
      </c>
      <c r="L158" s="21">
        <f>ROUND(9.39*(1+M2/100),2)</f>
        <v>9.67</v>
      </c>
      <c r="M158" s="21">
        <f>ROUND(K158*L158,2)</f>
        <v>29.01</v>
      </c>
    </row>
    <row r="159" spans="1:13" ht="15.5" customHeight="1" thickBot="1" x14ac:dyDescent="0.35">
      <c r="A159" s="22"/>
      <c r="B159" s="22"/>
      <c r="C159" s="22"/>
      <c r="D159" s="23" t="s">
        <v>468</v>
      </c>
      <c r="E159" s="24"/>
      <c r="F159" s="24"/>
      <c r="G159" s="24"/>
      <c r="H159" s="24"/>
      <c r="I159" s="24"/>
      <c r="J159" s="24"/>
      <c r="K159" s="24"/>
      <c r="L159" s="25">
        <f>M155+M156+M157+M158</f>
        <v>518.45000000000005</v>
      </c>
      <c r="M159" s="25">
        <f>ROUND(L159,2)</f>
        <v>518.45000000000005</v>
      </c>
    </row>
    <row r="160" spans="1:13" ht="15.5" customHeight="1" thickBot="1" x14ac:dyDescent="0.35">
      <c r="A160" s="26" t="s">
        <v>469</v>
      </c>
      <c r="B160" s="26" t="s">
        <v>470</v>
      </c>
      <c r="C160" s="27"/>
      <c r="D160" s="53" t="s">
        <v>471</v>
      </c>
      <c r="E160" s="53"/>
      <c r="F160" s="53"/>
      <c r="G160" s="53"/>
      <c r="H160" s="53"/>
      <c r="I160" s="53"/>
      <c r="J160" s="53"/>
      <c r="K160" s="27"/>
      <c r="L160" s="28">
        <f>L162</f>
        <v>123.6</v>
      </c>
      <c r="M160" s="28">
        <f>ROUND(L160,2)</f>
        <v>123.6</v>
      </c>
    </row>
    <row r="161" spans="1:13" ht="15.5" customHeight="1" thickBot="1" x14ac:dyDescent="0.35">
      <c r="A161" s="10" t="s">
        <v>472</v>
      </c>
      <c r="B161" s="5" t="s">
        <v>473</v>
      </c>
      <c r="C161" s="5" t="s">
        <v>474</v>
      </c>
      <c r="D161" s="52" t="s">
        <v>475</v>
      </c>
      <c r="E161" s="52"/>
      <c r="F161" s="52"/>
      <c r="G161" s="52"/>
      <c r="H161" s="52"/>
      <c r="I161" s="52"/>
      <c r="J161" s="52"/>
      <c r="K161" s="20">
        <f>ROUND(1,2)</f>
        <v>1</v>
      </c>
      <c r="L161" s="21">
        <f>ROUND(120*(1+M2/100),2)</f>
        <v>123.6</v>
      </c>
      <c r="M161" s="21">
        <f>ROUND(K161*L161,2)</f>
        <v>123.6</v>
      </c>
    </row>
    <row r="162" spans="1:13" ht="15.5" customHeight="1" thickBot="1" x14ac:dyDescent="0.35">
      <c r="A162" s="22"/>
      <c r="B162" s="22"/>
      <c r="C162" s="22"/>
      <c r="D162" s="23" t="s">
        <v>476</v>
      </c>
      <c r="E162" s="24"/>
      <c r="F162" s="24"/>
      <c r="G162" s="24"/>
      <c r="H162" s="24"/>
      <c r="I162" s="24"/>
      <c r="J162" s="24"/>
      <c r="K162" s="24"/>
      <c r="L162" s="25">
        <f>M161</f>
        <v>123.6</v>
      </c>
      <c r="M162" s="25">
        <f>ROUND(L162,2)</f>
        <v>123.6</v>
      </c>
    </row>
    <row r="163" spans="1:13" ht="15.5" customHeight="1" thickBot="1" x14ac:dyDescent="0.35">
      <c r="A163" s="42"/>
      <c r="B163" s="42"/>
      <c r="C163" s="42"/>
      <c r="D163" s="43" t="s">
        <v>477</v>
      </c>
      <c r="E163" s="44"/>
      <c r="F163" s="44"/>
      <c r="G163" s="44"/>
      <c r="H163" s="44"/>
      <c r="I163" s="44"/>
      <c r="J163" s="44"/>
      <c r="K163" s="44"/>
      <c r="L163" s="45">
        <f>M123+M126+M142+M153+M159+M162</f>
        <v>3699.2899999999995</v>
      </c>
      <c r="M163" s="45">
        <f>ROUND(L163,2)</f>
        <v>3699.29</v>
      </c>
    </row>
    <row r="164" spans="1:13" ht="15.5" customHeight="1" thickBot="1" x14ac:dyDescent="0.35">
      <c r="A164" s="46" t="s">
        <v>478</v>
      </c>
      <c r="B164" s="46" t="s">
        <v>479</v>
      </c>
      <c r="C164" s="47"/>
      <c r="D164" s="54" t="s">
        <v>480</v>
      </c>
      <c r="E164" s="54"/>
      <c r="F164" s="54"/>
      <c r="G164" s="54"/>
      <c r="H164" s="54"/>
      <c r="I164" s="54"/>
      <c r="J164" s="54"/>
      <c r="K164" s="47"/>
      <c r="L164" s="48">
        <f>L196</f>
        <v>1620.08</v>
      </c>
      <c r="M164" s="48">
        <f>ROUND(L164,2)</f>
        <v>1620.08</v>
      </c>
    </row>
    <row r="165" spans="1:13" ht="15.5" customHeight="1" thickBot="1" x14ac:dyDescent="0.35">
      <c r="A165" s="17" t="s">
        <v>481</v>
      </c>
      <c r="B165" s="17" t="s">
        <v>482</v>
      </c>
      <c r="C165" s="18"/>
      <c r="D165" s="55" t="s">
        <v>483</v>
      </c>
      <c r="E165" s="55"/>
      <c r="F165" s="55"/>
      <c r="G165" s="55"/>
      <c r="H165" s="55"/>
      <c r="I165" s="55"/>
      <c r="J165" s="55"/>
      <c r="K165" s="18"/>
      <c r="L165" s="19">
        <f>L169</f>
        <v>700</v>
      </c>
      <c r="M165" s="19">
        <f>ROUND(L165,2)</f>
        <v>700</v>
      </c>
    </row>
    <row r="166" spans="1:13" ht="15.5" customHeight="1" thickBot="1" x14ac:dyDescent="0.35">
      <c r="A166" s="10" t="s">
        <v>484</v>
      </c>
      <c r="B166" s="5" t="s">
        <v>485</v>
      </c>
      <c r="C166" s="5" t="s">
        <v>486</v>
      </c>
      <c r="D166" s="52" t="s">
        <v>487</v>
      </c>
      <c r="E166" s="52"/>
      <c r="F166" s="52"/>
      <c r="G166" s="52"/>
      <c r="H166" s="52"/>
      <c r="I166" s="52"/>
      <c r="J166" s="52"/>
      <c r="K166" s="20">
        <f>ROUND(1,2)</f>
        <v>1</v>
      </c>
      <c r="L166" s="21">
        <f>ROUND(242.718*(1+M2/100),2)</f>
        <v>250</v>
      </c>
      <c r="M166" s="21">
        <f>ROUND(K166*L166,2)</f>
        <v>250</v>
      </c>
    </row>
    <row r="167" spans="1:13" ht="15.5" customHeight="1" thickBot="1" x14ac:dyDescent="0.35">
      <c r="A167" s="10" t="s">
        <v>488</v>
      </c>
      <c r="B167" s="5" t="s">
        <v>489</v>
      </c>
      <c r="C167" s="5" t="s">
        <v>490</v>
      </c>
      <c r="D167" s="52" t="s">
        <v>491</v>
      </c>
      <c r="E167" s="52"/>
      <c r="F167" s="52"/>
      <c r="G167" s="52"/>
      <c r="H167" s="52"/>
      <c r="I167" s="52"/>
      <c r="J167" s="52"/>
      <c r="K167" s="20">
        <f>ROUND(1,2)</f>
        <v>1</v>
      </c>
      <c r="L167" s="21">
        <f>ROUND(242.718*(1+M2/100),2)</f>
        <v>250</v>
      </c>
      <c r="M167" s="21">
        <f>ROUND(K167*L167,2)</f>
        <v>250</v>
      </c>
    </row>
    <row r="168" spans="1:13" ht="15.5" customHeight="1" thickBot="1" x14ac:dyDescent="0.35">
      <c r="A168" s="10" t="s">
        <v>492</v>
      </c>
      <c r="B168" s="5" t="s">
        <v>493</v>
      </c>
      <c r="C168" s="5" t="s">
        <v>494</v>
      </c>
      <c r="D168" s="52" t="s">
        <v>495</v>
      </c>
      <c r="E168" s="52"/>
      <c r="F168" s="52"/>
      <c r="G168" s="52"/>
      <c r="H168" s="52"/>
      <c r="I168" s="52"/>
      <c r="J168" s="52"/>
      <c r="K168" s="20">
        <f>ROUND(1,2)</f>
        <v>1</v>
      </c>
      <c r="L168" s="21">
        <f>ROUND(194.175*(1+M2/100),2)</f>
        <v>200</v>
      </c>
      <c r="M168" s="21">
        <f>ROUND(K168*L168,2)</f>
        <v>200</v>
      </c>
    </row>
    <row r="169" spans="1:13" ht="15.5" customHeight="1" thickBot="1" x14ac:dyDescent="0.35">
      <c r="A169" s="22"/>
      <c r="B169" s="22"/>
      <c r="C169" s="22"/>
      <c r="D169" s="23" t="s">
        <v>496</v>
      </c>
      <c r="E169" s="24"/>
      <c r="F169" s="24"/>
      <c r="G169" s="24"/>
      <c r="H169" s="24"/>
      <c r="I169" s="24"/>
      <c r="J169" s="24"/>
      <c r="K169" s="24"/>
      <c r="L169" s="25">
        <f>M166+M167+M168</f>
        <v>700</v>
      </c>
      <c r="M169" s="25">
        <f>ROUND(L169,2)</f>
        <v>700</v>
      </c>
    </row>
    <row r="170" spans="1:13" ht="15.5" customHeight="1" thickBot="1" x14ac:dyDescent="0.35">
      <c r="A170" s="26" t="s">
        <v>497</v>
      </c>
      <c r="B170" s="26" t="s">
        <v>498</v>
      </c>
      <c r="C170" s="27"/>
      <c r="D170" s="53" t="s">
        <v>499</v>
      </c>
      <c r="E170" s="53"/>
      <c r="F170" s="53"/>
      <c r="G170" s="53"/>
      <c r="H170" s="53"/>
      <c r="I170" s="53"/>
      <c r="J170" s="53"/>
      <c r="K170" s="27"/>
      <c r="L170" s="28">
        <f>L172</f>
        <v>270.99</v>
      </c>
      <c r="M170" s="28">
        <f>ROUND(L170,2)</f>
        <v>270.99</v>
      </c>
    </row>
    <row r="171" spans="1:13" ht="15.5" customHeight="1" thickBot="1" x14ac:dyDescent="0.35">
      <c r="A171" s="10" t="s">
        <v>500</v>
      </c>
      <c r="B171" s="5" t="s">
        <v>501</v>
      </c>
      <c r="C171" s="5" t="s">
        <v>502</v>
      </c>
      <c r="D171" s="52" t="s">
        <v>503</v>
      </c>
      <c r="E171" s="52"/>
      <c r="F171" s="52"/>
      <c r="G171" s="52"/>
      <c r="H171" s="52"/>
      <c r="I171" s="52"/>
      <c r="J171" s="52"/>
      <c r="K171" s="20">
        <f>ROUND(1,2)</f>
        <v>1</v>
      </c>
      <c r="L171" s="21">
        <f>ROUND(263.1*(1+M2/100),2)</f>
        <v>270.99</v>
      </c>
      <c r="M171" s="21">
        <f>ROUND(K171*L171,2)</f>
        <v>270.99</v>
      </c>
    </row>
    <row r="172" spans="1:13" ht="15.5" customHeight="1" thickBot="1" x14ac:dyDescent="0.35">
      <c r="A172" s="22"/>
      <c r="B172" s="22"/>
      <c r="C172" s="22"/>
      <c r="D172" s="23" t="s">
        <v>504</v>
      </c>
      <c r="E172" s="24"/>
      <c r="F172" s="24"/>
      <c r="G172" s="24"/>
      <c r="H172" s="24"/>
      <c r="I172" s="24"/>
      <c r="J172" s="24"/>
      <c r="K172" s="24"/>
      <c r="L172" s="25">
        <f>M171</f>
        <v>270.99</v>
      </c>
      <c r="M172" s="25">
        <f>ROUND(L172,2)</f>
        <v>270.99</v>
      </c>
    </row>
    <row r="173" spans="1:13" ht="15.5" customHeight="1" thickBot="1" x14ac:dyDescent="0.35">
      <c r="A173" s="26" t="s">
        <v>505</v>
      </c>
      <c r="B173" s="26" t="s">
        <v>506</v>
      </c>
      <c r="C173" s="27"/>
      <c r="D173" s="53" t="s">
        <v>507</v>
      </c>
      <c r="E173" s="53"/>
      <c r="F173" s="53"/>
      <c r="G173" s="53"/>
      <c r="H173" s="53"/>
      <c r="I173" s="53"/>
      <c r="J173" s="53"/>
      <c r="K173" s="27"/>
      <c r="L173" s="28">
        <f>L184</f>
        <v>255.35000000000002</v>
      </c>
      <c r="M173" s="28">
        <f>ROUND(L173,2)</f>
        <v>255.35</v>
      </c>
    </row>
    <row r="174" spans="1:13" ht="30.9" customHeight="1" thickBot="1" x14ac:dyDescent="0.35">
      <c r="A174" s="10" t="s">
        <v>508</v>
      </c>
      <c r="B174" s="5" t="s">
        <v>509</v>
      </c>
      <c r="C174" s="5" t="s">
        <v>510</v>
      </c>
      <c r="D174" s="52" t="s">
        <v>511</v>
      </c>
      <c r="E174" s="52"/>
      <c r="F174" s="52"/>
      <c r="G174" s="52"/>
      <c r="H174" s="52"/>
      <c r="I174" s="52"/>
      <c r="J174" s="52"/>
      <c r="K174" s="20">
        <f>SUM(K176:K176)</f>
        <v>30</v>
      </c>
      <c r="L174" s="21">
        <f>ROUND(1.08*(1+M2/100),2)</f>
        <v>1.1100000000000001</v>
      </c>
      <c r="M174" s="21">
        <f>ROUND(K174*L174,2)</f>
        <v>33.299999999999997</v>
      </c>
    </row>
    <row r="175" spans="1:13" ht="15.25" customHeight="1" thickBot="1" x14ac:dyDescent="0.35">
      <c r="A175" s="29"/>
      <c r="B175" s="29"/>
      <c r="C175" s="29"/>
      <c r="D175" s="29"/>
      <c r="E175" s="30"/>
      <c r="F175" s="32" t="s">
        <v>512</v>
      </c>
      <c r="G175" s="32" t="s">
        <v>513</v>
      </c>
      <c r="H175" s="32" t="s">
        <v>514</v>
      </c>
      <c r="I175" s="32" t="s">
        <v>515</v>
      </c>
      <c r="J175" s="32" t="s">
        <v>516</v>
      </c>
      <c r="K175" s="32" t="s">
        <v>517</v>
      </c>
      <c r="L175" s="29"/>
      <c r="M175" s="29"/>
    </row>
    <row r="176" spans="1:13" ht="15.25" customHeight="1" thickBot="1" x14ac:dyDescent="0.35">
      <c r="A176" s="29"/>
      <c r="B176" s="29"/>
      <c r="C176" s="29"/>
      <c r="D176" s="33"/>
      <c r="E176" s="34" t="s">
        <v>518</v>
      </c>
      <c r="F176" s="35">
        <v>3</v>
      </c>
      <c r="G176" s="36">
        <v>10</v>
      </c>
      <c r="H176" s="36"/>
      <c r="I176" s="36"/>
      <c r="J176" s="38">
        <f>ROUND(F176*G176,3)</f>
        <v>30</v>
      </c>
      <c r="K176" s="40">
        <f>SUM(J176:J176)</f>
        <v>30</v>
      </c>
      <c r="L176" s="29"/>
      <c r="M176" s="29"/>
    </row>
    <row r="177" spans="1:13" ht="30.9" customHeight="1" thickBot="1" x14ac:dyDescent="0.35">
      <c r="A177" s="10" t="s">
        <v>519</v>
      </c>
      <c r="B177" s="5" t="s">
        <v>520</v>
      </c>
      <c r="C177" s="5" t="s">
        <v>521</v>
      </c>
      <c r="D177" s="52" t="s">
        <v>522</v>
      </c>
      <c r="E177" s="52"/>
      <c r="F177" s="52"/>
      <c r="G177" s="52"/>
      <c r="H177" s="52"/>
      <c r="I177" s="52"/>
      <c r="J177" s="52"/>
      <c r="K177" s="20">
        <f>SUM(K179:K179)</f>
        <v>75</v>
      </c>
      <c r="L177" s="21">
        <f>ROUND(1.25*(1+M2/100),2)</f>
        <v>1.29</v>
      </c>
      <c r="M177" s="21">
        <f>ROUND(K177*L177,2)</f>
        <v>96.75</v>
      </c>
    </row>
    <row r="178" spans="1:13" ht="15.25" customHeight="1" thickBot="1" x14ac:dyDescent="0.35">
      <c r="A178" s="29"/>
      <c r="B178" s="29"/>
      <c r="C178" s="29"/>
      <c r="D178" s="29"/>
      <c r="E178" s="30"/>
      <c r="F178" s="32" t="s">
        <v>523</v>
      </c>
      <c r="G178" s="32" t="s">
        <v>524</v>
      </c>
      <c r="H178" s="32" t="s">
        <v>525</v>
      </c>
      <c r="I178" s="32" t="s">
        <v>526</v>
      </c>
      <c r="J178" s="32" t="s">
        <v>527</v>
      </c>
      <c r="K178" s="32" t="s">
        <v>528</v>
      </c>
      <c r="L178" s="29"/>
      <c r="M178" s="29"/>
    </row>
    <row r="179" spans="1:13" ht="15.25" customHeight="1" thickBot="1" x14ac:dyDescent="0.35">
      <c r="A179" s="29"/>
      <c r="B179" s="29"/>
      <c r="C179" s="29"/>
      <c r="D179" s="33"/>
      <c r="E179" s="34" t="s">
        <v>529</v>
      </c>
      <c r="F179" s="35">
        <v>3</v>
      </c>
      <c r="G179" s="36">
        <v>25</v>
      </c>
      <c r="H179" s="36"/>
      <c r="I179" s="36"/>
      <c r="J179" s="38">
        <f>ROUND(F179*G179,3)</f>
        <v>75</v>
      </c>
      <c r="K179" s="40">
        <f>SUM(J179:J179)</f>
        <v>75</v>
      </c>
      <c r="L179" s="29"/>
      <c r="M179" s="29"/>
    </row>
    <row r="180" spans="1:13" ht="15.5" customHeight="1" thickBot="1" x14ac:dyDescent="0.35">
      <c r="A180" s="10" t="s">
        <v>530</v>
      </c>
      <c r="B180" s="5" t="s">
        <v>531</v>
      </c>
      <c r="C180" s="5" t="s">
        <v>532</v>
      </c>
      <c r="D180" s="52" t="s">
        <v>533</v>
      </c>
      <c r="E180" s="52"/>
      <c r="F180" s="52"/>
      <c r="G180" s="52"/>
      <c r="H180" s="52"/>
      <c r="I180" s="52"/>
      <c r="J180" s="52"/>
      <c r="K180" s="20">
        <f>SUM(K182:K183)</f>
        <v>35</v>
      </c>
      <c r="L180" s="21">
        <f>ROUND(3.48*(1+M2/100),2)</f>
        <v>3.58</v>
      </c>
      <c r="M180" s="21">
        <f>ROUND(K180*L180,2)</f>
        <v>125.3</v>
      </c>
    </row>
    <row r="181" spans="1:13" ht="15.25" customHeight="1" thickBot="1" x14ac:dyDescent="0.35">
      <c r="A181" s="29"/>
      <c r="B181" s="29"/>
      <c r="C181" s="29"/>
      <c r="D181" s="29"/>
      <c r="E181" s="30"/>
      <c r="F181" s="32" t="s">
        <v>534</v>
      </c>
      <c r="G181" s="32" t="s">
        <v>535</v>
      </c>
      <c r="H181" s="32" t="s">
        <v>536</v>
      </c>
      <c r="I181" s="32" t="s">
        <v>537</v>
      </c>
      <c r="J181" s="32" t="s">
        <v>538</v>
      </c>
      <c r="K181" s="32" t="s">
        <v>539</v>
      </c>
      <c r="L181" s="29"/>
      <c r="M181" s="29"/>
    </row>
    <row r="182" spans="1:13" ht="15.25" customHeight="1" thickBot="1" x14ac:dyDescent="0.35">
      <c r="A182" s="29"/>
      <c r="B182" s="29"/>
      <c r="C182" s="29"/>
      <c r="D182" s="33"/>
      <c r="E182" s="34" t="s">
        <v>540</v>
      </c>
      <c r="F182" s="35">
        <v>1</v>
      </c>
      <c r="G182" s="36">
        <v>10</v>
      </c>
      <c r="H182" s="36"/>
      <c r="I182" s="36"/>
      <c r="J182" s="38">
        <f>ROUND(F182*G182,3)</f>
        <v>10</v>
      </c>
      <c r="K182" s="41"/>
      <c r="L182" s="29"/>
      <c r="M182" s="29"/>
    </row>
    <row r="183" spans="1:13" ht="15.25" customHeight="1" thickBot="1" x14ac:dyDescent="0.35">
      <c r="A183" s="29"/>
      <c r="B183" s="29"/>
      <c r="C183" s="29"/>
      <c r="D183" s="33"/>
      <c r="E183" s="5" t="s">
        <v>541</v>
      </c>
      <c r="F183" s="3">
        <v>1</v>
      </c>
      <c r="G183" s="20">
        <v>25</v>
      </c>
      <c r="H183" s="20"/>
      <c r="I183" s="20"/>
      <c r="J183" s="37">
        <f>ROUND(F183*G183,3)</f>
        <v>25</v>
      </c>
      <c r="K183" s="39">
        <f>SUM(J182:J183)</f>
        <v>35</v>
      </c>
      <c r="L183" s="29"/>
      <c r="M183" s="29"/>
    </row>
    <row r="184" spans="1:13" ht="15.5" customHeight="1" thickBot="1" x14ac:dyDescent="0.35">
      <c r="A184" s="22"/>
      <c r="B184" s="22"/>
      <c r="C184" s="22"/>
      <c r="D184" s="23" t="s">
        <v>542</v>
      </c>
      <c r="E184" s="24"/>
      <c r="F184" s="24"/>
      <c r="G184" s="24"/>
      <c r="H184" s="24"/>
      <c r="I184" s="24"/>
      <c r="J184" s="24"/>
      <c r="K184" s="24"/>
      <c r="L184" s="25">
        <f>M174+M177+M180</f>
        <v>255.35000000000002</v>
      </c>
      <c r="M184" s="25">
        <f>ROUND(L184,2)</f>
        <v>255.35</v>
      </c>
    </row>
    <row r="185" spans="1:13" ht="15.5" customHeight="1" thickBot="1" x14ac:dyDescent="0.35">
      <c r="A185" s="26" t="s">
        <v>543</v>
      </c>
      <c r="B185" s="26" t="s">
        <v>544</v>
      </c>
      <c r="C185" s="27"/>
      <c r="D185" s="53" t="s">
        <v>545</v>
      </c>
      <c r="E185" s="53"/>
      <c r="F185" s="53"/>
      <c r="G185" s="53"/>
      <c r="H185" s="53"/>
      <c r="I185" s="53"/>
      <c r="J185" s="53"/>
      <c r="K185" s="27"/>
      <c r="L185" s="28">
        <f>L188</f>
        <v>42.96</v>
      </c>
      <c r="M185" s="28">
        <f>ROUND(L185,2)</f>
        <v>42.96</v>
      </c>
    </row>
    <row r="186" spans="1:13" ht="15.5" customHeight="1" thickBot="1" x14ac:dyDescent="0.35">
      <c r="A186" s="10" t="s">
        <v>546</v>
      </c>
      <c r="B186" s="5" t="s">
        <v>547</v>
      </c>
      <c r="C186" s="5" t="s">
        <v>548</v>
      </c>
      <c r="D186" s="52" t="s">
        <v>549</v>
      </c>
      <c r="E186" s="52"/>
      <c r="F186" s="52"/>
      <c r="G186" s="52"/>
      <c r="H186" s="52"/>
      <c r="I186" s="52"/>
      <c r="J186" s="52"/>
      <c r="K186" s="20">
        <f>ROUND(1,2)</f>
        <v>1</v>
      </c>
      <c r="L186" s="21">
        <f>ROUND(22.93*(1+M2/100),2)</f>
        <v>23.62</v>
      </c>
      <c r="M186" s="21">
        <f>ROUND(K186*L186,2)</f>
        <v>23.62</v>
      </c>
    </row>
    <row r="187" spans="1:13" ht="15.5" customHeight="1" thickBot="1" x14ac:dyDescent="0.35">
      <c r="A187" s="10" t="s">
        <v>550</v>
      </c>
      <c r="B187" s="5" t="s">
        <v>551</v>
      </c>
      <c r="C187" s="5" t="s">
        <v>552</v>
      </c>
      <c r="D187" s="52" t="s">
        <v>553</v>
      </c>
      <c r="E187" s="52"/>
      <c r="F187" s="52"/>
      <c r="G187" s="52"/>
      <c r="H187" s="52"/>
      <c r="I187" s="52"/>
      <c r="J187" s="52"/>
      <c r="K187" s="20">
        <f>ROUND(1,2)</f>
        <v>1</v>
      </c>
      <c r="L187" s="21">
        <f>ROUND(18.78*(1+M2/100),2)</f>
        <v>19.34</v>
      </c>
      <c r="M187" s="21">
        <f>ROUND(K187*L187,2)</f>
        <v>19.34</v>
      </c>
    </row>
    <row r="188" spans="1:13" ht="15.5" customHeight="1" thickBot="1" x14ac:dyDescent="0.35">
      <c r="A188" s="22"/>
      <c r="B188" s="22"/>
      <c r="C188" s="22"/>
      <c r="D188" s="23" t="s">
        <v>554</v>
      </c>
      <c r="E188" s="24"/>
      <c r="F188" s="24"/>
      <c r="G188" s="24"/>
      <c r="H188" s="24"/>
      <c r="I188" s="24"/>
      <c r="J188" s="24"/>
      <c r="K188" s="24"/>
      <c r="L188" s="25">
        <f>M186+M187</f>
        <v>42.96</v>
      </c>
      <c r="M188" s="25">
        <f>ROUND(L188,2)</f>
        <v>42.96</v>
      </c>
    </row>
    <row r="189" spans="1:13" ht="15.5" customHeight="1" thickBot="1" x14ac:dyDescent="0.35">
      <c r="A189" s="26" t="s">
        <v>555</v>
      </c>
      <c r="B189" s="26" t="s">
        <v>556</v>
      </c>
      <c r="C189" s="27"/>
      <c r="D189" s="53" t="s">
        <v>557</v>
      </c>
      <c r="E189" s="53"/>
      <c r="F189" s="53"/>
      <c r="G189" s="53"/>
      <c r="H189" s="53"/>
      <c r="I189" s="53"/>
      <c r="J189" s="53"/>
      <c r="K189" s="27"/>
      <c r="L189" s="28">
        <f>L192</f>
        <v>227.18</v>
      </c>
      <c r="M189" s="28">
        <f>ROUND(L189,2)</f>
        <v>227.18</v>
      </c>
    </row>
    <row r="190" spans="1:13" ht="15.5" customHeight="1" thickBot="1" x14ac:dyDescent="0.35">
      <c r="A190" s="10" t="s">
        <v>558</v>
      </c>
      <c r="B190" s="5" t="s">
        <v>559</v>
      </c>
      <c r="C190" s="5" t="s">
        <v>560</v>
      </c>
      <c r="D190" s="52" t="s">
        <v>561</v>
      </c>
      <c r="E190" s="52"/>
      <c r="F190" s="52"/>
      <c r="G190" s="52"/>
      <c r="H190" s="52"/>
      <c r="I190" s="52"/>
      <c r="J190" s="52"/>
      <c r="K190" s="20">
        <f>ROUND(5,2)</f>
        <v>5</v>
      </c>
      <c r="L190" s="21">
        <f>ROUND(20.48*(1+M2/100),2)</f>
        <v>21.09</v>
      </c>
      <c r="M190" s="21">
        <f>ROUND(K190*L190,2)</f>
        <v>105.45</v>
      </c>
    </row>
    <row r="191" spans="1:13" ht="15.5" customHeight="1" thickBot="1" x14ac:dyDescent="0.35">
      <c r="A191" s="10" t="s">
        <v>562</v>
      </c>
      <c r="B191" s="5" t="s">
        <v>563</v>
      </c>
      <c r="C191" s="5" t="s">
        <v>564</v>
      </c>
      <c r="D191" s="52" t="s">
        <v>565</v>
      </c>
      <c r="E191" s="52"/>
      <c r="F191" s="52"/>
      <c r="G191" s="52"/>
      <c r="H191" s="52"/>
      <c r="I191" s="52"/>
      <c r="J191" s="52"/>
      <c r="K191" s="20">
        <f>ROUND(7,2)</f>
        <v>7</v>
      </c>
      <c r="L191" s="21">
        <f>ROUND(16.88*(1+M2/100),2)</f>
        <v>17.39</v>
      </c>
      <c r="M191" s="21">
        <f>ROUND(K191*L191,2)</f>
        <v>121.73</v>
      </c>
    </row>
    <row r="192" spans="1:13" ht="15.5" customHeight="1" thickBot="1" x14ac:dyDescent="0.35">
      <c r="A192" s="22"/>
      <c r="B192" s="22"/>
      <c r="C192" s="22"/>
      <c r="D192" s="23" t="s">
        <v>566</v>
      </c>
      <c r="E192" s="24"/>
      <c r="F192" s="24"/>
      <c r="G192" s="24"/>
      <c r="H192" s="24"/>
      <c r="I192" s="24"/>
      <c r="J192" s="24"/>
      <c r="K192" s="24"/>
      <c r="L192" s="25">
        <f>M190+M191</f>
        <v>227.18</v>
      </c>
      <c r="M192" s="25">
        <f>ROUND(L192,2)</f>
        <v>227.18</v>
      </c>
    </row>
    <row r="193" spans="1:13" ht="15.5" customHeight="1" thickBot="1" x14ac:dyDescent="0.35">
      <c r="A193" s="26" t="s">
        <v>567</v>
      </c>
      <c r="B193" s="26" t="s">
        <v>568</v>
      </c>
      <c r="C193" s="27"/>
      <c r="D193" s="53" t="s">
        <v>569</v>
      </c>
      <c r="E193" s="53"/>
      <c r="F193" s="53"/>
      <c r="G193" s="53"/>
      <c r="H193" s="53"/>
      <c r="I193" s="53"/>
      <c r="J193" s="53"/>
      <c r="K193" s="27"/>
      <c r="L193" s="28">
        <f>L195</f>
        <v>123.6</v>
      </c>
      <c r="M193" s="28">
        <f>ROUND(L193,2)</f>
        <v>123.6</v>
      </c>
    </row>
    <row r="194" spans="1:13" ht="15.5" customHeight="1" thickBot="1" x14ac:dyDescent="0.35">
      <c r="A194" s="10" t="s">
        <v>570</v>
      </c>
      <c r="B194" s="5" t="s">
        <v>571</v>
      </c>
      <c r="C194" s="5" t="s">
        <v>572</v>
      </c>
      <c r="D194" s="52" t="s">
        <v>573</v>
      </c>
      <c r="E194" s="52"/>
      <c r="F194" s="52"/>
      <c r="G194" s="52"/>
      <c r="H194" s="52"/>
      <c r="I194" s="52"/>
      <c r="J194" s="52"/>
      <c r="K194" s="20">
        <f>ROUND(1,2)</f>
        <v>1</v>
      </c>
      <c r="L194" s="21">
        <f>ROUND(120*(1+M2/100),2)</f>
        <v>123.6</v>
      </c>
      <c r="M194" s="21">
        <f>ROUND(K194*L194,2)</f>
        <v>123.6</v>
      </c>
    </row>
    <row r="195" spans="1:13" ht="15.5" customHeight="1" thickBot="1" x14ac:dyDescent="0.35">
      <c r="A195" s="22"/>
      <c r="B195" s="22"/>
      <c r="C195" s="22"/>
      <c r="D195" s="23" t="s">
        <v>574</v>
      </c>
      <c r="E195" s="24"/>
      <c r="F195" s="24"/>
      <c r="G195" s="24"/>
      <c r="H195" s="24"/>
      <c r="I195" s="24"/>
      <c r="J195" s="24"/>
      <c r="K195" s="24"/>
      <c r="L195" s="25">
        <f>M194</f>
        <v>123.6</v>
      </c>
      <c r="M195" s="25">
        <f>ROUND(L195,2)</f>
        <v>123.6</v>
      </c>
    </row>
    <row r="196" spans="1:13" ht="15.5" customHeight="1" thickBot="1" x14ac:dyDescent="0.35">
      <c r="A196" s="42"/>
      <c r="B196" s="42"/>
      <c r="C196" s="42"/>
      <c r="D196" s="43" t="s">
        <v>575</v>
      </c>
      <c r="E196" s="44"/>
      <c r="F196" s="44"/>
      <c r="G196" s="44"/>
      <c r="H196" s="44"/>
      <c r="I196" s="44"/>
      <c r="J196" s="44"/>
      <c r="K196" s="44"/>
      <c r="L196" s="45">
        <f>M169+M172+M184+M188+M192+M195</f>
        <v>1620.08</v>
      </c>
      <c r="M196" s="45">
        <f>ROUND(L196,2)</f>
        <v>1620.08</v>
      </c>
    </row>
    <row r="197" spans="1:13" ht="15.5" customHeight="1" thickBot="1" x14ac:dyDescent="0.35">
      <c r="A197" s="46" t="s">
        <v>576</v>
      </c>
      <c r="B197" s="46" t="s">
        <v>577</v>
      </c>
      <c r="C197" s="47"/>
      <c r="D197" s="54" t="s">
        <v>578</v>
      </c>
      <c r="E197" s="54"/>
      <c r="F197" s="54"/>
      <c r="G197" s="54"/>
      <c r="H197" s="54"/>
      <c r="I197" s="54"/>
      <c r="J197" s="54"/>
      <c r="K197" s="47"/>
      <c r="L197" s="48">
        <f>L220</f>
        <v>3531.34</v>
      </c>
      <c r="M197" s="48">
        <f>ROUND(L197,2)</f>
        <v>3531.34</v>
      </c>
    </row>
    <row r="198" spans="1:13" ht="15.5" customHeight="1" thickBot="1" x14ac:dyDescent="0.35">
      <c r="A198" s="17" t="s">
        <v>579</v>
      </c>
      <c r="B198" s="17" t="s">
        <v>580</v>
      </c>
      <c r="C198" s="18"/>
      <c r="D198" s="55" t="s">
        <v>581</v>
      </c>
      <c r="E198" s="55"/>
      <c r="F198" s="55"/>
      <c r="G198" s="55"/>
      <c r="H198" s="55"/>
      <c r="I198" s="55"/>
      <c r="J198" s="55"/>
      <c r="K198" s="18"/>
      <c r="L198" s="19">
        <f>L201</f>
        <v>450</v>
      </c>
      <c r="M198" s="19">
        <f>ROUND(L198,2)</f>
        <v>450</v>
      </c>
    </row>
    <row r="199" spans="1:13" ht="15.5" customHeight="1" thickBot="1" x14ac:dyDescent="0.35">
      <c r="A199" s="10" t="s">
        <v>582</v>
      </c>
      <c r="B199" s="5" t="s">
        <v>583</v>
      </c>
      <c r="C199" s="5" t="s">
        <v>584</v>
      </c>
      <c r="D199" s="52" t="s">
        <v>585</v>
      </c>
      <c r="E199" s="52"/>
      <c r="F199" s="52"/>
      <c r="G199" s="52"/>
      <c r="H199" s="52"/>
      <c r="I199" s="52"/>
      <c r="J199" s="52"/>
      <c r="K199" s="20">
        <f>ROUND(1,2)</f>
        <v>1</v>
      </c>
      <c r="L199" s="21">
        <f>ROUND(242.718*(1+M2/100),2)</f>
        <v>250</v>
      </c>
      <c r="M199" s="21">
        <f>ROUND(K199*L199,2)</f>
        <v>250</v>
      </c>
    </row>
    <row r="200" spans="1:13" ht="15.5" customHeight="1" thickBot="1" x14ac:dyDescent="0.35">
      <c r="A200" s="10" t="s">
        <v>586</v>
      </c>
      <c r="B200" s="5" t="s">
        <v>587</v>
      </c>
      <c r="C200" s="5" t="s">
        <v>588</v>
      </c>
      <c r="D200" s="52" t="s">
        <v>589</v>
      </c>
      <c r="E200" s="52"/>
      <c r="F200" s="52"/>
      <c r="G200" s="52"/>
      <c r="H200" s="52"/>
      <c r="I200" s="52"/>
      <c r="J200" s="52"/>
      <c r="K200" s="20">
        <f>ROUND(1,2)</f>
        <v>1</v>
      </c>
      <c r="L200" s="21">
        <f>ROUND(194.175*(1+M2/100),2)</f>
        <v>200</v>
      </c>
      <c r="M200" s="21">
        <f>ROUND(K200*L200,2)</f>
        <v>200</v>
      </c>
    </row>
    <row r="201" spans="1:13" ht="15.5" customHeight="1" thickBot="1" x14ac:dyDescent="0.35">
      <c r="A201" s="22"/>
      <c r="B201" s="22"/>
      <c r="C201" s="22"/>
      <c r="D201" s="23" t="s">
        <v>590</v>
      </c>
      <c r="E201" s="24"/>
      <c r="F201" s="24"/>
      <c r="G201" s="24"/>
      <c r="H201" s="24"/>
      <c r="I201" s="24"/>
      <c r="J201" s="24"/>
      <c r="K201" s="24"/>
      <c r="L201" s="25">
        <f>M199+M200</f>
        <v>450</v>
      </c>
      <c r="M201" s="25">
        <f>ROUND(L201,2)</f>
        <v>450</v>
      </c>
    </row>
    <row r="202" spans="1:13" ht="15.5" customHeight="1" thickBot="1" x14ac:dyDescent="0.35">
      <c r="A202" s="26" t="s">
        <v>591</v>
      </c>
      <c r="B202" s="26" t="s">
        <v>592</v>
      </c>
      <c r="C202" s="27"/>
      <c r="D202" s="53" t="s">
        <v>593</v>
      </c>
      <c r="E202" s="53"/>
      <c r="F202" s="53"/>
      <c r="G202" s="53"/>
      <c r="H202" s="53"/>
      <c r="I202" s="53"/>
      <c r="J202" s="53"/>
      <c r="K202" s="27"/>
      <c r="L202" s="28">
        <f>L207</f>
        <v>940.06999999999994</v>
      </c>
      <c r="M202" s="28">
        <f>ROUND(L202,2)</f>
        <v>940.07</v>
      </c>
    </row>
    <row r="203" spans="1:13" ht="15.5" customHeight="1" thickBot="1" x14ac:dyDescent="0.35">
      <c r="A203" s="10" t="s">
        <v>594</v>
      </c>
      <c r="B203" s="5" t="s">
        <v>595</v>
      </c>
      <c r="C203" s="5" t="s">
        <v>596</v>
      </c>
      <c r="D203" s="52" t="s">
        <v>597</v>
      </c>
      <c r="E203" s="52"/>
      <c r="F203" s="52"/>
      <c r="G203" s="52"/>
      <c r="H203" s="52"/>
      <c r="I203" s="52"/>
      <c r="J203" s="52"/>
      <c r="K203" s="20">
        <f>ROUND(1,2)</f>
        <v>1</v>
      </c>
      <c r="L203" s="21">
        <f>ROUND(411.72*(1+M2/100),2)</f>
        <v>424.07</v>
      </c>
      <c r="M203" s="21">
        <f>ROUND(K203*L203,2)</f>
        <v>424.07</v>
      </c>
    </row>
    <row r="204" spans="1:13" ht="15.5" customHeight="1" thickBot="1" x14ac:dyDescent="0.35">
      <c r="A204" s="10" t="s">
        <v>598</v>
      </c>
      <c r="B204" s="5" t="s">
        <v>599</v>
      </c>
      <c r="C204" s="5" t="s">
        <v>600</v>
      </c>
      <c r="D204" s="52" t="s">
        <v>601</v>
      </c>
      <c r="E204" s="52"/>
      <c r="F204" s="52"/>
      <c r="G204" s="52"/>
      <c r="H204" s="52"/>
      <c r="I204" s="52"/>
      <c r="J204" s="52"/>
      <c r="K204" s="20">
        <f>ROUND(1,2)</f>
        <v>1</v>
      </c>
      <c r="L204" s="21">
        <f>ROUND(338.88*(1+M2/100),2)</f>
        <v>349.05</v>
      </c>
      <c r="M204" s="21">
        <f>ROUND(K204*L204,2)</f>
        <v>349.05</v>
      </c>
    </row>
    <row r="205" spans="1:13" ht="15.5" customHeight="1" thickBot="1" x14ac:dyDescent="0.35">
      <c r="A205" s="10" t="s">
        <v>602</v>
      </c>
      <c r="B205" s="5" t="s">
        <v>603</v>
      </c>
      <c r="C205" s="5" t="s">
        <v>604</v>
      </c>
      <c r="D205" s="52" t="s">
        <v>605</v>
      </c>
      <c r="E205" s="52"/>
      <c r="F205" s="52"/>
      <c r="G205" s="52"/>
      <c r="H205" s="52"/>
      <c r="I205" s="52"/>
      <c r="J205" s="52"/>
      <c r="K205" s="20">
        <f>ROUND(1,2)</f>
        <v>1</v>
      </c>
      <c r="L205" s="21">
        <f>ROUND(54.62*(1+M2/100),2)</f>
        <v>56.26</v>
      </c>
      <c r="M205" s="21">
        <f>ROUND(K205*L205,2)</f>
        <v>56.26</v>
      </c>
    </row>
    <row r="206" spans="1:13" ht="15.5" customHeight="1" thickBot="1" x14ac:dyDescent="0.35">
      <c r="A206" s="10" t="s">
        <v>606</v>
      </c>
      <c r="B206" s="5" t="s">
        <v>607</v>
      </c>
      <c r="C206" s="5" t="s">
        <v>608</v>
      </c>
      <c r="D206" s="52" t="s">
        <v>609</v>
      </c>
      <c r="E206" s="52"/>
      <c r="F206" s="52"/>
      <c r="G206" s="52"/>
      <c r="H206" s="52"/>
      <c r="I206" s="52"/>
      <c r="J206" s="52"/>
      <c r="K206" s="20">
        <f>ROUND(1,2)</f>
        <v>1</v>
      </c>
      <c r="L206" s="21">
        <f>ROUND(107.47*(1+M2/100),2)</f>
        <v>110.69</v>
      </c>
      <c r="M206" s="21">
        <f>ROUND(K206*L206,2)</f>
        <v>110.69</v>
      </c>
    </row>
    <row r="207" spans="1:13" ht="15.5" customHeight="1" thickBot="1" x14ac:dyDescent="0.35">
      <c r="A207" s="22"/>
      <c r="B207" s="22"/>
      <c r="C207" s="22"/>
      <c r="D207" s="23" t="s">
        <v>610</v>
      </c>
      <c r="E207" s="24"/>
      <c r="F207" s="24"/>
      <c r="G207" s="24"/>
      <c r="H207" s="24"/>
      <c r="I207" s="24"/>
      <c r="J207" s="24"/>
      <c r="K207" s="24"/>
      <c r="L207" s="25">
        <f>M203+M204+M205+M206</f>
        <v>940.06999999999994</v>
      </c>
      <c r="M207" s="25">
        <f>ROUND(L207,2)</f>
        <v>940.07</v>
      </c>
    </row>
    <row r="208" spans="1:13" ht="15.5" customHeight="1" thickBot="1" x14ac:dyDescent="0.35">
      <c r="A208" s="26" t="s">
        <v>611</v>
      </c>
      <c r="B208" s="26" t="s">
        <v>612</v>
      </c>
      <c r="C208" s="27"/>
      <c r="D208" s="53" t="s">
        <v>613</v>
      </c>
      <c r="E208" s="53"/>
      <c r="F208" s="53"/>
      <c r="G208" s="53"/>
      <c r="H208" s="53"/>
      <c r="I208" s="53"/>
      <c r="J208" s="53"/>
      <c r="K208" s="27"/>
      <c r="L208" s="28">
        <f>L210</f>
        <v>150</v>
      </c>
      <c r="M208" s="28">
        <f>ROUND(L208,2)</f>
        <v>150</v>
      </c>
    </row>
    <row r="209" spans="1:13" ht="21.65" customHeight="1" thickBot="1" x14ac:dyDescent="0.35">
      <c r="A209" s="10" t="s">
        <v>614</v>
      </c>
      <c r="B209" s="5" t="s">
        <v>615</v>
      </c>
      <c r="C209" s="5" t="s">
        <v>616</v>
      </c>
      <c r="D209" s="52" t="s">
        <v>617</v>
      </c>
      <c r="E209" s="52"/>
      <c r="F209" s="52"/>
      <c r="G209" s="52"/>
      <c r="H209" s="52"/>
      <c r="I209" s="52"/>
      <c r="J209" s="52"/>
      <c r="K209" s="20">
        <f>ROUND(1,2)</f>
        <v>1</v>
      </c>
      <c r="L209" s="21">
        <f>ROUND(145.631*(1+M2/100),2)</f>
        <v>150</v>
      </c>
      <c r="M209" s="21">
        <f>ROUND(K209*L209,2)</f>
        <v>150</v>
      </c>
    </row>
    <row r="210" spans="1:13" ht="15.5" customHeight="1" thickBot="1" x14ac:dyDescent="0.35">
      <c r="A210" s="22"/>
      <c r="B210" s="22"/>
      <c r="C210" s="22"/>
      <c r="D210" s="23" t="s">
        <v>618</v>
      </c>
      <c r="E210" s="24"/>
      <c r="F210" s="24"/>
      <c r="G210" s="24"/>
      <c r="H210" s="24"/>
      <c r="I210" s="24"/>
      <c r="J210" s="24"/>
      <c r="K210" s="24"/>
      <c r="L210" s="25">
        <f>M209</f>
        <v>150</v>
      </c>
      <c r="M210" s="25">
        <f>ROUND(L210,2)</f>
        <v>150</v>
      </c>
    </row>
    <row r="211" spans="1:13" ht="15.5" customHeight="1" thickBot="1" x14ac:dyDescent="0.35">
      <c r="A211" s="26" t="s">
        <v>619</v>
      </c>
      <c r="B211" s="26" t="s">
        <v>620</v>
      </c>
      <c r="C211" s="27"/>
      <c r="D211" s="53" t="s">
        <v>621</v>
      </c>
      <c r="E211" s="53"/>
      <c r="F211" s="53"/>
      <c r="G211" s="53"/>
      <c r="H211" s="53"/>
      <c r="I211" s="53"/>
      <c r="J211" s="53"/>
      <c r="K211" s="27"/>
      <c r="L211" s="28">
        <f>L216</f>
        <v>1867.67</v>
      </c>
      <c r="M211" s="28">
        <f>ROUND(L211,2)</f>
        <v>1867.67</v>
      </c>
    </row>
    <row r="212" spans="1:13" ht="30.9" customHeight="1" thickBot="1" x14ac:dyDescent="0.35">
      <c r="A212" s="10" t="s">
        <v>622</v>
      </c>
      <c r="B212" s="5" t="s">
        <v>623</v>
      </c>
      <c r="C212" s="5" t="s">
        <v>624</v>
      </c>
      <c r="D212" s="52" t="s">
        <v>625</v>
      </c>
      <c r="E212" s="52"/>
      <c r="F212" s="52"/>
      <c r="G212" s="52"/>
      <c r="H212" s="52"/>
      <c r="I212" s="52"/>
      <c r="J212" s="52"/>
      <c r="K212" s="20">
        <f>ROUND(4,2)</f>
        <v>4</v>
      </c>
      <c r="L212" s="21">
        <f>ROUND(146.14*(1+M2/100),2)</f>
        <v>150.52000000000001</v>
      </c>
      <c r="M212" s="21">
        <f>ROUND(K212*L212,2)</f>
        <v>602.08000000000004</v>
      </c>
    </row>
    <row r="213" spans="1:13" ht="21.65" customHeight="1" thickBot="1" x14ac:dyDescent="0.35">
      <c r="A213" s="10" t="s">
        <v>626</v>
      </c>
      <c r="B213" s="5" t="s">
        <v>627</v>
      </c>
      <c r="C213" s="5" t="s">
        <v>628</v>
      </c>
      <c r="D213" s="52" t="s">
        <v>629</v>
      </c>
      <c r="E213" s="52"/>
      <c r="F213" s="52"/>
      <c r="G213" s="52"/>
      <c r="H213" s="52"/>
      <c r="I213" s="52"/>
      <c r="J213" s="52"/>
      <c r="K213" s="20">
        <f>ROUND(12,2)</f>
        <v>12</v>
      </c>
      <c r="L213" s="21">
        <f>ROUND(61.23*(1+M2/100),2)</f>
        <v>63.07</v>
      </c>
      <c r="M213" s="21">
        <f>ROUND(K213*L213,2)</f>
        <v>756.84</v>
      </c>
    </row>
    <row r="214" spans="1:13" ht="15.5" customHeight="1" thickBot="1" x14ac:dyDescent="0.35">
      <c r="A214" s="10" t="s">
        <v>630</v>
      </c>
      <c r="B214" s="5" t="s">
        <v>631</v>
      </c>
      <c r="C214" s="5" t="s">
        <v>632</v>
      </c>
      <c r="D214" s="52" t="s">
        <v>633</v>
      </c>
      <c r="E214" s="52"/>
      <c r="F214" s="52"/>
      <c r="G214" s="52"/>
      <c r="H214" s="52"/>
      <c r="I214" s="52"/>
      <c r="J214" s="52"/>
      <c r="K214" s="20">
        <f>ROUND(5,2)</f>
        <v>5</v>
      </c>
      <c r="L214" s="21">
        <f>ROUND(16.88*(1+M2/100),2)</f>
        <v>17.39</v>
      </c>
      <c r="M214" s="21">
        <f>ROUND(K214*L214,2)</f>
        <v>86.95</v>
      </c>
    </row>
    <row r="215" spans="1:13" ht="15.5" customHeight="1" thickBot="1" x14ac:dyDescent="0.35">
      <c r="A215" s="10" t="s">
        <v>634</v>
      </c>
      <c r="B215" s="5" t="s">
        <v>635</v>
      </c>
      <c r="C215" s="5" t="s">
        <v>636</v>
      </c>
      <c r="D215" s="52" t="s">
        <v>637</v>
      </c>
      <c r="E215" s="52"/>
      <c r="F215" s="52"/>
      <c r="G215" s="52"/>
      <c r="H215" s="52"/>
      <c r="I215" s="52"/>
      <c r="J215" s="52"/>
      <c r="K215" s="20">
        <f>ROUND(20,2)</f>
        <v>20</v>
      </c>
      <c r="L215" s="21">
        <f>ROUND(20.48*(1+M2/100),2)</f>
        <v>21.09</v>
      </c>
      <c r="M215" s="21">
        <f>ROUND(K215*L215,2)</f>
        <v>421.8</v>
      </c>
    </row>
    <row r="216" spans="1:13" ht="15.5" customHeight="1" thickBot="1" x14ac:dyDescent="0.35">
      <c r="A216" s="22"/>
      <c r="B216" s="22"/>
      <c r="C216" s="22"/>
      <c r="D216" s="23" t="s">
        <v>638</v>
      </c>
      <c r="E216" s="24"/>
      <c r="F216" s="24"/>
      <c r="G216" s="24"/>
      <c r="H216" s="24"/>
      <c r="I216" s="24"/>
      <c r="J216" s="24"/>
      <c r="K216" s="24"/>
      <c r="L216" s="25">
        <f>M212+M213+M214+M215</f>
        <v>1867.67</v>
      </c>
      <c r="M216" s="25">
        <f>ROUND(L216,2)</f>
        <v>1867.67</v>
      </c>
    </row>
    <row r="217" spans="1:13" ht="15.5" customHeight="1" thickBot="1" x14ac:dyDescent="0.35">
      <c r="A217" s="26" t="s">
        <v>639</v>
      </c>
      <c r="B217" s="26" t="s">
        <v>640</v>
      </c>
      <c r="C217" s="27"/>
      <c r="D217" s="53" t="s">
        <v>641</v>
      </c>
      <c r="E217" s="53"/>
      <c r="F217" s="53"/>
      <c r="G217" s="53"/>
      <c r="H217" s="53"/>
      <c r="I217" s="53"/>
      <c r="J217" s="53"/>
      <c r="K217" s="27"/>
      <c r="L217" s="28">
        <f>L219</f>
        <v>123.6</v>
      </c>
      <c r="M217" s="28">
        <f>ROUND(L217,2)</f>
        <v>123.6</v>
      </c>
    </row>
    <row r="218" spans="1:13" ht="15.5" customHeight="1" thickBot="1" x14ac:dyDescent="0.35">
      <c r="A218" s="10" t="s">
        <v>642</v>
      </c>
      <c r="B218" s="5" t="s">
        <v>643</v>
      </c>
      <c r="C218" s="5" t="s">
        <v>644</v>
      </c>
      <c r="D218" s="52" t="s">
        <v>645</v>
      </c>
      <c r="E218" s="52"/>
      <c r="F218" s="52"/>
      <c r="G218" s="52"/>
      <c r="H218" s="52"/>
      <c r="I218" s="52"/>
      <c r="J218" s="52"/>
      <c r="K218" s="20">
        <f>ROUND(1,2)</f>
        <v>1</v>
      </c>
      <c r="L218" s="21">
        <f>ROUND(120*(1+M2/100),2)</f>
        <v>123.6</v>
      </c>
      <c r="M218" s="21">
        <f>ROUND(K218*L218,2)</f>
        <v>123.6</v>
      </c>
    </row>
    <row r="219" spans="1:13" ht="15.5" customHeight="1" thickBot="1" x14ac:dyDescent="0.35">
      <c r="A219" s="22"/>
      <c r="B219" s="22"/>
      <c r="C219" s="22"/>
      <c r="D219" s="23" t="s">
        <v>646</v>
      </c>
      <c r="E219" s="24"/>
      <c r="F219" s="24"/>
      <c r="G219" s="24"/>
      <c r="H219" s="24"/>
      <c r="I219" s="24"/>
      <c r="J219" s="24"/>
      <c r="K219" s="24"/>
      <c r="L219" s="25">
        <f>M218</f>
        <v>123.6</v>
      </c>
      <c r="M219" s="25">
        <f>ROUND(L219,2)</f>
        <v>123.6</v>
      </c>
    </row>
    <row r="220" spans="1:13" ht="15.5" customHeight="1" thickBot="1" x14ac:dyDescent="0.35">
      <c r="A220" s="42"/>
      <c r="B220" s="42"/>
      <c r="C220" s="42"/>
      <c r="D220" s="43" t="s">
        <v>647</v>
      </c>
      <c r="E220" s="44"/>
      <c r="F220" s="44"/>
      <c r="G220" s="44"/>
      <c r="H220" s="44"/>
      <c r="I220" s="44"/>
      <c r="J220" s="44"/>
      <c r="K220" s="44"/>
      <c r="L220" s="45">
        <f>M201+M207+M210+M216+M219</f>
        <v>3531.34</v>
      </c>
      <c r="M220" s="45">
        <f>ROUND(L220,2)</f>
        <v>3531.34</v>
      </c>
    </row>
    <row r="221" spans="1:13" ht="15.5" customHeight="1" thickBot="1" x14ac:dyDescent="0.35">
      <c r="A221" s="46" t="s">
        <v>648</v>
      </c>
      <c r="B221" s="46" t="s">
        <v>649</v>
      </c>
      <c r="C221" s="47"/>
      <c r="D221" s="54" t="s">
        <v>650</v>
      </c>
      <c r="E221" s="54"/>
      <c r="F221" s="54"/>
      <c r="G221" s="54"/>
      <c r="H221" s="54"/>
      <c r="I221" s="54"/>
      <c r="J221" s="54"/>
      <c r="K221" s="47"/>
      <c r="L221" s="48">
        <f>L248</f>
        <v>1516.49</v>
      </c>
      <c r="M221" s="48">
        <f>ROUND(L221,2)</f>
        <v>1516.49</v>
      </c>
    </row>
    <row r="222" spans="1:13" ht="15.5" customHeight="1" thickBot="1" x14ac:dyDescent="0.35">
      <c r="A222" s="17" t="s">
        <v>651</v>
      </c>
      <c r="B222" s="17" t="s">
        <v>652</v>
      </c>
      <c r="C222" s="18"/>
      <c r="D222" s="55" t="s">
        <v>653</v>
      </c>
      <c r="E222" s="55"/>
      <c r="F222" s="55"/>
      <c r="G222" s="55"/>
      <c r="H222" s="55"/>
      <c r="I222" s="55"/>
      <c r="J222" s="55"/>
      <c r="K222" s="18"/>
      <c r="L222" s="19">
        <f>L225</f>
        <v>300</v>
      </c>
      <c r="M222" s="19">
        <f>ROUND(L222,2)</f>
        <v>300</v>
      </c>
    </row>
    <row r="223" spans="1:13" ht="15.5" customHeight="1" thickBot="1" x14ac:dyDescent="0.35">
      <c r="A223" s="10" t="s">
        <v>654</v>
      </c>
      <c r="B223" s="5" t="s">
        <v>655</v>
      </c>
      <c r="C223" s="5" t="s">
        <v>656</v>
      </c>
      <c r="D223" s="52" t="s">
        <v>657</v>
      </c>
      <c r="E223" s="52"/>
      <c r="F223" s="52"/>
      <c r="G223" s="52"/>
      <c r="H223" s="52"/>
      <c r="I223" s="52"/>
      <c r="J223" s="52"/>
      <c r="K223" s="20">
        <f>ROUND(1,2)</f>
        <v>1</v>
      </c>
      <c r="L223" s="21">
        <f>ROUND(97.087*(1+M2/100),2)</f>
        <v>100</v>
      </c>
      <c r="M223" s="21">
        <f>ROUND(K223*L223,2)</f>
        <v>100</v>
      </c>
    </row>
    <row r="224" spans="1:13" ht="15.5" customHeight="1" thickBot="1" x14ac:dyDescent="0.35">
      <c r="A224" s="10" t="s">
        <v>658</v>
      </c>
      <c r="B224" s="5" t="s">
        <v>659</v>
      </c>
      <c r="C224" s="5" t="s">
        <v>660</v>
      </c>
      <c r="D224" s="52" t="s">
        <v>661</v>
      </c>
      <c r="E224" s="52"/>
      <c r="F224" s="52"/>
      <c r="G224" s="52"/>
      <c r="H224" s="52"/>
      <c r="I224" s="52"/>
      <c r="J224" s="52"/>
      <c r="K224" s="20">
        <f>ROUND(1,2)</f>
        <v>1</v>
      </c>
      <c r="L224" s="21">
        <f>ROUND(194.175*(1+M2/100),2)</f>
        <v>200</v>
      </c>
      <c r="M224" s="21">
        <f>ROUND(K224*L224,2)</f>
        <v>200</v>
      </c>
    </row>
    <row r="225" spans="1:13" ht="15.5" customHeight="1" thickBot="1" x14ac:dyDescent="0.35">
      <c r="A225" s="22"/>
      <c r="B225" s="22"/>
      <c r="C225" s="22"/>
      <c r="D225" s="23" t="s">
        <v>662</v>
      </c>
      <c r="E225" s="24"/>
      <c r="F225" s="24"/>
      <c r="G225" s="24"/>
      <c r="H225" s="24"/>
      <c r="I225" s="24"/>
      <c r="J225" s="24"/>
      <c r="K225" s="24"/>
      <c r="L225" s="25">
        <f>M223+M224</f>
        <v>300</v>
      </c>
      <c r="M225" s="25">
        <f>ROUND(L225,2)</f>
        <v>300</v>
      </c>
    </row>
    <row r="226" spans="1:13" ht="15.5" customHeight="1" thickBot="1" x14ac:dyDescent="0.35">
      <c r="A226" s="26" t="s">
        <v>663</v>
      </c>
      <c r="B226" s="26" t="s">
        <v>664</v>
      </c>
      <c r="C226" s="27"/>
      <c r="D226" s="53" t="s">
        <v>665</v>
      </c>
      <c r="E226" s="53"/>
      <c r="F226" s="53"/>
      <c r="G226" s="53"/>
      <c r="H226" s="53"/>
      <c r="I226" s="53"/>
      <c r="J226" s="53"/>
      <c r="K226" s="27"/>
      <c r="L226" s="28">
        <f>L228</f>
        <v>615.55999999999995</v>
      </c>
      <c r="M226" s="28">
        <f>ROUND(L226,2)</f>
        <v>615.55999999999995</v>
      </c>
    </row>
    <row r="227" spans="1:13" ht="15.5" customHeight="1" thickBot="1" x14ac:dyDescent="0.35">
      <c r="A227" s="10" t="s">
        <v>666</v>
      </c>
      <c r="B227" s="5" t="s">
        <v>667</v>
      </c>
      <c r="C227" s="5" t="s">
        <v>668</v>
      </c>
      <c r="D227" s="52" t="s">
        <v>669</v>
      </c>
      <c r="E227" s="52"/>
      <c r="F227" s="52"/>
      <c r="G227" s="52"/>
      <c r="H227" s="52"/>
      <c r="I227" s="52"/>
      <c r="J227" s="52"/>
      <c r="K227" s="20">
        <f>ROUND(1,2)</f>
        <v>1</v>
      </c>
      <c r="L227" s="21">
        <f>ROUND(597.63*(1+M2/100),2)</f>
        <v>615.55999999999995</v>
      </c>
      <c r="M227" s="21">
        <f>ROUND(K227*L227,2)</f>
        <v>615.55999999999995</v>
      </c>
    </row>
    <row r="228" spans="1:13" ht="15.5" customHeight="1" thickBot="1" x14ac:dyDescent="0.35">
      <c r="A228" s="22"/>
      <c r="B228" s="22"/>
      <c r="C228" s="22"/>
      <c r="D228" s="23" t="s">
        <v>670</v>
      </c>
      <c r="E228" s="24"/>
      <c r="F228" s="24"/>
      <c r="G228" s="24"/>
      <c r="H228" s="24"/>
      <c r="I228" s="24"/>
      <c r="J228" s="24"/>
      <c r="K228" s="24"/>
      <c r="L228" s="25">
        <f>M227</f>
        <v>615.55999999999995</v>
      </c>
      <c r="M228" s="25">
        <f>ROUND(L228,2)</f>
        <v>615.55999999999995</v>
      </c>
    </row>
    <row r="229" spans="1:13" ht="15.5" customHeight="1" thickBot="1" x14ac:dyDescent="0.35">
      <c r="A229" s="26" t="s">
        <v>671</v>
      </c>
      <c r="B229" s="26" t="s">
        <v>672</v>
      </c>
      <c r="C229" s="27"/>
      <c r="D229" s="53" t="s">
        <v>673</v>
      </c>
      <c r="E229" s="53"/>
      <c r="F229" s="53"/>
      <c r="G229" s="53"/>
      <c r="H229" s="53"/>
      <c r="I229" s="53"/>
      <c r="J229" s="53"/>
      <c r="K229" s="27"/>
      <c r="L229" s="28">
        <f>L232</f>
        <v>14.61</v>
      </c>
      <c r="M229" s="28">
        <f>ROUND(L229,2)</f>
        <v>14.61</v>
      </c>
    </row>
    <row r="230" spans="1:13" ht="30.9" customHeight="1" thickBot="1" x14ac:dyDescent="0.35">
      <c r="A230" s="10" t="s">
        <v>674</v>
      </c>
      <c r="B230" s="5" t="s">
        <v>675</v>
      </c>
      <c r="C230" s="5" t="s">
        <v>676</v>
      </c>
      <c r="D230" s="52" t="s">
        <v>677</v>
      </c>
      <c r="E230" s="52"/>
      <c r="F230" s="52"/>
      <c r="G230" s="52"/>
      <c r="H230" s="52"/>
      <c r="I230" s="52"/>
      <c r="J230" s="52"/>
      <c r="K230" s="20">
        <f>ROUND(3,2)</f>
        <v>3</v>
      </c>
      <c r="L230" s="21">
        <f>ROUND(1.25*(1+M2/100),2)</f>
        <v>1.29</v>
      </c>
      <c r="M230" s="21">
        <f>ROUND(K230*L230,2)</f>
        <v>3.87</v>
      </c>
    </row>
    <row r="231" spans="1:13" ht="15.5" customHeight="1" thickBot="1" x14ac:dyDescent="0.35">
      <c r="A231" s="10" t="s">
        <v>678</v>
      </c>
      <c r="B231" s="5" t="s">
        <v>679</v>
      </c>
      <c r="C231" s="5" t="s">
        <v>680</v>
      </c>
      <c r="D231" s="52" t="s">
        <v>681</v>
      </c>
      <c r="E231" s="52"/>
      <c r="F231" s="52"/>
      <c r="G231" s="52"/>
      <c r="H231" s="52"/>
      <c r="I231" s="52"/>
      <c r="J231" s="52"/>
      <c r="K231" s="20">
        <f>ROUND(3,2)</f>
        <v>3</v>
      </c>
      <c r="L231" s="21">
        <f>ROUND(3.48*(1+M2/100),2)</f>
        <v>3.58</v>
      </c>
      <c r="M231" s="21">
        <f>ROUND(K231*L231,2)</f>
        <v>10.74</v>
      </c>
    </row>
    <row r="232" spans="1:13" ht="15.5" customHeight="1" thickBot="1" x14ac:dyDescent="0.35">
      <c r="A232" s="22"/>
      <c r="B232" s="22"/>
      <c r="C232" s="22"/>
      <c r="D232" s="23" t="s">
        <v>682</v>
      </c>
      <c r="E232" s="24"/>
      <c r="F232" s="24"/>
      <c r="G232" s="24"/>
      <c r="H232" s="24"/>
      <c r="I232" s="24"/>
      <c r="J232" s="24"/>
      <c r="K232" s="24"/>
      <c r="L232" s="25">
        <f>M230+M231</f>
        <v>14.61</v>
      </c>
      <c r="M232" s="25">
        <f>ROUND(L232,2)</f>
        <v>14.61</v>
      </c>
    </row>
    <row r="233" spans="1:13" ht="15.5" customHeight="1" thickBot="1" x14ac:dyDescent="0.35">
      <c r="A233" s="26" t="s">
        <v>683</v>
      </c>
      <c r="B233" s="26" t="s">
        <v>684</v>
      </c>
      <c r="C233" s="27"/>
      <c r="D233" s="53" t="s">
        <v>685</v>
      </c>
      <c r="E233" s="53"/>
      <c r="F233" s="53"/>
      <c r="G233" s="53"/>
      <c r="H233" s="53"/>
      <c r="I233" s="53"/>
      <c r="J233" s="53"/>
      <c r="K233" s="27"/>
      <c r="L233" s="28">
        <f>L240</f>
        <v>308.8</v>
      </c>
      <c r="M233" s="28">
        <f>ROUND(L233,2)</f>
        <v>308.8</v>
      </c>
    </row>
    <row r="234" spans="1:13" ht="15.5" customHeight="1" thickBot="1" x14ac:dyDescent="0.35">
      <c r="A234" s="10" t="s">
        <v>686</v>
      </c>
      <c r="B234" s="5" t="s">
        <v>687</v>
      </c>
      <c r="C234" s="5" t="s">
        <v>688</v>
      </c>
      <c r="D234" s="52" t="s">
        <v>689</v>
      </c>
      <c r="E234" s="52"/>
      <c r="F234" s="52"/>
      <c r="G234" s="52"/>
      <c r="H234" s="52"/>
      <c r="I234" s="52"/>
      <c r="J234" s="52"/>
      <c r="K234" s="20">
        <f>ROUND(1,2)</f>
        <v>1</v>
      </c>
      <c r="L234" s="21">
        <f>ROUND(23.62*(1+M2/100),2)</f>
        <v>24.33</v>
      </c>
      <c r="M234" s="21">
        <f t="shared" ref="M234:M239" si="0">ROUND(K234*L234,2)</f>
        <v>24.33</v>
      </c>
    </row>
    <row r="235" spans="1:13" ht="15.5" customHeight="1" thickBot="1" x14ac:dyDescent="0.35">
      <c r="A235" s="10" t="s">
        <v>690</v>
      </c>
      <c r="B235" s="5" t="s">
        <v>691</v>
      </c>
      <c r="C235" s="5" t="s">
        <v>692</v>
      </c>
      <c r="D235" s="52" t="s">
        <v>693</v>
      </c>
      <c r="E235" s="52"/>
      <c r="F235" s="52"/>
      <c r="G235" s="52"/>
      <c r="H235" s="52"/>
      <c r="I235" s="52"/>
      <c r="J235" s="52"/>
      <c r="K235" s="20">
        <f>ROUND(1,2)</f>
        <v>1</v>
      </c>
      <c r="L235" s="21">
        <f>ROUND(40.83*(1+M2/100),2)</f>
        <v>42.05</v>
      </c>
      <c r="M235" s="21">
        <f t="shared" si="0"/>
        <v>42.05</v>
      </c>
    </row>
    <row r="236" spans="1:13" ht="15.5" customHeight="1" thickBot="1" x14ac:dyDescent="0.35">
      <c r="A236" s="10" t="s">
        <v>694</v>
      </c>
      <c r="B236" s="5" t="s">
        <v>695</v>
      </c>
      <c r="C236" s="5" t="s">
        <v>696</v>
      </c>
      <c r="D236" s="52" t="s">
        <v>697</v>
      </c>
      <c r="E236" s="52"/>
      <c r="F236" s="52"/>
      <c r="G236" s="52"/>
      <c r="H236" s="52"/>
      <c r="I236" s="52"/>
      <c r="J236" s="52"/>
      <c r="K236" s="20">
        <f>ROUND(2,2)</f>
        <v>2</v>
      </c>
      <c r="L236" s="21">
        <f>ROUND(58.67*(1+M2/100),2)</f>
        <v>60.43</v>
      </c>
      <c r="M236" s="21">
        <f t="shared" si="0"/>
        <v>120.86</v>
      </c>
    </row>
    <row r="237" spans="1:13" ht="15.5" customHeight="1" thickBot="1" x14ac:dyDescent="0.35">
      <c r="A237" s="10" t="s">
        <v>698</v>
      </c>
      <c r="B237" s="5" t="s">
        <v>699</v>
      </c>
      <c r="C237" s="5" t="s">
        <v>700</v>
      </c>
      <c r="D237" s="52" t="s">
        <v>701</v>
      </c>
      <c r="E237" s="52"/>
      <c r="F237" s="52"/>
      <c r="G237" s="52"/>
      <c r="H237" s="52"/>
      <c r="I237" s="52"/>
      <c r="J237" s="52"/>
      <c r="K237" s="20">
        <f>ROUND(4,2)</f>
        <v>4</v>
      </c>
      <c r="L237" s="21">
        <f>ROUND(19.08*(1+M2/100),2)</f>
        <v>19.649999999999999</v>
      </c>
      <c r="M237" s="21">
        <f t="shared" si="0"/>
        <v>78.599999999999994</v>
      </c>
    </row>
    <row r="238" spans="1:13" ht="15.5" customHeight="1" thickBot="1" x14ac:dyDescent="0.35">
      <c r="A238" s="10" t="s">
        <v>702</v>
      </c>
      <c r="B238" s="5" t="s">
        <v>703</v>
      </c>
      <c r="C238" s="5" t="s">
        <v>704</v>
      </c>
      <c r="D238" s="52" t="s">
        <v>705</v>
      </c>
      <c r="E238" s="52"/>
      <c r="F238" s="52"/>
      <c r="G238" s="52"/>
      <c r="H238" s="52"/>
      <c r="I238" s="52"/>
      <c r="J238" s="52"/>
      <c r="K238" s="20">
        <f>ROUND(1,2)</f>
        <v>1</v>
      </c>
      <c r="L238" s="21">
        <f>ROUND(22.93*(1+M2/100),2)</f>
        <v>23.62</v>
      </c>
      <c r="M238" s="21">
        <f t="shared" si="0"/>
        <v>23.62</v>
      </c>
    </row>
    <row r="239" spans="1:13" ht="15.5" customHeight="1" thickBot="1" x14ac:dyDescent="0.35">
      <c r="A239" s="10" t="s">
        <v>706</v>
      </c>
      <c r="B239" s="5" t="s">
        <v>707</v>
      </c>
      <c r="C239" s="5" t="s">
        <v>708</v>
      </c>
      <c r="D239" s="52" t="s">
        <v>709</v>
      </c>
      <c r="E239" s="52"/>
      <c r="F239" s="52"/>
      <c r="G239" s="52"/>
      <c r="H239" s="52"/>
      <c r="I239" s="52"/>
      <c r="J239" s="52"/>
      <c r="K239" s="20">
        <f>ROUND(1,2)</f>
        <v>1</v>
      </c>
      <c r="L239" s="21">
        <f>ROUND(18.78*(1+M2/100),2)</f>
        <v>19.34</v>
      </c>
      <c r="M239" s="21">
        <f t="shared" si="0"/>
        <v>19.34</v>
      </c>
    </row>
    <row r="240" spans="1:13" ht="15.5" customHeight="1" thickBot="1" x14ac:dyDescent="0.35">
      <c r="A240" s="22"/>
      <c r="B240" s="22"/>
      <c r="C240" s="22"/>
      <c r="D240" s="23" t="s">
        <v>710</v>
      </c>
      <c r="E240" s="24"/>
      <c r="F240" s="24"/>
      <c r="G240" s="24"/>
      <c r="H240" s="24"/>
      <c r="I240" s="24"/>
      <c r="J240" s="24"/>
      <c r="K240" s="24"/>
      <c r="L240" s="25">
        <f>M234+M235+M236+M237+M238+M239</f>
        <v>308.8</v>
      </c>
      <c r="M240" s="25">
        <f>ROUND(L240,2)</f>
        <v>308.8</v>
      </c>
    </row>
    <row r="241" spans="1:13" ht="15.5" customHeight="1" thickBot="1" x14ac:dyDescent="0.35">
      <c r="A241" s="26" t="s">
        <v>711</v>
      </c>
      <c r="B241" s="26" t="s">
        <v>712</v>
      </c>
      <c r="C241" s="27"/>
      <c r="D241" s="53" t="s">
        <v>713</v>
      </c>
      <c r="E241" s="53"/>
      <c r="F241" s="53"/>
      <c r="G241" s="53"/>
      <c r="H241" s="53"/>
      <c r="I241" s="53"/>
      <c r="J241" s="53"/>
      <c r="K241" s="27"/>
      <c r="L241" s="28">
        <f>L244</f>
        <v>153.92000000000002</v>
      </c>
      <c r="M241" s="28">
        <f>ROUND(L241,2)</f>
        <v>153.91999999999999</v>
      </c>
    </row>
    <row r="242" spans="1:13" ht="15.5" customHeight="1" thickBot="1" x14ac:dyDescent="0.35">
      <c r="A242" s="10" t="s">
        <v>714</v>
      </c>
      <c r="B242" s="5" t="s">
        <v>715</v>
      </c>
      <c r="C242" s="5" t="s">
        <v>716</v>
      </c>
      <c r="D242" s="52" t="s">
        <v>717</v>
      </c>
      <c r="E242" s="52"/>
      <c r="F242" s="52"/>
      <c r="G242" s="52"/>
      <c r="H242" s="52"/>
      <c r="I242" s="52"/>
      <c r="J242" s="52"/>
      <c r="K242" s="20">
        <f>ROUND(4,2)</f>
        <v>4</v>
      </c>
      <c r="L242" s="21">
        <f>ROUND(20.48*(1+M2/100),2)</f>
        <v>21.09</v>
      </c>
      <c r="M242" s="21">
        <f>ROUND(K242*L242,2)</f>
        <v>84.36</v>
      </c>
    </row>
    <row r="243" spans="1:13" ht="15.5" customHeight="1" thickBot="1" x14ac:dyDescent="0.35">
      <c r="A243" s="10" t="s">
        <v>718</v>
      </c>
      <c r="B243" s="5" t="s">
        <v>719</v>
      </c>
      <c r="C243" s="5" t="s">
        <v>720</v>
      </c>
      <c r="D243" s="52" t="s">
        <v>721</v>
      </c>
      <c r="E243" s="52"/>
      <c r="F243" s="52"/>
      <c r="G243" s="52"/>
      <c r="H243" s="52"/>
      <c r="I243" s="52"/>
      <c r="J243" s="52"/>
      <c r="K243" s="20">
        <f>ROUND(4,2)</f>
        <v>4</v>
      </c>
      <c r="L243" s="21">
        <f>ROUND(16.88*(1+M2/100),2)</f>
        <v>17.39</v>
      </c>
      <c r="M243" s="21">
        <f>ROUND(K243*L243,2)</f>
        <v>69.56</v>
      </c>
    </row>
    <row r="244" spans="1:13" ht="15.5" customHeight="1" thickBot="1" x14ac:dyDescent="0.35">
      <c r="A244" s="22"/>
      <c r="B244" s="22"/>
      <c r="C244" s="22"/>
      <c r="D244" s="23" t="s">
        <v>722</v>
      </c>
      <c r="E244" s="24"/>
      <c r="F244" s="24"/>
      <c r="G244" s="24"/>
      <c r="H244" s="24"/>
      <c r="I244" s="24"/>
      <c r="J244" s="24"/>
      <c r="K244" s="24"/>
      <c r="L244" s="25">
        <f>M242+M243</f>
        <v>153.92000000000002</v>
      </c>
      <c r="M244" s="25">
        <f>ROUND(L244,2)</f>
        <v>153.91999999999999</v>
      </c>
    </row>
    <row r="245" spans="1:13" ht="15.5" customHeight="1" thickBot="1" x14ac:dyDescent="0.35">
      <c r="A245" s="26" t="s">
        <v>723</v>
      </c>
      <c r="B245" s="26" t="s">
        <v>724</v>
      </c>
      <c r="C245" s="27"/>
      <c r="D245" s="53" t="s">
        <v>725</v>
      </c>
      <c r="E245" s="53"/>
      <c r="F245" s="53"/>
      <c r="G245" s="53"/>
      <c r="H245" s="53"/>
      <c r="I245" s="53"/>
      <c r="J245" s="53"/>
      <c r="K245" s="27"/>
      <c r="L245" s="28">
        <f>L247</f>
        <v>123.6</v>
      </c>
      <c r="M245" s="28">
        <f>ROUND(L245,2)</f>
        <v>123.6</v>
      </c>
    </row>
    <row r="246" spans="1:13" ht="15.5" customHeight="1" thickBot="1" x14ac:dyDescent="0.35">
      <c r="A246" s="10" t="s">
        <v>726</v>
      </c>
      <c r="B246" s="5" t="s">
        <v>727</v>
      </c>
      <c r="C246" s="5" t="s">
        <v>728</v>
      </c>
      <c r="D246" s="52" t="s">
        <v>729</v>
      </c>
      <c r="E246" s="52"/>
      <c r="F246" s="52"/>
      <c r="G246" s="52"/>
      <c r="H246" s="52"/>
      <c r="I246" s="52"/>
      <c r="J246" s="52"/>
      <c r="K246" s="20">
        <f>ROUND(1,2)</f>
        <v>1</v>
      </c>
      <c r="L246" s="21">
        <f>ROUND(120*(1+M2/100),2)</f>
        <v>123.6</v>
      </c>
      <c r="M246" s="21">
        <f>ROUND(K246*L246,2)</f>
        <v>123.6</v>
      </c>
    </row>
    <row r="247" spans="1:13" ht="15.5" customHeight="1" thickBot="1" x14ac:dyDescent="0.35">
      <c r="A247" s="22"/>
      <c r="B247" s="22"/>
      <c r="C247" s="22"/>
      <c r="D247" s="23" t="s">
        <v>730</v>
      </c>
      <c r="E247" s="24"/>
      <c r="F247" s="24"/>
      <c r="G247" s="24"/>
      <c r="H247" s="24"/>
      <c r="I247" s="24"/>
      <c r="J247" s="24"/>
      <c r="K247" s="24"/>
      <c r="L247" s="25">
        <f>M246</f>
        <v>123.6</v>
      </c>
      <c r="M247" s="25">
        <f>ROUND(L247,2)</f>
        <v>123.6</v>
      </c>
    </row>
    <row r="248" spans="1:13" ht="15.5" customHeight="1" thickBot="1" x14ac:dyDescent="0.35">
      <c r="A248" s="42"/>
      <c r="B248" s="42"/>
      <c r="C248" s="42"/>
      <c r="D248" s="43" t="s">
        <v>731</v>
      </c>
      <c r="E248" s="44"/>
      <c r="F248" s="44"/>
      <c r="G248" s="44"/>
      <c r="H248" s="44"/>
      <c r="I248" s="44"/>
      <c r="J248" s="44"/>
      <c r="K248" s="44"/>
      <c r="L248" s="45">
        <f>M225+M228+M232+M240+M244+M247</f>
        <v>1516.49</v>
      </c>
      <c r="M248" s="45">
        <f>ROUND(L248,2)</f>
        <v>1516.49</v>
      </c>
    </row>
    <row r="249" spans="1:13" ht="15.5" customHeight="1" thickBot="1" x14ac:dyDescent="0.35">
      <c r="A249" s="46" t="s">
        <v>732</v>
      </c>
      <c r="B249" s="46" t="s">
        <v>733</v>
      </c>
      <c r="C249" s="47"/>
      <c r="D249" s="54" t="s">
        <v>734</v>
      </c>
      <c r="E249" s="54"/>
      <c r="F249" s="54"/>
      <c r="G249" s="54"/>
      <c r="H249" s="54"/>
      <c r="I249" s="54"/>
      <c r="J249" s="54"/>
      <c r="K249" s="47"/>
      <c r="L249" s="48">
        <f>L280</f>
        <v>2112.9699999999998</v>
      </c>
      <c r="M249" s="48">
        <f>ROUND(L249,2)</f>
        <v>2112.9699999999998</v>
      </c>
    </row>
    <row r="250" spans="1:13" ht="15.5" customHeight="1" thickBot="1" x14ac:dyDescent="0.35">
      <c r="A250" s="17" t="s">
        <v>735</v>
      </c>
      <c r="B250" s="17" t="s">
        <v>736</v>
      </c>
      <c r="C250" s="18"/>
      <c r="D250" s="55" t="s">
        <v>737</v>
      </c>
      <c r="E250" s="55"/>
      <c r="F250" s="55"/>
      <c r="G250" s="55"/>
      <c r="H250" s="55"/>
      <c r="I250" s="55"/>
      <c r="J250" s="55"/>
      <c r="K250" s="18"/>
      <c r="L250" s="19">
        <f>L253</f>
        <v>450</v>
      </c>
      <c r="M250" s="19">
        <f>ROUND(L250,2)</f>
        <v>450</v>
      </c>
    </row>
    <row r="251" spans="1:13" ht="15.5" customHeight="1" thickBot="1" x14ac:dyDescent="0.35">
      <c r="A251" s="10" t="s">
        <v>738</v>
      </c>
      <c r="B251" s="5" t="s">
        <v>739</v>
      </c>
      <c r="C251" s="5" t="s">
        <v>740</v>
      </c>
      <c r="D251" s="52" t="s">
        <v>741</v>
      </c>
      <c r="E251" s="52"/>
      <c r="F251" s="52"/>
      <c r="G251" s="52"/>
      <c r="H251" s="52"/>
      <c r="I251" s="52"/>
      <c r="J251" s="52"/>
      <c r="K251" s="20">
        <f>ROUND(1,2)</f>
        <v>1</v>
      </c>
      <c r="L251" s="21">
        <f>ROUND(242.718*(1+M2/100),2)</f>
        <v>250</v>
      </c>
      <c r="M251" s="21">
        <f>ROUND(K251*L251,2)</f>
        <v>250</v>
      </c>
    </row>
    <row r="252" spans="1:13" ht="15.5" customHeight="1" thickBot="1" x14ac:dyDescent="0.35">
      <c r="A252" s="10" t="s">
        <v>742</v>
      </c>
      <c r="B252" s="5" t="s">
        <v>743</v>
      </c>
      <c r="C252" s="5" t="s">
        <v>744</v>
      </c>
      <c r="D252" s="52" t="s">
        <v>745</v>
      </c>
      <c r="E252" s="52"/>
      <c r="F252" s="52"/>
      <c r="G252" s="52"/>
      <c r="H252" s="52"/>
      <c r="I252" s="52"/>
      <c r="J252" s="52"/>
      <c r="K252" s="20">
        <f>ROUND(1,2)</f>
        <v>1</v>
      </c>
      <c r="L252" s="21">
        <f>ROUND(194.175*(1+M2/100),2)</f>
        <v>200</v>
      </c>
      <c r="M252" s="21">
        <f>ROUND(K252*L252,2)</f>
        <v>200</v>
      </c>
    </row>
    <row r="253" spans="1:13" ht="15.5" customHeight="1" thickBot="1" x14ac:dyDescent="0.35">
      <c r="A253" s="22"/>
      <c r="B253" s="22"/>
      <c r="C253" s="22"/>
      <c r="D253" s="23" t="s">
        <v>746</v>
      </c>
      <c r="E253" s="24"/>
      <c r="F253" s="24"/>
      <c r="G253" s="24"/>
      <c r="H253" s="24"/>
      <c r="I253" s="24"/>
      <c r="J253" s="24"/>
      <c r="K253" s="24"/>
      <c r="L253" s="25">
        <f>M251+M252</f>
        <v>450</v>
      </c>
      <c r="M253" s="25">
        <f>ROUND(L253,2)</f>
        <v>450</v>
      </c>
    </row>
    <row r="254" spans="1:13" ht="15.5" customHeight="1" thickBot="1" x14ac:dyDescent="0.35">
      <c r="A254" s="26" t="s">
        <v>747</v>
      </c>
      <c r="B254" s="26" t="s">
        <v>748</v>
      </c>
      <c r="C254" s="27"/>
      <c r="D254" s="53" t="s">
        <v>749</v>
      </c>
      <c r="E254" s="53"/>
      <c r="F254" s="53"/>
      <c r="G254" s="53"/>
      <c r="H254" s="53"/>
      <c r="I254" s="53"/>
      <c r="J254" s="53"/>
      <c r="K254" s="27"/>
      <c r="L254" s="28">
        <f>L257</f>
        <v>930.58</v>
      </c>
      <c r="M254" s="28">
        <f>ROUND(L254,2)</f>
        <v>930.58</v>
      </c>
    </row>
    <row r="255" spans="1:13" ht="15.5" customHeight="1" thickBot="1" x14ac:dyDescent="0.35">
      <c r="A255" s="10" t="s">
        <v>750</v>
      </c>
      <c r="B255" s="5" t="s">
        <v>751</v>
      </c>
      <c r="C255" s="5" t="s">
        <v>752</v>
      </c>
      <c r="D255" s="52" t="s">
        <v>753</v>
      </c>
      <c r="E255" s="52"/>
      <c r="F255" s="52"/>
      <c r="G255" s="52"/>
      <c r="H255" s="52"/>
      <c r="I255" s="52"/>
      <c r="J255" s="52"/>
      <c r="K255" s="20">
        <f>ROUND(1,2)</f>
        <v>1</v>
      </c>
      <c r="L255" s="21">
        <f>ROUND(570.58*(1+M2/100),2)</f>
        <v>587.70000000000005</v>
      </c>
      <c r="M255" s="21">
        <f>ROUND(K255*L255,2)</f>
        <v>587.70000000000005</v>
      </c>
    </row>
    <row r="256" spans="1:13" ht="21.65" customHeight="1" thickBot="1" x14ac:dyDescent="0.35">
      <c r="A256" s="10" t="s">
        <v>754</v>
      </c>
      <c r="B256" s="5" t="s">
        <v>755</v>
      </c>
      <c r="C256" s="5" t="s">
        <v>756</v>
      </c>
      <c r="D256" s="52" t="s">
        <v>757</v>
      </c>
      <c r="E256" s="52"/>
      <c r="F256" s="52"/>
      <c r="G256" s="52"/>
      <c r="H256" s="52"/>
      <c r="I256" s="52"/>
      <c r="J256" s="52"/>
      <c r="K256" s="20">
        <f>ROUND(1,2)</f>
        <v>1</v>
      </c>
      <c r="L256" s="21">
        <f>ROUND(332.89*(1+M2/100),2)</f>
        <v>342.88</v>
      </c>
      <c r="M256" s="21">
        <f>ROUND(K256*L256,2)</f>
        <v>342.88</v>
      </c>
    </row>
    <row r="257" spans="1:13" ht="15.5" customHeight="1" thickBot="1" x14ac:dyDescent="0.35">
      <c r="A257" s="22"/>
      <c r="B257" s="22"/>
      <c r="C257" s="22"/>
      <c r="D257" s="23" t="s">
        <v>758</v>
      </c>
      <c r="E257" s="24"/>
      <c r="F257" s="24"/>
      <c r="G257" s="24"/>
      <c r="H257" s="24"/>
      <c r="I257" s="24"/>
      <c r="J257" s="24"/>
      <c r="K257" s="24"/>
      <c r="L257" s="25">
        <f>M255+M256</f>
        <v>930.58</v>
      </c>
      <c r="M257" s="25">
        <f>ROUND(L257,2)</f>
        <v>930.58</v>
      </c>
    </row>
    <row r="258" spans="1:13" ht="15.5" customHeight="1" thickBot="1" x14ac:dyDescent="0.35">
      <c r="A258" s="26" t="s">
        <v>759</v>
      </c>
      <c r="B258" s="26" t="s">
        <v>760</v>
      </c>
      <c r="C258" s="27"/>
      <c r="D258" s="53" t="s">
        <v>761</v>
      </c>
      <c r="E258" s="53"/>
      <c r="F258" s="53"/>
      <c r="G258" s="53"/>
      <c r="H258" s="53"/>
      <c r="I258" s="53"/>
      <c r="J258" s="53"/>
      <c r="K258" s="27"/>
      <c r="L258" s="28">
        <f>L267</f>
        <v>111.82999999999998</v>
      </c>
      <c r="M258" s="28">
        <f>ROUND(L258,2)</f>
        <v>111.83</v>
      </c>
    </row>
    <row r="259" spans="1:13" ht="30.9" customHeight="1" thickBot="1" x14ac:dyDescent="0.35">
      <c r="A259" s="10" t="s">
        <v>762</v>
      </c>
      <c r="B259" s="5" t="s">
        <v>763</v>
      </c>
      <c r="C259" s="5" t="s">
        <v>764</v>
      </c>
      <c r="D259" s="52" t="s">
        <v>765</v>
      </c>
      <c r="E259" s="52"/>
      <c r="F259" s="52"/>
      <c r="G259" s="52"/>
      <c r="H259" s="52"/>
      <c r="I259" s="52"/>
      <c r="J259" s="52"/>
      <c r="K259" s="20">
        <f>SUM(K261:K261)</f>
        <v>24</v>
      </c>
      <c r="L259" s="21">
        <f>ROUND(1.08*(1+M2/100),2)</f>
        <v>1.1100000000000001</v>
      </c>
      <c r="M259" s="21">
        <f>ROUND(K259*L259,2)</f>
        <v>26.64</v>
      </c>
    </row>
    <row r="260" spans="1:13" ht="15.25" customHeight="1" thickBot="1" x14ac:dyDescent="0.35">
      <c r="A260" s="29"/>
      <c r="B260" s="29"/>
      <c r="C260" s="29"/>
      <c r="D260" s="29"/>
      <c r="E260" s="30"/>
      <c r="F260" s="32" t="s">
        <v>766</v>
      </c>
      <c r="G260" s="32" t="s">
        <v>767</v>
      </c>
      <c r="H260" s="32" t="s">
        <v>768</v>
      </c>
      <c r="I260" s="32" t="s">
        <v>769</v>
      </c>
      <c r="J260" s="32" t="s">
        <v>770</v>
      </c>
      <c r="K260" s="32" t="s">
        <v>771</v>
      </c>
      <c r="L260" s="29"/>
      <c r="M260" s="29"/>
    </row>
    <row r="261" spans="1:13" ht="30.9" customHeight="1" thickBot="1" x14ac:dyDescent="0.35">
      <c r="A261" s="29"/>
      <c r="B261" s="29"/>
      <c r="C261" s="29"/>
      <c r="D261" s="33"/>
      <c r="E261" s="34" t="s">
        <v>772</v>
      </c>
      <c r="F261" s="35">
        <v>3</v>
      </c>
      <c r="G261" s="36">
        <v>8</v>
      </c>
      <c r="H261" s="36"/>
      <c r="I261" s="36"/>
      <c r="J261" s="38">
        <f>ROUND(F261*G261,3)</f>
        <v>24</v>
      </c>
      <c r="K261" s="40">
        <f>SUM(J261:J261)</f>
        <v>24</v>
      </c>
      <c r="L261" s="29"/>
      <c r="M261" s="29"/>
    </row>
    <row r="262" spans="1:13" ht="30.9" customHeight="1" thickBot="1" x14ac:dyDescent="0.35">
      <c r="A262" s="10" t="s">
        <v>773</v>
      </c>
      <c r="B262" s="5" t="s">
        <v>774</v>
      </c>
      <c r="C262" s="5" t="s">
        <v>775</v>
      </c>
      <c r="D262" s="52" t="s">
        <v>776</v>
      </c>
      <c r="E262" s="52"/>
      <c r="F262" s="52"/>
      <c r="G262" s="52"/>
      <c r="H262" s="52"/>
      <c r="I262" s="52"/>
      <c r="J262" s="52"/>
      <c r="K262" s="20">
        <f>SUM(K264:K264)</f>
        <v>36</v>
      </c>
      <c r="L262" s="21">
        <f>ROUND(1.25*(1+M2/100),2)</f>
        <v>1.29</v>
      </c>
      <c r="M262" s="21">
        <f>ROUND(K262*L262,2)</f>
        <v>46.44</v>
      </c>
    </row>
    <row r="263" spans="1:13" ht="15.25" customHeight="1" thickBot="1" x14ac:dyDescent="0.35">
      <c r="A263" s="29"/>
      <c r="B263" s="29"/>
      <c r="C263" s="29"/>
      <c r="D263" s="29"/>
      <c r="E263" s="30"/>
      <c r="F263" s="32" t="s">
        <v>777</v>
      </c>
      <c r="G263" s="32" t="s">
        <v>778</v>
      </c>
      <c r="H263" s="32" t="s">
        <v>779</v>
      </c>
      <c r="I263" s="32" t="s">
        <v>780</v>
      </c>
      <c r="J263" s="32" t="s">
        <v>781</v>
      </c>
      <c r="K263" s="32" t="s">
        <v>782</v>
      </c>
      <c r="L263" s="29"/>
      <c r="M263" s="29"/>
    </row>
    <row r="264" spans="1:13" ht="21.65" customHeight="1" thickBot="1" x14ac:dyDescent="0.35">
      <c r="A264" s="29"/>
      <c r="B264" s="29"/>
      <c r="C264" s="29"/>
      <c r="D264" s="33"/>
      <c r="E264" s="34" t="s">
        <v>783</v>
      </c>
      <c r="F264" s="35">
        <v>3</v>
      </c>
      <c r="G264" s="36">
        <v>12</v>
      </c>
      <c r="H264" s="36"/>
      <c r="I264" s="36"/>
      <c r="J264" s="38">
        <f>ROUND(F264*G264,3)</f>
        <v>36</v>
      </c>
      <c r="K264" s="40">
        <f>SUM(J264:J264)</f>
        <v>36</v>
      </c>
      <c r="L264" s="29"/>
      <c r="M264" s="29"/>
    </row>
    <row r="265" spans="1:13" ht="15.5" customHeight="1" thickBot="1" x14ac:dyDescent="0.35">
      <c r="A265" s="10" t="s">
        <v>784</v>
      </c>
      <c r="B265" s="5" t="s">
        <v>785</v>
      </c>
      <c r="C265" s="5" t="s">
        <v>786</v>
      </c>
      <c r="D265" s="52" t="s">
        <v>787</v>
      </c>
      <c r="E265" s="52"/>
      <c r="F265" s="52"/>
      <c r="G265" s="52"/>
      <c r="H265" s="52"/>
      <c r="I265" s="52"/>
      <c r="J265" s="52"/>
      <c r="K265" s="20">
        <f>ROUND(5,2)</f>
        <v>5</v>
      </c>
      <c r="L265" s="21">
        <f>ROUND(3.48*(1+M2/100),2)</f>
        <v>3.58</v>
      </c>
      <c r="M265" s="21">
        <f>ROUND(K265*L265,2)</f>
        <v>17.899999999999999</v>
      </c>
    </row>
    <row r="266" spans="1:13" ht="15.5" customHeight="1" thickBot="1" x14ac:dyDescent="0.35">
      <c r="A266" s="10" t="s">
        <v>788</v>
      </c>
      <c r="B266" s="5" t="s">
        <v>789</v>
      </c>
      <c r="C266" s="5" t="s">
        <v>790</v>
      </c>
      <c r="D266" s="52" t="s">
        <v>791</v>
      </c>
      <c r="E266" s="52"/>
      <c r="F266" s="52"/>
      <c r="G266" s="52"/>
      <c r="H266" s="52"/>
      <c r="I266" s="52"/>
      <c r="J266" s="52"/>
      <c r="K266" s="20">
        <f>ROUND(5,2)</f>
        <v>5</v>
      </c>
      <c r="L266" s="21">
        <f>ROUND(4.05*(1+M2/100),2)</f>
        <v>4.17</v>
      </c>
      <c r="M266" s="21">
        <f>ROUND(K266*L266,2)</f>
        <v>20.85</v>
      </c>
    </row>
    <row r="267" spans="1:13" ht="15.5" customHeight="1" thickBot="1" x14ac:dyDescent="0.35">
      <c r="A267" s="22"/>
      <c r="B267" s="22"/>
      <c r="C267" s="22"/>
      <c r="D267" s="23" t="s">
        <v>792</v>
      </c>
      <c r="E267" s="24"/>
      <c r="F267" s="24"/>
      <c r="G267" s="24"/>
      <c r="H267" s="24"/>
      <c r="I267" s="24"/>
      <c r="J267" s="24"/>
      <c r="K267" s="24"/>
      <c r="L267" s="25">
        <f>M259+M262+M265+M266</f>
        <v>111.82999999999998</v>
      </c>
      <c r="M267" s="25">
        <f>ROUND(L267,2)</f>
        <v>111.83</v>
      </c>
    </row>
    <row r="268" spans="1:13" ht="15.5" customHeight="1" thickBot="1" x14ac:dyDescent="0.35">
      <c r="A268" s="26" t="s">
        <v>793</v>
      </c>
      <c r="B268" s="26" t="s">
        <v>794</v>
      </c>
      <c r="C268" s="27"/>
      <c r="D268" s="53" t="s">
        <v>795</v>
      </c>
      <c r="E268" s="53"/>
      <c r="F268" s="53"/>
      <c r="G268" s="53"/>
      <c r="H268" s="53"/>
      <c r="I268" s="53"/>
      <c r="J268" s="53"/>
      <c r="K268" s="27"/>
      <c r="L268" s="28">
        <f>L271</f>
        <v>80.08</v>
      </c>
      <c r="M268" s="28">
        <f>ROUND(L268,2)</f>
        <v>80.08</v>
      </c>
    </row>
    <row r="269" spans="1:13" ht="15.5" customHeight="1" thickBot="1" x14ac:dyDescent="0.35">
      <c r="A269" s="10" t="s">
        <v>796</v>
      </c>
      <c r="B269" s="5" t="s">
        <v>797</v>
      </c>
      <c r="C269" s="5" t="s">
        <v>798</v>
      </c>
      <c r="D269" s="52" t="s">
        <v>799</v>
      </c>
      <c r="E269" s="52"/>
      <c r="F269" s="52"/>
      <c r="G269" s="52"/>
      <c r="H269" s="52"/>
      <c r="I269" s="52"/>
      <c r="J269" s="52"/>
      <c r="K269" s="20">
        <f>ROUND(1,2)</f>
        <v>1</v>
      </c>
      <c r="L269" s="21">
        <f>ROUND(58.67*(1+M2/100),2)</f>
        <v>60.43</v>
      </c>
      <c r="M269" s="21">
        <f>ROUND(K269*L269,2)</f>
        <v>60.43</v>
      </c>
    </row>
    <row r="270" spans="1:13" ht="15.5" customHeight="1" thickBot="1" x14ac:dyDescent="0.35">
      <c r="A270" s="10" t="s">
        <v>800</v>
      </c>
      <c r="B270" s="5" t="s">
        <v>801</v>
      </c>
      <c r="C270" s="5" t="s">
        <v>802</v>
      </c>
      <c r="D270" s="52" t="s">
        <v>803</v>
      </c>
      <c r="E270" s="52"/>
      <c r="F270" s="52"/>
      <c r="G270" s="52"/>
      <c r="H270" s="52"/>
      <c r="I270" s="52"/>
      <c r="J270" s="52"/>
      <c r="K270" s="20">
        <f>ROUND(1,2)</f>
        <v>1</v>
      </c>
      <c r="L270" s="21">
        <f>ROUND(19.08*(1+M2/100),2)</f>
        <v>19.649999999999999</v>
      </c>
      <c r="M270" s="21">
        <f>ROUND(K270*L270,2)</f>
        <v>19.649999999999999</v>
      </c>
    </row>
    <row r="271" spans="1:13" ht="15.5" customHeight="1" thickBot="1" x14ac:dyDescent="0.35">
      <c r="A271" s="22"/>
      <c r="B271" s="22"/>
      <c r="C271" s="22"/>
      <c r="D271" s="23" t="s">
        <v>804</v>
      </c>
      <c r="E271" s="24"/>
      <c r="F271" s="24"/>
      <c r="G271" s="24"/>
      <c r="H271" s="24"/>
      <c r="I271" s="24"/>
      <c r="J271" s="24"/>
      <c r="K271" s="24"/>
      <c r="L271" s="25">
        <f>M269+M270</f>
        <v>80.08</v>
      </c>
      <c r="M271" s="25">
        <f>ROUND(L271,2)</f>
        <v>80.08</v>
      </c>
    </row>
    <row r="272" spans="1:13" ht="15.5" customHeight="1" thickBot="1" x14ac:dyDescent="0.35">
      <c r="A272" s="26" t="s">
        <v>805</v>
      </c>
      <c r="B272" s="26" t="s">
        <v>806</v>
      </c>
      <c r="C272" s="27"/>
      <c r="D272" s="53" t="s">
        <v>807</v>
      </c>
      <c r="E272" s="53"/>
      <c r="F272" s="53"/>
      <c r="G272" s="53"/>
      <c r="H272" s="53"/>
      <c r="I272" s="53"/>
      <c r="J272" s="53"/>
      <c r="K272" s="27"/>
      <c r="L272" s="28">
        <f>L276</f>
        <v>416.88000000000005</v>
      </c>
      <c r="M272" s="28">
        <f>ROUND(L272,2)</f>
        <v>416.88</v>
      </c>
    </row>
    <row r="273" spans="1:13" ht="15.5" customHeight="1" thickBot="1" x14ac:dyDescent="0.35">
      <c r="A273" s="10" t="s">
        <v>808</v>
      </c>
      <c r="B273" s="5" t="s">
        <v>809</v>
      </c>
      <c r="C273" s="5" t="s">
        <v>810</v>
      </c>
      <c r="D273" s="52" t="s">
        <v>811</v>
      </c>
      <c r="E273" s="52"/>
      <c r="F273" s="52"/>
      <c r="G273" s="52"/>
      <c r="H273" s="52"/>
      <c r="I273" s="52"/>
      <c r="J273" s="52"/>
      <c r="K273" s="20">
        <f>ROUND(15,2)</f>
        <v>15</v>
      </c>
      <c r="L273" s="21">
        <f>ROUND(20.48*(1+M2/100),2)</f>
        <v>21.09</v>
      </c>
      <c r="M273" s="21">
        <f>ROUND(K273*L273,2)</f>
        <v>316.35000000000002</v>
      </c>
    </row>
    <row r="274" spans="1:13" ht="15.5" customHeight="1" thickBot="1" x14ac:dyDescent="0.35">
      <c r="A274" s="10" t="s">
        <v>812</v>
      </c>
      <c r="B274" s="5" t="s">
        <v>813</v>
      </c>
      <c r="C274" s="5" t="s">
        <v>814</v>
      </c>
      <c r="D274" s="52" t="s">
        <v>815</v>
      </c>
      <c r="E274" s="52"/>
      <c r="F274" s="52"/>
      <c r="G274" s="52"/>
      <c r="H274" s="52"/>
      <c r="I274" s="52"/>
      <c r="J274" s="52"/>
      <c r="K274" s="20">
        <f>ROUND(3,2)</f>
        <v>3</v>
      </c>
      <c r="L274" s="21">
        <f>ROUND(16.88*(1+M2/100),2)</f>
        <v>17.39</v>
      </c>
      <c r="M274" s="21">
        <f>ROUND(K274*L274,2)</f>
        <v>52.17</v>
      </c>
    </row>
    <row r="275" spans="1:13" ht="15.5" customHeight="1" thickBot="1" x14ac:dyDescent="0.35">
      <c r="A275" s="10" t="s">
        <v>816</v>
      </c>
      <c r="B275" s="5" t="s">
        <v>817</v>
      </c>
      <c r="C275" s="5" t="s">
        <v>818</v>
      </c>
      <c r="D275" s="52" t="s">
        <v>819</v>
      </c>
      <c r="E275" s="52"/>
      <c r="F275" s="52"/>
      <c r="G275" s="52"/>
      <c r="H275" s="52"/>
      <c r="I275" s="52"/>
      <c r="J275" s="52"/>
      <c r="K275" s="20">
        <f>ROUND(1,2)</f>
        <v>1</v>
      </c>
      <c r="L275" s="21">
        <f>ROUND(46.95*(1+M2/100),2)</f>
        <v>48.36</v>
      </c>
      <c r="M275" s="21">
        <f>ROUND(K275*L275,2)</f>
        <v>48.36</v>
      </c>
    </row>
    <row r="276" spans="1:13" ht="15.5" customHeight="1" thickBot="1" x14ac:dyDescent="0.35">
      <c r="A276" s="22"/>
      <c r="B276" s="22"/>
      <c r="C276" s="22"/>
      <c r="D276" s="23" t="s">
        <v>820</v>
      </c>
      <c r="E276" s="24"/>
      <c r="F276" s="24"/>
      <c r="G276" s="24"/>
      <c r="H276" s="24"/>
      <c r="I276" s="24"/>
      <c r="J276" s="24"/>
      <c r="K276" s="24"/>
      <c r="L276" s="25">
        <f>M273+M274+M275</f>
        <v>416.88000000000005</v>
      </c>
      <c r="M276" s="25">
        <f>ROUND(L276,2)</f>
        <v>416.88</v>
      </c>
    </row>
    <row r="277" spans="1:13" ht="15.5" customHeight="1" thickBot="1" x14ac:dyDescent="0.35">
      <c r="A277" s="26" t="s">
        <v>821</v>
      </c>
      <c r="B277" s="26" t="s">
        <v>822</v>
      </c>
      <c r="C277" s="27"/>
      <c r="D277" s="53" t="s">
        <v>823</v>
      </c>
      <c r="E277" s="53"/>
      <c r="F277" s="53"/>
      <c r="G277" s="53"/>
      <c r="H277" s="53"/>
      <c r="I277" s="53"/>
      <c r="J277" s="53"/>
      <c r="K277" s="27"/>
      <c r="L277" s="28">
        <f>L279</f>
        <v>123.6</v>
      </c>
      <c r="M277" s="28">
        <f>ROUND(L277,2)</f>
        <v>123.6</v>
      </c>
    </row>
    <row r="278" spans="1:13" ht="15.5" customHeight="1" thickBot="1" x14ac:dyDescent="0.35">
      <c r="A278" s="10" t="s">
        <v>824</v>
      </c>
      <c r="B278" s="5" t="s">
        <v>825</v>
      </c>
      <c r="C278" s="5" t="s">
        <v>826</v>
      </c>
      <c r="D278" s="52" t="s">
        <v>827</v>
      </c>
      <c r="E278" s="52"/>
      <c r="F278" s="52"/>
      <c r="G278" s="52"/>
      <c r="H278" s="52"/>
      <c r="I278" s="52"/>
      <c r="J278" s="52"/>
      <c r="K278" s="20">
        <f>ROUND(1,2)</f>
        <v>1</v>
      </c>
      <c r="L278" s="21">
        <f>ROUND(120*(1+M2/100),2)</f>
        <v>123.6</v>
      </c>
      <c r="M278" s="21">
        <f>ROUND(K278*L278,2)</f>
        <v>123.6</v>
      </c>
    </row>
    <row r="279" spans="1:13" ht="15.5" customHeight="1" thickBot="1" x14ac:dyDescent="0.35">
      <c r="A279" s="22"/>
      <c r="B279" s="22"/>
      <c r="C279" s="22"/>
      <c r="D279" s="23" t="s">
        <v>828</v>
      </c>
      <c r="E279" s="24"/>
      <c r="F279" s="24"/>
      <c r="G279" s="24"/>
      <c r="H279" s="24"/>
      <c r="I279" s="24"/>
      <c r="J279" s="24"/>
      <c r="K279" s="24"/>
      <c r="L279" s="25">
        <f>M278</f>
        <v>123.6</v>
      </c>
      <c r="M279" s="25">
        <f>ROUND(L279,2)</f>
        <v>123.6</v>
      </c>
    </row>
    <row r="280" spans="1:13" ht="15.5" customHeight="1" thickBot="1" x14ac:dyDescent="0.35">
      <c r="A280" s="42"/>
      <c r="B280" s="42"/>
      <c r="C280" s="42"/>
      <c r="D280" s="43" t="s">
        <v>829</v>
      </c>
      <c r="E280" s="44"/>
      <c r="F280" s="44"/>
      <c r="G280" s="44"/>
      <c r="H280" s="44"/>
      <c r="I280" s="44"/>
      <c r="J280" s="44"/>
      <c r="K280" s="44"/>
      <c r="L280" s="45">
        <f>M253+M257+M267+M271+M276+M279</f>
        <v>2112.9699999999998</v>
      </c>
      <c r="M280" s="45">
        <f>ROUND(L280,2)</f>
        <v>2112.9699999999998</v>
      </c>
    </row>
    <row r="281" spans="1:13" ht="15.5" customHeight="1" thickBot="1" x14ac:dyDescent="0.35">
      <c r="A281" s="46" t="s">
        <v>830</v>
      </c>
      <c r="B281" s="46" t="s">
        <v>831</v>
      </c>
      <c r="C281" s="47"/>
      <c r="D281" s="54" t="s">
        <v>832</v>
      </c>
      <c r="E281" s="54"/>
      <c r="F281" s="54"/>
      <c r="G281" s="54"/>
      <c r="H281" s="54"/>
      <c r="I281" s="54"/>
      <c r="J281" s="54"/>
      <c r="K281" s="47"/>
      <c r="L281" s="48">
        <f>L323</f>
        <v>3094.5499999999997</v>
      </c>
      <c r="M281" s="48">
        <f>ROUND(L281,2)</f>
        <v>3094.55</v>
      </c>
    </row>
    <row r="282" spans="1:13" ht="15.5" customHeight="1" thickBot="1" x14ac:dyDescent="0.35">
      <c r="A282" s="17" t="s">
        <v>833</v>
      </c>
      <c r="B282" s="17" t="s">
        <v>834</v>
      </c>
      <c r="C282" s="18"/>
      <c r="D282" s="55" t="s">
        <v>835</v>
      </c>
      <c r="E282" s="55"/>
      <c r="F282" s="55"/>
      <c r="G282" s="55"/>
      <c r="H282" s="55"/>
      <c r="I282" s="55"/>
      <c r="J282" s="55"/>
      <c r="K282" s="18"/>
      <c r="L282" s="19">
        <f>L286</f>
        <v>700</v>
      </c>
      <c r="M282" s="19">
        <f>ROUND(L282,2)</f>
        <v>700</v>
      </c>
    </row>
    <row r="283" spans="1:13" ht="15.5" customHeight="1" thickBot="1" x14ac:dyDescent="0.35">
      <c r="A283" s="10" t="s">
        <v>836</v>
      </c>
      <c r="B283" s="5" t="s">
        <v>837</v>
      </c>
      <c r="C283" s="5" t="s">
        <v>838</v>
      </c>
      <c r="D283" s="52" t="s">
        <v>839</v>
      </c>
      <c r="E283" s="52"/>
      <c r="F283" s="52"/>
      <c r="G283" s="52"/>
      <c r="H283" s="52"/>
      <c r="I283" s="52"/>
      <c r="J283" s="52"/>
      <c r="K283" s="20">
        <f>ROUND(1,2)</f>
        <v>1</v>
      </c>
      <c r="L283" s="21">
        <f>ROUND(242.718*(1+M2/100),2)</f>
        <v>250</v>
      </c>
      <c r="M283" s="21">
        <f>ROUND(K283*L283,2)</f>
        <v>250</v>
      </c>
    </row>
    <row r="284" spans="1:13" ht="15.5" customHeight="1" thickBot="1" x14ac:dyDescent="0.35">
      <c r="A284" s="10" t="s">
        <v>840</v>
      </c>
      <c r="B284" s="5" t="s">
        <v>841</v>
      </c>
      <c r="C284" s="5" t="s">
        <v>842</v>
      </c>
      <c r="D284" s="52" t="s">
        <v>843</v>
      </c>
      <c r="E284" s="52"/>
      <c r="F284" s="52"/>
      <c r="G284" s="52"/>
      <c r="H284" s="52"/>
      <c r="I284" s="52"/>
      <c r="J284" s="52"/>
      <c r="K284" s="20">
        <f>ROUND(1,2)</f>
        <v>1</v>
      </c>
      <c r="L284" s="21">
        <f>ROUND(242.718*(1+M2/100),2)</f>
        <v>250</v>
      </c>
      <c r="M284" s="21">
        <f>ROUND(K284*L284,2)</f>
        <v>250</v>
      </c>
    </row>
    <row r="285" spans="1:13" ht="15.5" customHeight="1" thickBot="1" x14ac:dyDescent="0.35">
      <c r="A285" s="10" t="s">
        <v>844</v>
      </c>
      <c r="B285" s="5" t="s">
        <v>845</v>
      </c>
      <c r="C285" s="5" t="s">
        <v>846</v>
      </c>
      <c r="D285" s="52" t="s">
        <v>847</v>
      </c>
      <c r="E285" s="52"/>
      <c r="F285" s="52"/>
      <c r="G285" s="52"/>
      <c r="H285" s="52"/>
      <c r="I285" s="52"/>
      <c r="J285" s="52"/>
      <c r="K285" s="20">
        <f>ROUND(1,2)</f>
        <v>1</v>
      </c>
      <c r="L285" s="21">
        <f>ROUND(194.175*(1+M2/100),2)</f>
        <v>200</v>
      </c>
      <c r="M285" s="21">
        <f>ROUND(K285*L285,2)</f>
        <v>200</v>
      </c>
    </row>
    <row r="286" spans="1:13" ht="15.5" customHeight="1" thickBot="1" x14ac:dyDescent="0.35">
      <c r="A286" s="22"/>
      <c r="B286" s="22"/>
      <c r="C286" s="22"/>
      <c r="D286" s="23" t="s">
        <v>848</v>
      </c>
      <c r="E286" s="24"/>
      <c r="F286" s="24"/>
      <c r="G286" s="24"/>
      <c r="H286" s="24"/>
      <c r="I286" s="24"/>
      <c r="J286" s="24"/>
      <c r="K286" s="24"/>
      <c r="L286" s="25">
        <f>M283+M284+M285</f>
        <v>700</v>
      </c>
      <c r="M286" s="25">
        <f>ROUND(L286,2)</f>
        <v>700</v>
      </c>
    </row>
    <row r="287" spans="1:13" ht="15.5" customHeight="1" thickBot="1" x14ac:dyDescent="0.35">
      <c r="A287" s="26" t="s">
        <v>849</v>
      </c>
      <c r="B287" s="26" t="s">
        <v>850</v>
      </c>
      <c r="C287" s="27"/>
      <c r="D287" s="53" t="s">
        <v>851</v>
      </c>
      <c r="E287" s="53"/>
      <c r="F287" s="53"/>
      <c r="G287" s="53"/>
      <c r="H287" s="53"/>
      <c r="I287" s="53"/>
      <c r="J287" s="53"/>
      <c r="K287" s="27"/>
      <c r="L287" s="28">
        <f>L289</f>
        <v>649.74</v>
      </c>
      <c r="M287" s="28">
        <f>ROUND(L287,2)</f>
        <v>649.74</v>
      </c>
    </row>
    <row r="288" spans="1:13" ht="15.5" customHeight="1" thickBot="1" x14ac:dyDescent="0.35">
      <c r="A288" s="10" t="s">
        <v>852</v>
      </c>
      <c r="B288" s="5" t="s">
        <v>853</v>
      </c>
      <c r="C288" s="5" t="s">
        <v>854</v>
      </c>
      <c r="D288" s="52" t="s">
        <v>855</v>
      </c>
      <c r="E288" s="52"/>
      <c r="F288" s="52"/>
      <c r="G288" s="52"/>
      <c r="H288" s="52"/>
      <c r="I288" s="52"/>
      <c r="J288" s="52"/>
      <c r="K288" s="20">
        <f>ROUND(1,2)</f>
        <v>1</v>
      </c>
      <c r="L288" s="21">
        <f>ROUND(630.82*(1+M2/100),2)</f>
        <v>649.74</v>
      </c>
      <c r="M288" s="21">
        <f>ROUND(K288*L288,2)</f>
        <v>649.74</v>
      </c>
    </row>
    <row r="289" spans="1:13" ht="15.5" customHeight="1" thickBot="1" x14ac:dyDescent="0.35">
      <c r="A289" s="22"/>
      <c r="B289" s="22"/>
      <c r="C289" s="22"/>
      <c r="D289" s="23" t="s">
        <v>856</v>
      </c>
      <c r="E289" s="24"/>
      <c r="F289" s="24"/>
      <c r="G289" s="24"/>
      <c r="H289" s="24"/>
      <c r="I289" s="24"/>
      <c r="J289" s="24"/>
      <c r="K289" s="24"/>
      <c r="L289" s="25">
        <f>M288</f>
        <v>649.74</v>
      </c>
      <c r="M289" s="25">
        <f>ROUND(L289,2)</f>
        <v>649.74</v>
      </c>
    </row>
    <row r="290" spans="1:13" ht="15.5" customHeight="1" thickBot="1" x14ac:dyDescent="0.35">
      <c r="A290" s="26" t="s">
        <v>857</v>
      </c>
      <c r="B290" s="26" t="s">
        <v>858</v>
      </c>
      <c r="C290" s="27"/>
      <c r="D290" s="53" t="s">
        <v>859</v>
      </c>
      <c r="E290" s="53"/>
      <c r="F290" s="53"/>
      <c r="G290" s="53"/>
      <c r="H290" s="53"/>
      <c r="I290" s="53"/>
      <c r="J290" s="53"/>
      <c r="K290" s="27"/>
      <c r="L290" s="28">
        <f>L303</f>
        <v>607.36</v>
      </c>
      <c r="M290" s="28">
        <f>ROUND(L290,2)</f>
        <v>607.36</v>
      </c>
    </row>
    <row r="291" spans="1:13" ht="21.65" customHeight="1" thickBot="1" x14ac:dyDescent="0.35">
      <c r="A291" s="10" t="s">
        <v>860</v>
      </c>
      <c r="B291" s="5" t="s">
        <v>861</v>
      </c>
      <c r="C291" s="5" t="s">
        <v>862</v>
      </c>
      <c r="D291" s="52" t="s">
        <v>863</v>
      </c>
      <c r="E291" s="52"/>
      <c r="F291" s="52"/>
      <c r="G291" s="52"/>
      <c r="H291" s="52"/>
      <c r="I291" s="52"/>
      <c r="J291" s="52"/>
      <c r="K291" s="20">
        <f>ROUND(1,2)</f>
        <v>1</v>
      </c>
      <c r="L291" s="21">
        <f>ROUND(145.631*(1+M2/100),2)</f>
        <v>150</v>
      </c>
      <c r="M291" s="21">
        <f>ROUND(K291*L291,2)</f>
        <v>150</v>
      </c>
    </row>
    <row r="292" spans="1:13" ht="30.9" customHeight="1" thickBot="1" x14ac:dyDescent="0.35">
      <c r="A292" s="10" t="s">
        <v>864</v>
      </c>
      <c r="B292" s="5" t="s">
        <v>865</v>
      </c>
      <c r="C292" s="5" t="s">
        <v>866</v>
      </c>
      <c r="D292" s="52" t="s">
        <v>867</v>
      </c>
      <c r="E292" s="52"/>
      <c r="F292" s="52"/>
      <c r="G292" s="52"/>
      <c r="H292" s="52"/>
      <c r="I292" s="52"/>
      <c r="J292" s="52"/>
      <c r="K292" s="20">
        <f>SUM(K294:K294)</f>
        <v>108</v>
      </c>
      <c r="L292" s="21">
        <f>ROUND(1.08*(1+M2/100),2)</f>
        <v>1.1100000000000001</v>
      </c>
      <c r="M292" s="21">
        <f>ROUND(K292*L292,2)</f>
        <v>119.88</v>
      </c>
    </row>
    <row r="293" spans="1:13" ht="15.25" customHeight="1" thickBot="1" x14ac:dyDescent="0.35">
      <c r="A293" s="29"/>
      <c r="B293" s="29"/>
      <c r="C293" s="29"/>
      <c r="D293" s="29"/>
      <c r="E293" s="30"/>
      <c r="F293" s="32" t="s">
        <v>868</v>
      </c>
      <c r="G293" s="32" t="s">
        <v>869</v>
      </c>
      <c r="H293" s="32" t="s">
        <v>870</v>
      </c>
      <c r="I293" s="32" t="s">
        <v>871</v>
      </c>
      <c r="J293" s="32" t="s">
        <v>872</v>
      </c>
      <c r="K293" s="32" t="s">
        <v>873</v>
      </c>
      <c r="L293" s="29"/>
      <c r="M293" s="29"/>
    </row>
    <row r="294" spans="1:13" ht="30.9" customHeight="1" thickBot="1" x14ac:dyDescent="0.35">
      <c r="A294" s="29"/>
      <c r="B294" s="29"/>
      <c r="C294" s="29"/>
      <c r="D294" s="33"/>
      <c r="E294" s="34" t="s">
        <v>874</v>
      </c>
      <c r="F294" s="35">
        <v>9</v>
      </c>
      <c r="G294" s="36">
        <v>3</v>
      </c>
      <c r="H294" s="36"/>
      <c r="I294" s="36">
        <v>4</v>
      </c>
      <c r="J294" s="38">
        <f>ROUND(F294*G294*I294,3)</f>
        <v>108</v>
      </c>
      <c r="K294" s="40">
        <f>SUM(J294:J294)</f>
        <v>108</v>
      </c>
      <c r="L294" s="29"/>
      <c r="M294" s="29"/>
    </row>
    <row r="295" spans="1:13" ht="30.9" customHeight="1" thickBot="1" x14ac:dyDescent="0.35">
      <c r="A295" s="10" t="s">
        <v>875</v>
      </c>
      <c r="B295" s="5" t="s">
        <v>876</v>
      </c>
      <c r="C295" s="5" t="s">
        <v>877</v>
      </c>
      <c r="D295" s="52" t="s">
        <v>878</v>
      </c>
      <c r="E295" s="52"/>
      <c r="F295" s="52"/>
      <c r="G295" s="52"/>
      <c r="H295" s="52"/>
      <c r="I295" s="52"/>
      <c r="J295" s="52"/>
      <c r="K295" s="20">
        <f>SUM(K297:K297)</f>
        <v>84</v>
      </c>
      <c r="L295" s="21">
        <f>ROUND(1.25*(1+M2/100),2)</f>
        <v>1.29</v>
      </c>
      <c r="M295" s="21">
        <f>ROUND(K295*L295,2)</f>
        <v>108.36</v>
      </c>
    </row>
    <row r="296" spans="1:13" ht="15.25" customHeight="1" thickBot="1" x14ac:dyDescent="0.35">
      <c r="A296" s="29"/>
      <c r="B296" s="29"/>
      <c r="C296" s="29"/>
      <c r="D296" s="29"/>
      <c r="E296" s="30"/>
      <c r="F296" s="32" t="s">
        <v>879</v>
      </c>
      <c r="G296" s="32" t="s">
        <v>880</v>
      </c>
      <c r="H296" s="32" t="s">
        <v>881</v>
      </c>
      <c r="I296" s="32" t="s">
        <v>882</v>
      </c>
      <c r="J296" s="32" t="s">
        <v>883</v>
      </c>
      <c r="K296" s="32" t="s">
        <v>884</v>
      </c>
      <c r="L296" s="29"/>
      <c r="M296" s="29"/>
    </row>
    <row r="297" spans="1:13" ht="30.9" customHeight="1" thickBot="1" x14ac:dyDescent="0.35">
      <c r="A297" s="29"/>
      <c r="B297" s="29"/>
      <c r="C297" s="29"/>
      <c r="D297" s="33"/>
      <c r="E297" s="34" t="s">
        <v>885</v>
      </c>
      <c r="F297" s="35">
        <v>7</v>
      </c>
      <c r="G297" s="36">
        <v>3</v>
      </c>
      <c r="H297" s="36"/>
      <c r="I297" s="36">
        <v>4</v>
      </c>
      <c r="J297" s="38">
        <f>ROUND(F297*G297*I297,3)</f>
        <v>84</v>
      </c>
      <c r="K297" s="40">
        <f>SUM(J297:J297)</f>
        <v>84</v>
      </c>
      <c r="L297" s="29"/>
      <c r="M297" s="29"/>
    </row>
    <row r="298" spans="1:13" ht="15.5" customHeight="1" thickBot="1" x14ac:dyDescent="0.35">
      <c r="A298" s="10" t="s">
        <v>886</v>
      </c>
      <c r="B298" s="5" t="s">
        <v>887</v>
      </c>
      <c r="C298" s="5" t="s">
        <v>888</v>
      </c>
      <c r="D298" s="52" t="s">
        <v>889</v>
      </c>
      <c r="E298" s="52"/>
      <c r="F298" s="52"/>
      <c r="G298" s="52"/>
      <c r="H298" s="52"/>
      <c r="I298" s="52"/>
      <c r="J298" s="52"/>
      <c r="K298" s="20">
        <f>SUM(K300:K301)</f>
        <v>64</v>
      </c>
      <c r="L298" s="21">
        <f>ROUND(3.48*(1+M2/100),2)</f>
        <v>3.58</v>
      </c>
      <c r="M298" s="21">
        <f>ROUND(K298*L298,2)</f>
        <v>229.12</v>
      </c>
    </row>
    <row r="299" spans="1:13" ht="15.25" customHeight="1" thickBot="1" x14ac:dyDescent="0.35">
      <c r="A299" s="29"/>
      <c r="B299" s="29"/>
      <c r="C299" s="29"/>
      <c r="D299" s="29"/>
      <c r="E299" s="30"/>
      <c r="F299" s="32" t="s">
        <v>890</v>
      </c>
      <c r="G299" s="32" t="s">
        <v>891</v>
      </c>
      <c r="H299" s="32" t="s">
        <v>892</v>
      </c>
      <c r="I299" s="32" t="s">
        <v>893</v>
      </c>
      <c r="J299" s="32" t="s">
        <v>894</v>
      </c>
      <c r="K299" s="32" t="s">
        <v>895</v>
      </c>
      <c r="L299" s="29"/>
      <c r="M299" s="29"/>
    </row>
    <row r="300" spans="1:13" ht="15.25" customHeight="1" thickBot="1" x14ac:dyDescent="0.35">
      <c r="A300" s="29"/>
      <c r="B300" s="29"/>
      <c r="C300" s="29"/>
      <c r="D300" s="33"/>
      <c r="E300" s="34" t="s">
        <v>896</v>
      </c>
      <c r="F300" s="35"/>
      <c r="G300" s="36">
        <v>36</v>
      </c>
      <c r="H300" s="36"/>
      <c r="I300" s="36"/>
      <c r="J300" s="38">
        <f>ROUND(G300,3)</f>
        <v>36</v>
      </c>
      <c r="K300" s="41"/>
      <c r="L300" s="29"/>
      <c r="M300" s="29"/>
    </row>
    <row r="301" spans="1:13" ht="15.25" customHeight="1" thickBot="1" x14ac:dyDescent="0.35">
      <c r="A301" s="29"/>
      <c r="B301" s="29"/>
      <c r="C301" s="29"/>
      <c r="D301" s="33"/>
      <c r="E301" s="5" t="s">
        <v>897</v>
      </c>
      <c r="F301" s="3"/>
      <c r="G301" s="20">
        <v>28</v>
      </c>
      <c r="H301" s="20"/>
      <c r="I301" s="20"/>
      <c r="J301" s="37">
        <f>ROUND(G301,3)</f>
        <v>28</v>
      </c>
      <c r="K301" s="39">
        <f>SUM(J300:J301)</f>
        <v>64</v>
      </c>
      <c r="L301" s="29"/>
      <c r="M301" s="29"/>
    </row>
    <row r="302" spans="1:13" ht="15.5" customHeight="1" thickBot="1" x14ac:dyDescent="0.35">
      <c r="A302" s="10" t="s">
        <v>898</v>
      </c>
      <c r="B302" s="5" t="s">
        <v>899</v>
      </c>
      <c r="C302" s="5" t="s">
        <v>900</v>
      </c>
      <c r="D302" s="52" t="s">
        <v>901</v>
      </c>
      <c r="E302" s="52"/>
      <c r="F302" s="52"/>
      <c r="G302" s="52"/>
      <c r="H302" s="52"/>
      <c r="I302" s="52"/>
      <c r="J302" s="52"/>
      <c r="K302" s="20">
        <f>ROUND(0,2)</f>
        <v>0</v>
      </c>
      <c r="L302" s="21">
        <f>ROUND(4.05*(1+M2/100),2)</f>
        <v>4.17</v>
      </c>
      <c r="M302" s="21">
        <f>ROUND(K302*L302,2)</f>
        <v>0</v>
      </c>
    </row>
    <row r="303" spans="1:13" ht="15.5" customHeight="1" thickBot="1" x14ac:dyDescent="0.35">
      <c r="A303" s="22"/>
      <c r="B303" s="22"/>
      <c r="C303" s="22"/>
      <c r="D303" s="23" t="s">
        <v>902</v>
      </c>
      <c r="E303" s="24"/>
      <c r="F303" s="24"/>
      <c r="G303" s="24"/>
      <c r="H303" s="24"/>
      <c r="I303" s="24"/>
      <c r="J303" s="24"/>
      <c r="K303" s="24"/>
      <c r="L303" s="25">
        <f>M291+M292+M295+M298+M302</f>
        <v>607.36</v>
      </c>
      <c r="M303" s="25">
        <f>ROUND(L303,2)</f>
        <v>607.36</v>
      </c>
    </row>
    <row r="304" spans="1:13" ht="15.5" customHeight="1" thickBot="1" x14ac:dyDescent="0.35">
      <c r="A304" s="26" t="s">
        <v>903</v>
      </c>
      <c r="B304" s="26" t="s">
        <v>904</v>
      </c>
      <c r="C304" s="27"/>
      <c r="D304" s="53" t="s">
        <v>905</v>
      </c>
      <c r="E304" s="53"/>
      <c r="F304" s="53"/>
      <c r="G304" s="53"/>
      <c r="H304" s="53"/>
      <c r="I304" s="53"/>
      <c r="J304" s="53"/>
      <c r="K304" s="27"/>
      <c r="L304" s="28">
        <f>L313</f>
        <v>647.34999999999991</v>
      </c>
      <c r="M304" s="28">
        <f>ROUND(L304,2)</f>
        <v>647.35</v>
      </c>
    </row>
    <row r="305" spans="1:13" ht="15.5" customHeight="1" thickBot="1" x14ac:dyDescent="0.35">
      <c r="A305" s="10" t="s">
        <v>906</v>
      </c>
      <c r="B305" s="5" t="s">
        <v>907</v>
      </c>
      <c r="C305" s="5" t="s">
        <v>908</v>
      </c>
      <c r="D305" s="52" t="s">
        <v>909</v>
      </c>
      <c r="E305" s="52"/>
      <c r="F305" s="52"/>
      <c r="G305" s="52"/>
      <c r="H305" s="52"/>
      <c r="I305" s="52"/>
      <c r="J305" s="52"/>
      <c r="K305" s="20">
        <f>ROUND(6,2)</f>
        <v>6</v>
      </c>
      <c r="L305" s="21">
        <f>ROUND(23.62*(1+M2/100),2)</f>
        <v>24.33</v>
      </c>
      <c r="M305" s="21">
        <f t="shared" ref="M305:M312" si="1">ROUND(K305*L305,2)</f>
        <v>145.97999999999999</v>
      </c>
    </row>
    <row r="306" spans="1:13" ht="15.5" customHeight="1" thickBot="1" x14ac:dyDescent="0.35">
      <c r="A306" s="10" t="s">
        <v>910</v>
      </c>
      <c r="B306" s="5" t="s">
        <v>911</v>
      </c>
      <c r="C306" s="5" t="s">
        <v>912</v>
      </c>
      <c r="D306" s="52" t="s">
        <v>913</v>
      </c>
      <c r="E306" s="52"/>
      <c r="F306" s="52"/>
      <c r="G306" s="52"/>
      <c r="H306" s="52"/>
      <c r="I306" s="52"/>
      <c r="J306" s="52"/>
      <c r="K306" s="20">
        <f>ROUND(1,2)</f>
        <v>1</v>
      </c>
      <c r="L306" s="21">
        <f>ROUND(58.67*(1+M2/100),2)</f>
        <v>60.43</v>
      </c>
      <c r="M306" s="21">
        <f t="shared" si="1"/>
        <v>60.43</v>
      </c>
    </row>
    <row r="307" spans="1:13" ht="15.5" customHeight="1" thickBot="1" x14ac:dyDescent="0.35">
      <c r="A307" s="10" t="s">
        <v>914</v>
      </c>
      <c r="B307" s="5" t="s">
        <v>915</v>
      </c>
      <c r="C307" s="5" t="s">
        <v>916</v>
      </c>
      <c r="D307" s="52" t="s">
        <v>917</v>
      </c>
      <c r="E307" s="52"/>
      <c r="F307" s="52"/>
      <c r="G307" s="52"/>
      <c r="H307" s="52"/>
      <c r="I307" s="52"/>
      <c r="J307" s="52"/>
      <c r="K307" s="20">
        <f>ROUND(1,2)</f>
        <v>1</v>
      </c>
      <c r="L307" s="21">
        <f>ROUND(19.08*(1+M2/100),2)</f>
        <v>19.649999999999999</v>
      </c>
      <c r="M307" s="21">
        <f t="shared" si="1"/>
        <v>19.649999999999999</v>
      </c>
    </row>
    <row r="308" spans="1:13" ht="15.5" customHeight="1" thickBot="1" x14ac:dyDescent="0.35">
      <c r="A308" s="10" t="s">
        <v>918</v>
      </c>
      <c r="B308" s="5" t="s">
        <v>919</v>
      </c>
      <c r="C308" s="5" t="s">
        <v>920</v>
      </c>
      <c r="D308" s="52" t="s">
        <v>921</v>
      </c>
      <c r="E308" s="52"/>
      <c r="F308" s="52"/>
      <c r="G308" s="52"/>
      <c r="H308" s="52"/>
      <c r="I308" s="52"/>
      <c r="J308" s="52"/>
      <c r="K308" s="20">
        <f>ROUND(6,2)</f>
        <v>6</v>
      </c>
      <c r="L308" s="21">
        <f>ROUND(22.93*(1+M2/100),2)</f>
        <v>23.62</v>
      </c>
      <c r="M308" s="21">
        <f t="shared" si="1"/>
        <v>141.72</v>
      </c>
    </row>
    <row r="309" spans="1:13" ht="25.15" customHeight="1" thickBot="1" x14ac:dyDescent="0.35">
      <c r="A309" s="10" t="s">
        <v>922</v>
      </c>
      <c r="B309" s="5" t="s">
        <v>923</v>
      </c>
      <c r="C309" s="5" t="s">
        <v>924</v>
      </c>
      <c r="D309" s="52" t="s">
        <v>925</v>
      </c>
      <c r="E309" s="52"/>
      <c r="F309" s="52"/>
      <c r="G309" s="52"/>
      <c r="H309" s="52"/>
      <c r="I309" s="52"/>
      <c r="J309" s="52"/>
      <c r="K309" s="20">
        <f>ROUND(1,2)</f>
        <v>1</v>
      </c>
      <c r="L309" s="21">
        <f>ROUND(25.69*(1+M2/100),2)</f>
        <v>26.46</v>
      </c>
      <c r="M309" s="21">
        <f t="shared" si="1"/>
        <v>26.46</v>
      </c>
    </row>
    <row r="310" spans="1:13" ht="25.15" customHeight="1" thickBot="1" x14ac:dyDescent="0.35">
      <c r="A310" s="10" t="s">
        <v>926</v>
      </c>
      <c r="B310" s="5" t="s">
        <v>927</v>
      </c>
      <c r="C310" s="5" t="s">
        <v>928</v>
      </c>
      <c r="D310" s="52" t="s">
        <v>929</v>
      </c>
      <c r="E310" s="52"/>
      <c r="F310" s="52"/>
      <c r="G310" s="52"/>
      <c r="H310" s="52"/>
      <c r="I310" s="52"/>
      <c r="J310" s="52"/>
      <c r="K310" s="20">
        <f>ROUND(1,2)</f>
        <v>1</v>
      </c>
      <c r="L310" s="21">
        <f>ROUND(35.92*(1+M2/100),2)</f>
        <v>37</v>
      </c>
      <c r="M310" s="21">
        <f t="shared" si="1"/>
        <v>37</v>
      </c>
    </row>
    <row r="311" spans="1:13" ht="15.5" customHeight="1" thickBot="1" x14ac:dyDescent="0.35">
      <c r="A311" s="10" t="s">
        <v>930</v>
      </c>
      <c r="B311" s="5" t="s">
        <v>931</v>
      </c>
      <c r="C311" s="5" t="s">
        <v>932</v>
      </c>
      <c r="D311" s="52" t="s">
        <v>933</v>
      </c>
      <c r="E311" s="52"/>
      <c r="F311" s="52"/>
      <c r="G311" s="52"/>
      <c r="H311" s="52"/>
      <c r="I311" s="52"/>
      <c r="J311" s="52"/>
      <c r="K311" s="20">
        <f>ROUND(1,2)</f>
        <v>1</v>
      </c>
      <c r="L311" s="21">
        <f>ROUND(40.83*(1+M2/100),2)</f>
        <v>42.05</v>
      </c>
      <c r="M311" s="21">
        <f t="shared" si="1"/>
        <v>42.05</v>
      </c>
    </row>
    <row r="312" spans="1:13" ht="15.5" customHeight="1" thickBot="1" x14ac:dyDescent="0.35">
      <c r="A312" s="10" t="s">
        <v>934</v>
      </c>
      <c r="B312" s="5" t="s">
        <v>935</v>
      </c>
      <c r="C312" s="5" t="s">
        <v>936</v>
      </c>
      <c r="D312" s="52" t="s">
        <v>937</v>
      </c>
      <c r="E312" s="52"/>
      <c r="F312" s="52"/>
      <c r="G312" s="52"/>
      <c r="H312" s="52"/>
      <c r="I312" s="52"/>
      <c r="J312" s="52"/>
      <c r="K312" s="20">
        <f>ROUND(9,2)</f>
        <v>9</v>
      </c>
      <c r="L312" s="21">
        <f>ROUND(18.78*(1+M2/100),2)</f>
        <v>19.34</v>
      </c>
      <c r="M312" s="21">
        <f t="shared" si="1"/>
        <v>174.06</v>
      </c>
    </row>
    <row r="313" spans="1:13" ht="15.5" customHeight="1" thickBot="1" x14ac:dyDescent="0.35">
      <c r="A313" s="22"/>
      <c r="B313" s="22"/>
      <c r="C313" s="22"/>
      <c r="D313" s="23" t="s">
        <v>938</v>
      </c>
      <c r="E313" s="24"/>
      <c r="F313" s="24"/>
      <c r="G313" s="24"/>
      <c r="H313" s="24"/>
      <c r="I313" s="24"/>
      <c r="J313" s="24"/>
      <c r="K313" s="24"/>
      <c r="L313" s="25">
        <f>M305+M306+M307+M308+M309+M310+M311+M312</f>
        <v>647.34999999999991</v>
      </c>
      <c r="M313" s="25">
        <f>ROUND(L313,2)</f>
        <v>647.35</v>
      </c>
    </row>
    <row r="314" spans="1:13" ht="15.5" customHeight="1" thickBot="1" x14ac:dyDescent="0.35">
      <c r="A314" s="26" t="s">
        <v>939</v>
      </c>
      <c r="B314" s="26" t="s">
        <v>940</v>
      </c>
      <c r="C314" s="27"/>
      <c r="D314" s="53" t="s">
        <v>941</v>
      </c>
      <c r="E314" s="53"/>
      <c r="F314" s="53"/>
      <c r="G314" s="53"/>
      <c r="H314" s="53"/>
      <c r="I314" s="53"/>
      <c r="J314" s="53"/>
      <c r="K314" s="27"/>
      <c r="L314" s="28">
        <f>L319</f>
        <v>366.5</v>
      </c>
      <c r="M314" s="28">
        <f>ROUND(L314,2)</f>
        <v>366.5</v>
      </c>
    </row>
    <row r="315" spans="1:13" ht="21.65" customHeight="1" thickBot="1" x14ac:dyDescent="0.35">
      <c r="A315" s="10" t="s">
        <v>942</v>
      </c>
      <c r="B315" s="5" t="s">
        <v>943</v>
      </c>
      <c r="C315" s="5" t="s">
        <v>944</v>
      </c>
      <c r="D315" s="52" t="s">
        <v>945</v>
      </c>
      <c r="E315" s="52"/>
      <c r="F315" s="52"/>
      <c r="G315" s="52"/>
      <c r="H315" s="52"/>
      <c r="I315" s="52"/>
      <c r="J315" s="52"/>
      <c r="K315" s="20">
        <f>ROUND(2,2)</f>
        <v>2</v>
      </c>
      <c r="L315" s="21">
        <f>ROUND(61.23*(1+M2/100),2)</f>
        <v>63.07</v>
      </c>
      <c r="M315" s="21">
        <f>ROUND(K315*L315,2)</f>
        <v>126.14</v>
      </c>
    </row>
    <row r="316" spans="1:13" ht="15.5" customHeight="1" thickBot="1" x14ac:dyDescent="0.35">
      <c r="A316" s="10" t="s">
        <v>946</v>
      </c>
      <c r="B316" s="5" t="s">
        <v>947</v>
      </c>
      <c r="C316" s="5" t="s">
        <v>948</v>
      </c>
      <c r="D316" s="52" t="s">
        <v>949</v>
      </c>
      <c r="E316" s="52"/>
      <c r="F316" s="52"/>
      <c r="G316" s="52"/>
      <c r="H316" s="52"/>
      <c r="I316" s="52"/>
      <c r="J316" s="52"/>
      <c r="K316" s="20">
        <f>ROUND(5,2)</f>
        <v>5</v>
      </c>
      <c r="L316" s="21">
        <f>ROUND(20.48*(1+M2/100),2)</f>
        <v>21.09</v>
      </c>
      <c r="M316" s="21">
        <f>ROUND(K316*L316,2)</f>
        <v>105.45</v>
      </c>
    </row>
    <row r="317" spans="1:13" ht="15.5" customHeight="1" thickBot="1" x14ac:dyDescent="0.35">
      <c r="A317" s="10" t="s">
        <v>950</v>
      </c>
      <c r="B317" s="5" t="s">
        <v>951</v>
      </c>
      <c r="C317" s="5" t="s">
        <v>952</v>
      </c>
      <c r="D317" s="52" t="s">
        <v>953</v>
      </c>
      <c r="E317" s="52"/>
      <c r="F317" s="52"/>
      <c r="G317" s="52"/>
      <c r="H317" s="52"/>
      <c r="I317" s="52"/>
      <c r="J317" s="52"/>
      <c r="K317" s="20">
        <f>ROUND(4,2)</f>
        <v>4</v>
      </c>
      <c r="L317" s="21">
        <f>ROUND(16.88*(1+M2/100),2)</f>
        <v>17.39</v>
      </c>
      <c r="M317" s="21">
        <f>ROUND(K317*L317,2)</f>
        <v>69.56</v>
      </c>
    </row>
    <row r="318" spans="1:13" ht="15.5" customHeight="1" thickBot="1" x14ac:dyDescent="0.35">
      <c r="A318" s="10" t="s">
        <v>954</v>
      </c>
      <c r="B318" s="5" t="s">
        <v>955</v>
      </c>
      <c r="C318" s="5" t="s">
        <v>956</v>
      </c>
      <c r="D318" s="52" t="s">
        <v>957</v>
      </c>
      <c r="E318" s="52"/>
      <c r="F318" s="52"/>
      <c r="G318" s="52"/>
      <c r="H318" s="52"/>
      <c r="I318" s="52"/>
      <c r="J318" s="52"/>
      <c r="K318" s="20">
        <f>ROUND(1,2)</f>
        <v>1</v>
      </c>
      <c r="L318" s="21">
        <f>ROUND(63.45*(1+M2/100),2)</f>
        <v>65.349999999999994</v>
      </c>
      <c r="M318" s="21">
        <f>ROUND(K318*L318,2)</f>
        <v>65.349999999999994</v>
      </c>
    </row>
    <row r="319" spans="1:13" ht="15.5" customHeight="1" thickBot="1" x14ac:dyDescent="0.35">
      <c r="A319" s="22"/>
      <c r="B319" s="22"/>
      <c r="C319" s="22"/>
      <c r="D319" s="23" t="s">
        <v>958</v>
      </c>
      <c r="E319" s="24"/>
      <c r="F319" s="24"/>
      <c r="G319" s="24"/>
      <c r="H319" s="24"/>
      <c r="I319" s="24"/>
      <c r="J319" s="24"/>
      <c r="K319" s="24"/>
      <c r="L319" s="25">
        <f>M315+M316+M317+M318</f>
        <v>366.5</v>
      </c>
      <c r="M319" s="25">
        <f>ROUND(L319,2)</f>
        <v>366.5</v>
      </c>
    </row>
    <row r="320" spans="1:13" ht="15.5" customHeight="1" thickBot="1" x14ac:dyDescent="0.35">
      <c r="A320" s="26" t="s">
        <v>959</v>
      </c>
      <c r="B320" s="26" t="s">
        <v>960</v>
      </c>
      <c r="C320" s="27"/>
      <c r="D320" s="53" t="s">
        <v>961</v>
      </c>
      <c r="E320" s="53"/>
      <c r="F320" s="53"/>
      <c r="G320" s="53"/>
      <c r="H320" s="53"/>
      <c r="I320" s="53"/>
      <c r="J320" s="53"/>
      <c r="K320" s="27"/>
      <c r="L320" s="28">
        <f>L322</f>
        <v>123.6</v>
      </c>
      <c r="M320" s="28">
        <f>ROUND(L320,2)</f>
        <v>123.6</v>
      </c>
    </row>
    <row r="321" spans="1:13" ht="15.5" customHeight="1" thickBot="1" x14ac:dyDescent="0.35">
      <c r="A321" s="10" t="s">
        <v>962</v>
      </c>
      <c r="B321" s="5" t="s">
        <v>963</v>
      </c>
      <c r="C321" s="5" t="s">
        <v>964</v>
      </c>
      <c r="D321" s="52" t="s">
        <v>965</v>
      </c>
      <c r="E321" s="52"/>
      <c r="F321" s="52"/>
      <c r="G321" s="52"/>
      <c r="H321" s="52"/>
      <c r="I321" s="52"/>
      <c r="J321" s="52"/>
      <c r="K321" s="20">
        <f>ROUND(1,2)</f>
        <v>1</v>
      </c>
      <c r="L321" s="21">
        <f>ROUND(120*(1+M2/100),2)</f>
        <v>123.6</v>
      </c>
      <c r="M321" s="21">
        <f>ROUND(K321*L321,2)</f>
        <v>123.6</v>
      </c>
    </row>
    <row r="322" spans="1:13" ht="15.5" customHeight="1" thickBot="1" x14ac:dyDescent="0.35">
      <c r="A322" s="22"/>
      <c r="B322" s="22"/>
      <c r="C322" s="22"/>
      <c r="D322" s="23" t="s">
        <v>966</v>
      </c>
      <c r="E322" s="24"/>
      <c r="F322" s="24"/>
      <c r="G322" s="24"/>
      <c r="H322" s="24"/>
      <c r="I322" s="24"/>
      <c r="J322" s="24"/>
      <c r="K322" s="24"/>
      <c r="L322" s="25">
        <f>M321</f>
        <v>123.6</v>
      </c>
      <c r="M322" s="25">
        <f>ROUND(L322,2)</f>
        <v>123.6</v>
      </c>
    </row>
    <row r="323" spans="1:13" ht="15.5" customHeight="1" thickBot="1" x14ac:dyDescent="0.35">
      <c r="A323" s="42"/>
      <c r="B323" s="42"/>
      <c r="C323" s="42"/>
      <c r="D323" s="43" t="s">
        <v>967</v>
      </c>
      <c r="E323" s="44"/>
      <c r="F323" s="44"/>
      <c r="G323" s="44"/>
      <c r="H323" s="44"/>
      <c r="I323" s="44"/>
      <c r="J323" s="44"/>
      <c r="K323" s="44"/>
      <c r="L323" s="45">
        <f>M286+M289+M303+M313+M319+M322</f>
        <v>3094.5499999999997</v>
      </c>
      <c r="M323" s="45">
        <f>ROUND(L323,2)</f>
        <v>3094.55</v>
      </c>
    </row>
    <row r="324" spans="1:13" ht="15.5" customHeight="1" thickBot="1" x14ac:dyDescent="0.35">
      <c r="A324" s="46" t="s">
        <v>968</v>
      </c>
      <c r="B324" s="46" t="s">
        <v>969</v>
      </c>
      <c r="C324" s="47"/>
      <c r="D324" s="54" t="s">
        <v>970</v>
      </c>
      <c r="E324" s="54"/>
      <c r="F324" s="54"/>
      <c r="G324" s="54"/>
      <c r="H324" s="54"/>
      <c r="I324" s="54"/>
      <c r="J324" s="54"/>
      <c r="K324" s="47"/>
      <c r="L324" s="48">
        <f>L364</f>
        <v>2526.33</v>
      </c>
      <c r="M324" s="48">
        <f>ROUND(L324,2)</f>
        <v>2526.33</v>
      </c>
    </row>
    <row r="325" spans="1:13" ht="15.5" customHeight="1" thickBot="1" x14ac:dyDescent="0.35">
      <c r="A325" s="17" t="s">
        <v>971</v>
      </c>
      <c r="B325" s="17" t="s">
        <v>972</v>
      </c>
      <c r="C325" s="18"/>
      <c r="D325" s="55" t="s">
        <v>973</v>
      </c>
      <c r="E325" s="55"/>
      <c r="F325" s="55"/>
      <c r="G325" s="55"/>
      <c r="H325" s="55"/>
      <c r="I325" s="55"/>
      <c r="J325" s="55"/>
      <c r="K325" s="18"/>
      <c r="L325" s="19">
        <f>L329</f>
        <v>700</v>
      </c>
      <c r="M325" s="19">
        <f>ROUND(L325,2)</f>
        <v>700</v>
      </c>
    </row>
    <row r="326" spans="1:13" ht="15.5" customHeight="1" thickBot="1" x14ac:dyDescent="0.35">
      <c r="A326" s="10" t="s">
        <v>974</v>
      </c>
      <c r="B326" s="5" t="s">
        <v>975</v>
      </c>
      <c r="C326" s="5" t="s">
        <v>976</v>
      </c>
      <c r="D326" s="52" t="s">
        <v>977</v>
      </c>
      <c r="E326" s="52"/>
      <c r="F326" s="52"/>
      <c r="G326" s="52"/>
      <c r="H326" s="52"/>
      <c r="I326" s="52"/>
      <c r="J326" s="52"/>
      <c r="K326" s="20">
        <f>ROUND(1,2)</f>
        <v>1</v>
      </c>
      <c r="L326" s="21">
        <f>ROUND(242.718*(1+M2/100),2)</f>
        <v>250</v>
      </c>
      <c r="M326" s="21">
        <f>ROUND(K326*L326,2)</f>
        <v>250</v>
      </c>
    </row>
    <row r="327" spans="1:13" ht="15.5" customHeight="1" thickBot="1" x14ac:dyDescent="0.35">
      <c r="A327" s="10" t="s">
        <v>978</v>
      </c>
      <c r="B327" s="5" t="s">
        <v>979</v>
      </c>
      <c r="C327" s="5" t="s">
        <v>980</v>
      </c>
      <c r="D327" s="52" t="s">
        <v>981</v>
      </c>
      <c r="E327" s="52"/>
      <c r="F327" s="52"/>
      <c r="G327" s="52"/>
      <c r="H327" s="52"/>
      <c r="I327" s="52"/>
      <c r="J327" s="52"/>
      <c r="K327" s="20">
        <f>ROUND(1,2)</f>
        <v>1</v>
      </c>
      <c r="L327" s="21">
        <f>ROUND(242.718*(1+M2/100),2)</f>
        <v>250</v>
      </c>
      <c r="M327" s="21">
        <f>ROUND(K327*L327,2)</f>
        <v>250</v>
      </c>
    </row>
    <row r="328" spans="1:13" ht="15.5" customHeight="1" thickBot="1" x14ac:dyDescent="0.35">
      <c r="A328" s="10" t="s">
        <v>982</v>
      </c>
      <c r="B328" s="5" t="s">
        <v>983</v>
      </c>
      <c r="C328" s="5" t="s">
        <v>984</v>
      </c>
      <c r="D328" s="52" t="s">
        <v>985</v>
      </c>
      <c r="E328" s="52"/>
      <c r="F328" s="52"/>
      <c r="G328" s="52"/>
      <c r="H328" s="52"/>
      <c r="I328" s="52"/>
      <c r="J328" s="52"/>
      <c r="K328" s="20">
        <f>ROUND(1,2)</f>
        <v>1</v>
      </c>
      <c r="L328" s="21">
        <f>ROUND(194.175*(1+M2/100),2)</f>
        <v>200</v>
      </c>
      <c r="M328" s="21">
        <f>ROUND(K328*L328,2)</f>
        <v>200</v>
      </c>
    </row>
    <row r="329" spans="1:13" ht="15.5" customHeight="1" thickBot="1" x14ac:dyDescent="0.35">
      <c r="A329" s="22"/>
      <c r="B329" s="22"/>
      <c r="C329" s="22"/>
      <c r="D329" s="23" t="s">
        <v>986</v>
      </c>
      <c r="E329" s="24"/>
      <c r="F329" s="24"/>
      <c r="G329" s="24"/>
      <c r="H329" s="24"/>
      <c r="I329" s="24"/>
      <c r="J329" s="24"/>
      <c r="K329" s="24"/>
      <c r="L329" s="25">
        <f>M326+M327+M328</f>
        <v>700</v>
      </c>
      <c r="M329" s="25">
        <f>ROUND(L329,2)</f>
        <v>700</v>
      </c>
    </row>
    <row r="330" spans="1:13" ht="15.5" customHeight="1" thickBot="1" x14ac:dyDescent="0.35">
      <c r="A330" s="26" t="s">
        <v>987</v>
      </c>
      <c r="B330" s="26" t="s">
        <v>988</v>
      </c>
      <c r="C330" s="27"/>
      <c r="D330" s="53" t="s">
        <v>989</v>
      </c>
      <c r="E330" s="53"/>
      <c r="F330" s="53"/>
      <c r="G330" s="53"/>
      <c r="H330" s="53"/>
      <c r="I330" s="53"/>
      <c r="J330" s="53"/>
      <c r="K330" s="27"/>
      <c r="L330" s="28">
        <f>L332</f>
        <v>901.15</v>
      </c>
      <c r="M330" s="28">
        <f>ROUND(L330,2)</f>
        <v>901.15</v>
      </c>
    </row>
    <row r="331" spans="1:13" ht="15.5" customHeight="1" thickBot="1" x14ac:dyDescent="0.35">
      <c r="A331" s="10" t="s">
        <v>990</v>
      </c>
      <c r="B331" s="5" t="s">
        <v>991</v>
      </c>
      <c r="C331" s="5" t="s">
        <v>992</v>
      </c>
      <c r="D331" s="52" t="s">
        <v>993</v>
      </c>
      <c r="E331" s="52"/>
      <c r="F331" s="52"/>
      <c r="G331" s="52"/>
      <c r="H331" s="52"/>
      <c r="I331" s="52"/>
      <c r="J331" s="52"/>
      <c r="K331" s="20">
        <f>ROUND(1,2)</f>
        <v>1</v>
      </c>
      <c r="L331" s="21">
        <f>ROUND(874.9*(1+M2/100),2)</f>
        <v>901.15</v>
      </c>
      <c r="M331" s="21">
        <f>ROUND(K331*L331,2)</f>
        <v>901.15</v>
      </c>
    </row>
    <row r="332" spans="1:13" ht="15.5" customHeight="1" thickBot="1" x14ac:dyDescent="0.35">
      <c r="A332" s="22"/>
      <c r="B332" s="22"/>
      <c r="C332" s="22"/>
      <c r="D332" s="23" t="s">
        <v>994</v>
      </c>
      <c r="E332" s="24"/>
      <c r="F332" s="24"/>
      <c r="G332" s="24"/>
      <c r="H332" s="24"/>
      <c r="I332" s="24"/>
      <c r="J332" s="24"/>
      <c r="K332" s="24"/>
      <c r="L332" s="25">
        <f>M331</f>
        <v>901.15</v>
      </c>
      <c r="M332" s="25">
        <f>ROUND(L332,2)</f>
        <v>901.15</v>
      </c>
    </row>
    <row r="333" spans="1:13" ht="15.5" customHeight="1" thickBot="1" x14ac:dyDescent="0.35">
      <c r="A333" s="26" t="s">
        <v>995</v>
      </c>
      <c r="B333" s="26" t="s">
        <v>996</v>
      </c>
      <c r="C333" s="27"/>
      <c r="D333" s="53" t="s">
        <v>997</v>
      </c>
      <c r="E333" s="53"/>
      <c r="F333" s="53"/>
      <c r="G333" s="53"/>
      <c r="H333" s="53"/>
      <c r="I333" s="53"/>
      <c r="J333" s="53"/>
      <c r="K333" s="27"/>
      <c r="L333" s="28">
        <f>L345</f>
        <v>262.72000000000003</v>
      </c>
      <c r="M333" s="28">
        <f>ROUND(L333,2)</f>
        <v>262.72000000000003</v>
      </c>
    </row>
    <row r="334" spans="1:13" ht="21.65" customHeight="1" thickBot="1" x14ac:dyDescent="0.35">
      <c r="A334" s="10" t="s">
        <v>998</v>
      </c>
      <c r="B334" s="5" t="s">
        <v>999</v>
      </c>
      <c r="C334" s="5" t="s">
        <v>1000</v>
      </c>
      <c r="D334" s="52" t="s">
        <v>1001</v>
      </c>
      <c r="E334" s="52"/>
      <c r="F334" s="52"/>
      <c r="G334" s="52"/>
      <c r="H334" s="52"/>
      <c r="I334" s="52"/>
      <c r="J334" s="52"/>
      <c r="K334" s="20">
        <f>ROUND(1,2)</f>
        <v>1</v>
      </c>
      <c r="L334" s="21">
        <f>ROUND(145.631*(1+M2/100),2)</f>
        <v>150</v>
      </c>
      <c r="M334" s="21">
        <f>ROUND(K334*L334,2)</f>
        <v>150</v>
      </c>
    </row>
    <row r="335" spans="1:13" ht="30.9" customHeight="1" thickBot="1" x14ac:dyDescent="0.35">
      <c r="A335" s="10" t="s">
        <v>1002</v>
      </c>
      <c r="B335" s="5" t="s">
        <v>1003</v>
      </c>
      <c r="C335" s="5" t="s">
        <v>1004</v>
      </c>
      <c r="D335" s="52" t="s">
        <v>1005</v>
      </c>
      <c r="E335" s="52"/>
      <c r="F335" s="52"/>
      <c r="G335" s="52"/>
      <c r="H335" s="52"/>
      <c r="I335" s="52"/>
      <c r="J335" s="52"/>
      <c r="K335" s="20">
        <f>SUM(K337:K337)</f>
        <v>36</v>
      </c>
      <c r="L335" s="21">
        <f>ROUND(1.08*(1+M2/100),2)</f>
        <v>1.1100000000000001</v>
      </c>
      <c r="M335" s="21">
        <f>ROUND(K335*L335,2)</f>
        <v>39.96</v>
      </c>
    </row>
    <row r="336" spans="1:13" ht="15.25" customHeight="1" thickBot="1" x14ac:dyDescent="0.35">
      <c r="A336" s="29"/>
      <c r="B336" s="29"/>
      <c r="C336" s="29"/>
      <c r="D336" s="29"/>
      <c r="E336" s="30"/>
      <c r="F336" s="32" t="s">
        <v>1006</v>
      </c>
      <c r="G336" s="32" t="s">
        <v>1007</v>
      </c>
      <c r="H336" s="32" t="s">
        <v>1008</v>
      </c>
      <c r="I336" s="32" t="s">
        <v>1009</v>
      </c>
      <c r="J336" s="32" t="s">
        <v>1010</v>
      </c>
      <c r="K336" s="32" t="s">
        <v>1011</v>
      </c>
      <c r="L336" s="29"/>
      <c r="M336" s="29"/>
    </row>
    <row r="337" spans="1:13" ht="30.9" customHeight="1" thickBot="1" x14ac:dyDescent="0.35">
      <c r="A337" s="29"/>
      <c r="B337" s="29"/>
      <c r="C337" s="29"/>
      <c r="D337" s="33"/>
      <c r="E337" s="34" t="s">
        <v>1012</v>
      </c>
      <c r="F337" s="35">
        <v>3</v>
      </c>
      <c r="G337" s="36">
        <v>3</v>
      </c>
      <c r="H337" s="36"/>
      <c r="I337" s="36">
        <v>4</v>
      </c>
      <c r="J337" s="38">
        <f>ROUND(F337*G337*I337,3)</f>
        <v>36</v>
      </c>
      <c r="K337" s="40">
        <f>SUM(J337:J337)</f>
        <v>36</v>
      </c>
      <c r="L337" s="29"/>
      <c r="M337" s="29"/>
    </row>
    <row r="338" spans="1:13" ht="30.9" customHeight="1" thickBot="1" x14ac:dyDescent="0.35">
      <c r="A338" s="10" t="s">
        <v>1013</v>
      </c>
      <c r="B338" s="5" t="s">
        <v>1014</v>
      </c>
      <c r="C338" s="5" t="s">
        <v>1015</v>
      </c>
      <c r="D338" s="52" t="s">
        <v>1016</v>
      </c>
      <c r="E338" s="52"/>
      <c r="F338" s="52"/>
      <c r="G338" s="52"/>
      <c r="H338" s="52"/>
      <c r="I338" s="52"/>
      <c r="J338" s="52"/>
      <c r="K338" s="20">
        <f>SUM(K340:K340)</f>
        <v>12</v>
      </c>
      <c r="L338" s="21">
        <f>ROUND(1.25*(1+M2/100),2)</f>
        <v>1.29</v>
      </c>
      <c r="M338" s="21">
        <f>ROUND(K338*L338,2)</f>
        <v>15.48</v>
      </c>
    </row>
    <row r="339" spans="1:13" ht="15.25" customHeight="1" thickBot="1" x14ac:dyDescent="0.35">
      <c r="A339" s="29"/>
      <c r="B339" s="29"/>
      <c r="C339" s="29"/>
      <c r="D339" s="29"/>
      <c r="E339" s="30"/>
      <c r="F339" s="32" t="s">
        <v>1017</v>
      </c>
      <c r="G339" s="32" t="s">
        <v>1018</v>
      </c>
      <c r="H339" s="32" t="s">
        <v>1019</v>
      </c>
      <c r="I339" s="32" t="s">
        <v>1020</v>
      </c>
      <c r="J339" s="32" t="s">
        <v>1021</v>
      </c>
      <c r="K339" s="32" t="s">
        <v>1022</v>
      </c>
      <c r="L339" s="29"/>
      <c r="M339" s="29"/>
    </row>
    <row r="340" spans="1:13" ht="30.9" customHeight="1" thickBot="1" x14ac:dyDescent="0.35">
      <c r="A340" s="29"/>
      <c r="B340" s="29"/>
      <c r="C340" s="29"/>
      <c r="D340" s="33"/>
      <c r="E340" s="34" t="s">
        <v>1023</v>
      </c>
      <c r="F340" s="35">
        <v>1</v>
      </c>
      <c r="G340" s="36">
        <v>3</v>
      </c>
      <c r="H340" s="36"/>
      <c r="I340" s="36">
        <v>4</v>
      </c>
      <c r="J340" s="38">
        <f>ROUND(F340*G340*I340,3)</f>
        <v>12</v>
      </c>
      <c r="K340" s="40">
        <f>SUM(J340:J340)</f>
        <v>12</v>
      </c>
      <c r="L340" s="29"/>
      <c r="M340" s="29"/>
    </row>
    <row r="341" spans="1:13" ht="15.5" customHeight="1" thickBot="1" x14ac:dyDescent="0.35">
      <c r="A341" s="10" t="s">
        <v>1024</v>
      </c>
      <c r="B341" s="5" t="s">
        <v>1025</v>
      </c>
      <c r="C341" s="5" t="s">
        <v>1026</v>
      </c>
      <c r="D341" s="52" t="s">
        <v>1027</v>
      </c>
      <c r="E341" s="52"/>
      <c r="F341" s="52"/>
      <c r="G341" s="52"/>
      <c r="H341" s="52"/>
      <c r="I341" s="52"/>
      <c r="J341" s="52"/>
      <c r="K341" s="20">
        <f>SUM(K343:K344)</f>
        <v>16</v>
      </c>
      <c r="L341" s="21">
        <f>ROUND(3.48*(1+M2/100),2)</f>
        <v>3.58</v>
      </c>
      <c r="M341" s="21">
        <f>ROUND(K341*L341,2)</f>
        <v>57.28</v>
      </c>
    </row>
    <row r="342" spans="1:13" ht="15.25" customHeight="1" thickBot="1" x14ac:dyDescent="0.35">
      <c r="A342" s="29"/>
      <c r="B342" s="29"/>
      <c r="C342" s="29"/>
      <c r="D342" s="29"/>
      <c r="E342" s="30"/>
      <c r="F342" s="32" t="s">
        <v>1028</v>
      </c>
      <c r="G342" s="32" t="s">
        <v>1029</v>
      </c>
      <c r="H342" s="32" t="s">
        <v>1030</v>
      </c>
      <c r="I342" s="32" t="s">
        <v>1031</v>
      </c>
      <c r="J342" s="32" t="s">
        <v>1032</v>
      </c>
      <c r="K342" s="32" t="s">
        <v>1033</v>
      </c>
      <c r="L342" s="29"/>
      <c r="M342" s="29"/>
    </row>
    <row r="343" spans="1:13" ht="15.25" customHeight="1" thickBot="1" x14ac:dyDescent="0.35">
      <c r="A343" s="29"/>
      <c r="B343" s="29"/>
      <c r="C343" s="29"/>
      <c r="D343" s="33"/>
      <c r="E343" s="34" t="s">
        <v>1034</v>
      </c>
      <c r="F343" s="35"/>
      <c r="G343" s="36">
        <v>12</v>
      </c>
      <c r="H343" s="36"/>
      <c r="I343" s="36"/>
      <c r="J343" s="38">
        <f>ROUND(G343,3)</f>
        <v>12</v>
      </c>
      <c r="K343" s="41"/>
      <c r="L343" s="29"/>
      <c r="M343" s="29"/>
    </row>
    <row r="344" spans="1:13" ht="15.25" customHeight="1" thickBot="1" x14ac:dyDescent="0.35">
      <c r="A344" s="29"/>
      <c r="B344" s="29"/>
      <c r="C344" s="29"/>
      <c r="D344" s="33"/>
      <c r="E344" s="5" t="s">
        <v>1035</v>
      </c>
      <c r="F344" s="3"/>
      <c r="G344" s="20">
        <v>4</v>
      </c>
      <c r="H344" s="20"/>
      <c r="I344" s="20"/>
      <c r="J344" s="37">
        <f>ROUND(G344,3)</f>
        <v>4</v>
      </c>
      <c r="K344" s="39">
        <f>SUM(J343:J344)</f>
        <v>16</v>
      </c>
      <c r="L344" s="29"/>
      <c r="M344" s="29"/>
    </row>
    <row r="345" spans="1:13" ht="15.5" customHeight="1" thickBot="1" x14ac:dyDescent="0.35">
      <c r="A345" s="22"/>
      <c r="B345" s="22"/>
      <c r="C345" s="22"/>
      <c r="D345" s="23" t="s">
        <v>1036</v>
      </c>
      <c r="E345" s="24"/>
      <c r="F345" s="24"/>
      <c r="G345" s="24"/>
      <c r="H345" s="24"/>
      <c r="I345" s="24"/>
      <c r="J345" s="24"/>
      <c r="K345" s="24"/>
      <c r="L345" s="25">
        <f>M334+M335+M338+M341</f>
        <v>262.72000000000003</v>
      </c>
      <c r="M345" s="25">
        <f>ROUND(L345,2)</f>
        <v>262.72000000000003</v>
      </c>
    </row>
    <row r="346" spans="1:13" ht="15.5" customHeight="1" thickBot="1" x14ac:dyDescent="0.35">
      <c r="A346" s="26" t="s">
        <v>1037</v>
      </c>
      <c r="B346" s="26" t="s">
        <v>1038</v>
      </c>
      <c r="C346" s="27"/>
      <c r="D346" s="53" t="s">
        <v>1039</v>
      </c>
      <c r="E346" s="53"/>
      <c r="F346" s="53"/>
      <c r="G346" s="53"/>
      <c r="H346" s="53"/>
      <c r="I346" s="53"/>
      <c r="J346" s="53"/>
      <c r="K346" s="27"/>
      <c r="L346" s="28">
        <f>L352</f>
        <v>248.92000000000002</v>
      </c>
      <c r="M346" s="28">
        <f>ROUND(L346,2)</f>
        <v>248.92</v>
      </c>
    </row>
    <row r="347" spans="1:13" ht="15.5" customHeight="1" thickBot="1" x14ac:dyDescent="0.35">
      <c r="A347" s="10" t="s">
        <v>1040</v>
      </c>
      <c r="B347" s="5" t="s">
        <v>1041</v>
      </c>
      <c r="C347" s="5" t="s">
        <v>1042</v>
      </c>
      <c r="D347" s="52" t="s">
        <v>1043</v>
      </c>
      <c r="E347" s="52"/>
      <c r="F347" s="52"/>
      <c r="G347" s="52"/>
      <c r="H347" s="52"/>
      <c r="I347" s="52"/>
      <c r="J347" s="52"/>
      <c r="K347" s="20">
        <f>ROUND(2,2)</f>
        <v>2</v>
      </c>
      <c r="L347" s="21">
        <f>ROUND(58.67*(1+M2/100),2)</f>
        <v>60.43</v>
      </c>
      <c r="M347" s="21">
        <f>ROUND(K347*L347,2)</f>
        <v>120.86</v>
      </c>
    </row>
    <row r="348" spans="1:13" ht="15.5" customHeight="1" thickBot="1" x14ac:dyDescent="0.35">
      <c r="A348" s="10" t="s">
        <v>1044</v>
      </c>
      <c r="B348" s="5" t="s">
        <v>1045</v>
      </c>
      <c r="C348" s="5" t="s">
        <v>1046</v>
      </c>
      <c r="D348" s="52" t="s">
        <v>1047</v>
      </c>
      <c r="E348" s="52"/>
      <c r="F348" s="52"/>
      <c r="G348" s="52"/>
      <c r="H348" s="52"/>
      <c r="I348" s="52"/>
      <c r="J348" s="52"/>
      <c r="K348" s="20">
        <f>ROUND(2,2)</f>
        <v>2</v>
      </c>
      <c r="L348" s="21">
        <f>ROUND(19.08*(1+M2/100),2)</f>
        <v>19.649999999999999</v>
      </c>
      <c r="M348" s="21">
        <f>ROUND(K348*L348,2)</f>
        <v>39.299999999999997</v>
      </c>
    </row>
    <row r="349" spans="1:13" ht="15.5" customHeight="1" thickBot="1" x14ac:dyDescent="0.35">
      <c r="A349" s="10" t="s">
        <v>1048</v>
      </c>
      <c r="B349" s="5" t="s">
        <v>1049</v>
      </c>
      <c r="C349" s="5" t="s">
        <v>1050</v>
      </c>
      <c r="D349" s="52" t="s">
        <v>1051</v>
      </c>
      <c r="E349" s="52"/>
      <c r="F349" s="52"/>
      <c r="G349" s="52"/>
      <c r="H349" s="52"/>
      <c r="I349" s="52"/>
      <c r="J349" s="52"/>
      <c r="K349" s="20">
        <f>ROUND(1,2)</f>
        <v>1</v>
      </c>
      <c r="L349" s="21">
        <f>ROUND(22.93*(1+M2/100),2)</f>
        <v>23.62</v>
      </c>
      <c r="M349" s="21">
        <f>ROUND(K349*L349,2)</f>
        <v>23.62</v>
      </c>
    </row>
    <row r="350" spans="1:13" ht="25.15" customHeight="1" thickBot="1" x14ac:dyDescent="0.35">
      <c r="A350" s="10" t="s">
        <v>1052</v>
      </c>
      <c r="B350" s="5" t="s">
        <v>1053</v>
      </c>
      <c r="C350" s="5" t="s">
        <v>1054</v>
      </c>
      <c r="D350" s="52" t="s">
        <v>1055</v>
      </c>
      <c r="E350" s="52"/>
      <c r="F350" s="52"/>
      <c r="G350" s="52"/>
      <c r="H350" s="52"/>
      <c r="I350" s="52"/>
      <c r="J350" s="52"/>
      <c r="K350" s="20">
        <f>ROUND(1,2)</f>
        <v>1</v>
      </c>
      <c r="L350" s="21">
        <f>ROUND(25.69*(1+M2/100),2)</f>
        <v>26.46</v>
      </c>
      <c r="M350" s="21">
        <f>ROUND(K350*L350,2)</f>
        <v>26.46</v>
      </c>
    </row>
    <row r="351" spans="1:13" ht="15.5" customHeight="1" thickBot="1" x14ac:dyDescent="0.35">
      <c r="A351" s="10" t="s">
        <v>1056</v>
      </c>
      <c r="B351" s="5" t="s">
        <v>1057</v>
      </c>
      <c r="C351" s="5" t="s">
        <v>1058</v>
      </c>
      <c r="D351" s="52" t="s">
        <v>1059</v>
      </c>
      <c r="E351" s="52"/>
      <c r="F351" s="52"/>
      <c r="G351" s="52"/>
      <c r="H351" s="52"/>
      <c r="I351" s="52"/>
      <c r="J351" s="52"/>
      <c r="K351" s="20">
        <f>ROUND(2,2)</f>
        <v>2</v>
      </c>
      <c r="L351" s="21">
        <f>ROUND(18.78*(1+M2/100),2)</f>
        <v>19.34</v>
      </c>
      <c r="M351" s="21">
        <f>ROUND(K351*L351,2)</f>
        <v>38.68</v>
      </c>
    </row>
    <row r="352" spans="1:13" ht="15.5" customHeight="1" thickBot="1" x14ac:dyDescent="0.35">
      <c r="A352" s="22"/>
      <c r="B352" s="22"/>
      <c r="C352" s="22"/>
      <c r="D352" s="23" t="s">
        <v>1060</v>
      </c>
      <c r="E352" s="24"/>
      <c r="F352" s="24"/>
      <c r="G352" s="24"/>
      <c r="H352" s="24"/>
      <c r="I352" s="24"/>
      <c r="J352" s="24"/>
      <c r="K352" s="24"/>
      <c r="L352" s="25">
        <f>M347+M348+M349+M350+M351</f>
        <v>248.92000000000002</v>
      </c>
      <c r="M352" s="25">
        <f>ROUND(L352,2)</f>
        <v>248.92</v>
      </c>
    </row>
    <row r="353" spans="1:13" ht="15.5" customHeight="1" thickBot="1" x14ac:dyDescent="0.35">
      <c r="A353" s="26" t="s">
        <v>1061</v>
      </c>
      <c r="B353" s="26" t="s">
        <v>1062</v>
      </c>
      <c r="C353" s="27"/>
      <c r="D353" s="53" t="s">
        <v>1063</v>
      </c>
      <c r="E353" s="53"/>
      <c r="F353" s="53"/>
      <c r="G353" s="53"/>
      <c r="H353" s="53"/>
      <c r="I353" s="53"/>
      <c r="J353" s="53"/>
      <c r="K353" s="27"/>
      <c r="L353" s="28">
        <f>L360</f>
        <v>289.94</v>
      </c>
      <c r="M353" s="28">
        <f>ROUND(L353,2)</f>
        <v>289.94</v>
      </c>
    </row>
    <row r="354" spans="1:13" ht="15.5" customHeight="1" thickBot="1" x14ac:dyDescent="0.35">
      <c r="A354" s="10" t="s">
        <v>1064</v>
      </c>
      <c r="B354" s="5" t="s">
        <v>1065</v>
      </c>
      <c r="C354" s="5" t="s">
        <v>1066</v>
      </c>
      <c r="D354" s="52" t="s">
        <v>1067</v>
      </c>
      <c r="E354" s="52"/>
      <c r="F354" s="52"/>
      <c r="G354" s="52"/>
      <c r="H354" s="52"/>
      <c r="I354" s="52"/>
      <c r="J354" s="52"/>
      <c r="K354" s="20">
        <f>SUM(K356:K357)</f>
        <v>9</v>
      </c>
      <c r="L354" s="21">
        <f>ROUND(20.48*(1+M2/100),2)</f>
        <v>21.09</v>
      </c>
      <c r="M354" s="21">
        <f>ROUND(K354*L354,2)</f>
        <v>189.81</v>
      </c>
    </row>
    <row r="355" spans="1:13" ht="15.25" customHeight="1" thickBot="1" x14ac:dyDescent="0.35">
      <c r="A355" s="29"/>
      <c r="B355" s="29"/>
      <c r="C355" s="29"/>
      <c r="D355" s="29"/>
      <c r="E355" s="30"/>
      <c r="F355" s="32" t="s">
        <v>1068</v>
      </c>
      <c r="G355" s="32" t="s">
        <v>1069</v>
      </c>
      <c r="H355" s="32" t="s">
        <v>1070</v>
      </c>
      <c r="I355" s="32" t="s">
        <v>1071</v>
      </c>
      <c r="J355" s="32" t="s">
        <v>1072</v>
      </c>
      <c r="K355" s="32" t="s">
        <v>1073</v>
      </c>
      <c r="L355" s="29"/>
      <c r="M355" s="29"/>
    </row>
    <row r="356" spans="1:13" ht="15.25" customHeight="1" thickBot="1" x14ac:dyDescent="0.35">
      <c r="A356" s="29"/>
      <c r="B356" s="29"/>
      <c r="C356" s="29"/>
      <c r="D356" s="33"/>
      <c r="E356" s="34" t="s">
        <v>1074</v>
      </c>
      <c r="F356" s="35">
        <v>5</v>
      </c>
      <c r="G356" s="36"/>
      <c r="H356" s="36"/>
      <c r="I356" s="36"/>
      <c r="J356" s="38">
        <f>ROUND(F356,3)</f>
        <v>5</v>
      </c>
      <c r="K356" s="41"/>
      <c r="L356" s="29"/>
      <c r="M356" s="29"/>
    </row>
    <row r="357" spans="1:13" ht="15.25" customHeight="1" thickBot="1" x14ac:dyDescent="0.35">
      <c r="A357" s="29"/>
      <c r="B357" s="29"/>
      <c r="C357" s="29"/>
      <c r="D357" s="33"/>
      <c r="E357" s="5" t="s">
        <v>1075</v>
      </c>
      <c r="F357" s="3">
        <v>4</v>
      </c>
      <c r="G357" s="20"/>
      <c r="H357" s="20"/>
      <c r="I357" s="20"/>
      <c r="J357" s="37">
        <f>ROUND(F357,3)</f>
        <v>4</v>
      </c>
      <c r="K357" s="39">
        <f>SUM(J356:J357)</f>
        <v>9</v>
      </c>
      <c r="L357" s="29"/>
      <c r="M357" s="29"/>
    </row>
    <row r="358" spans="1:13" ht="15.5" customHeight="1" thickBot="1" x14ac:dyDescent="0.35">
      <c r="A358" s="10" t="s">
        <v>1076</v>
      </c>
      <c r="B358" s="5" t="s">
        <v>1077</v>
      </c>
      <c r="C358" s="5" t="s">
        <v>1078</v>
      </c>
      <c r="D358" s="52" t="s">
        <v>1079</v>
      </c>
      <c r="E358" s="52"/>
      <c r="F358" s="52"/>
      <c r="G358" s="52"/>
      <c r="H358" s="52"/>
      <c r="I358" s="52"/>
      <c r="J358" s="52"/>
      <c r="K358" s="20">
        <f>ROUND(2,2)</f>
        <v>2</v>
      </c>
      <c r="L358" s="21">
        <f>ROUND(16.88*(1+M2/100),2)</f>
        <v>17.39</v>
      </c>
      <c r="M358" s="21">
        <f>ROUND(K358*L358,2)</f>
        <v>34.78</v>
      </c>
    </row>
    <row r="359" spans="1:13" ht="15.5" customHeight="1" thickBot="1" x14ac:dyDescent="0.35">
      <c r="A359" s="10" t="s">
        <v>1080</v>
      </c>
      <c r="B359" s="5" t="s">
        <v>1081</v>
      </c>
      <c r="C359" s="5" t="s">
        <v>1082</v>
      </c>
      <c r="D359" s="52" t="s">
        <v>1083</v>
      </c>
      <c r="E359" s="52"/>
      <c r="F359" s="52"/>
      <c r="G359" s="52"/>
      <c r="H359" s="52"/>
      <c r="I359" s="52"/>
      <c r="J359" s="52"/>
      <c r="K359" s="20">
        <f>ROUND(1,2)</f>
        <v>1</v>
      </c>
      <c r="L359" s="21">
        <f>ROUND(63.45*(1+M2/100),2)</f>
        <v>65.349999999999994</v>
      </c>
      <c r="M359" s="21">
        <f>ROUND(K359*L359,2)</f>
        <v>65.349999999999994</v>
      </c>
    </row>
    <row r="360" spans="1:13" ht="15.5" customHeight="1" thickBot="1" x14ac:dyDescent="0.35">
      <c r="A360" s="22"/>
      <c r="B360" s="22"/>
      <c r="C360" s="22"/>
      <c r="D360" s="23" t="s">
        <v>1084</v>
      </c>
      <c r="E360" s="24"/>
      <c r="F360" s="24"/>
      <c r="G360" s="24"/>
      <c r="H360" s="24"/>
      <c r="I360" s="24"/>
      <c r="J360" s="24"/>
      <c r="K360" s="24"/>
      <c r="L360" s="25">
        <f>M354+M358+M359</f>
        <v>289.94</v>
      </c>
      <c r="M360" s="25">
        <f>ROUND(L360,2)</f>
        <v>289.94</v>
      </c>
    </row>
    <row r="361" spans="1:13" ht="15.5" customHeight="1" thickBot="1" x14ac:dyDescent="0.35">
      <c r="A361" s="26" t="s">
        <v>1085</v>
      </c>
      <c r="B361" s="26" t="s">
        <v>1086</v>
      </c>
      <c r="C361" s="27"/>
      <c r="D361" s="53" t="s">
        <v>1087</v>
      </c>
      <c r="E361" s="53"/>
      <c r="F361" s="53"/>
      <c r="G361" s="53"/>
      <c r="H361" s="53"/>
      <c r="I361" s="53"/>
      <c r="J361" s="53"/>
      <c r="K361" s="27"/>
      <c r="L361" s="28">
        <f>L363</f>
        <v>123.6</v>
      </c>
      <c r="M361" s="28">
        <f>ROUND(L361,2)</f>
        <v>123.6</v>
      </c>
    </row>
    <row r="362" spans="1:13" ht="15.5" customHeight="1" thickBot="1" x14ac:dyDescent="0.35">
      <c r="A362" s="10" t="s">
        <v>1088</v>
      </c>
      <c r="B362" s="5" t="s">
        <v>1089</v>
      </c>
      <c r="C362" s="5" t="s">
        <v>1090</v>
      </c>
      <c r="D362" s="52" t="s">
        <v>1091</v>
      </c>
      <c r="E362" s="52"/>
      <c r="F362" s="52"/>
      <c r="G362" s="52"/>
      <c r="H362" s="52"/>
      <c r="I362" s="52"/>
      <c r="J362" s="52"/>
      <c r="K362" s="20">
        <f>ROUND(1,2)</f>
        <v>1</v>
      </c>
      <c r="L362" s="21">
        <f>ROUND(120*(1+M2/100),2)</f>
        <v>123.6</v>
      </c>
      <c r="M362" s="21">
        <f>ROUND(K362*L362,2)</f>
        <v>123.6</v>
      </c>
    </row>
    <row r="363" spans="1:13" ht="15.5" customHeight="1" thickBot="1" x14ac:dyDescent="0.35">
      <c r="A363" s="22"/>
      <c r="B363" s="22"/>
      <c r="C363" s="22"/>
      <c r="D363" s="23" t="s">
        <v>1092</v>
      </c>
      <c r="E363" s="24"/>
      <c r="F363" s="24"/>
      <c r="G363" s="24"/>
      <c r="H363" s="24"/>
      <c r="I363" s="24"/>
      <c r="J363" s="24"/>
      <c r="K363" s="24"/>
      <c r="L363" s="25">
        <f>M362</f>
        <v>123.6</v>
      </c>
      <c r="M363" s="25">
        <f>ROUND(L363,2)</f>
        <v>123.6</v>
      </c>
    </row>
    <row r="364" spans="1:13" ht="15.5" customHeight="1" thickBot="1" x14ac:dyDescent="0.35">
      <c r="A364" s="42"/>
      <c r="B364" s="42"/>
      <c r="C364" s="42"/>
      <c r="D364" s="43" t="s">
        <v>1093</v>
      </c>
      <c r="E364" s="44"/>
      <c r="F364" s="44"/>
      <c r="G364" s="44"/>
      <c r="H364" s="44"/>
      <c r="I364" s="44"/>
      <c r="J364" s="44"/>
      <c r="K364" s="44"/>
      <c r="L364" s="45">
        <f>M329+M332+M345+M352+M360+M363</f>
        <v>2526.33</v>
      </c>
      <c r="M364" s="45">
        <f>ROUND(L364,2)</f>
        <v>2526.33</v>
      </c>
    </row>
    <row r="365" spans="1:13" ht="15.5" customHeight="1" thickBot="1" x14ac:dyDescent="0.35">
      <c r="A365" s="46" t="s">
        <v>1094</v>
      </c>
      <c r="B365" s="46" t="s">
        <v>1095</v>
      </c>
      <c r="C365" s="47"/>
      <c r="D365" s="54" t="s">
        <v>1096</v>
      </c>
      <c r="E365" s="54"/>
      <c r="F365" s="54"/>
      <c r="G365" s="54"/>
      <c r="H365" s="54"/>
      <c r="I365" s="54"/>
      <c r="J365" s="54"/>
      <c r="K365" s="47"/>
      <c r="L365" s="48">
        <f>L416</f>
        <v>6138.46</v>
      </c>
      <c r="M365" s="48">
        <f>ROUND(L365,2)</f>
        <v>6138.46</v>
      </c>
    </row>
    <row r="366" spans="1:13" ht="15.5" customHeight="1" thickBot="1" x14ac:dyDescent="0.35">
      <c r="A366" s="17" t="s">
        <v>1097</v>
      </c>
      <c r="B366" s="17" t="s">
        <v>1098</v>
      </c>
      <c r="C366" s="18"/>
      <c r="D366" s="55" t="s">
        <v>1099</v>
      </c>
      <c r="E366" s="55"/>
      <c r="F366" s="55"/>
      <c r="G366" s="55"/>
      <c r="H366" s="55"/>
      <c r="I366" s="55"/>
      <c r="J366" s="55"/>
      <c r="K366" s="18"/>
      <c r="L366" s="19">
        <f>L370</f>
        <v>950</v>
      </c>
      <c r="M366" s="19">
        <f>ROUND(L366,2)</f>
        <v>950</v>
      </c>
    </row>
    <row r="367" spans="1:13" ht="15.5" customHeight="1" thickBot="1" x14ac:dyDescent="0.35">
      <c r="A367" s="10" t="s">
        <v>1100</v>
      </c>
      <c r="B367" s="5" t="s">
        <v>1101</v>
      </c>
      <c r="C367" s="5" t="s">
        <v>1102</v>
      </c>
      <c r="D367" s="52" t="s">
        <v>1103</v>
      </c>
      <c r="E367" s="52"/>
      <c r="F367" s="52"/>
      <c r="G367" s="52"/>
      <c r="H367" s="52"/>
      <c r="I367" s="52"/>
      <c r="J367" s="52"/>
      <c r="K367" s="20">
        <f>ROUND(1,2)</f>
        <v>1</v>
      </c>
      <c r="L367" s="21">
        <f>ROUND(242.718*(1+M2/100),2)</f>
        <v>250</v>
      </c>
      <c r="M367" s="21">
        <f>ROUND(K367*L367,2)</f>
        <v>250</v>
      </c>
    </row>
    <row r="368" spans="1:13" ht="15.5" customHeight="1" thickBot="1" x14ac:dyDescent="0.35">
      <c r="A368" s="10" t="s">
        <v>1104</v>
      </c>
      <c r="B368" s="5" t="s">
        <v>1105</v>
      </c>
      <c r="C368" s="5" t="s">
        <v>1106</v>
      </c>
      <c r="D368" s="52" t="s">
        <v>1107</v>
      </c>
      <c r="E368" s="52"/>
      <c r="F368" s="52"/>
      <c r="G368" s="52"/>
      <c r="H368" s="52"/>
      <c r="I368" s="52"/>
      <c r="J368" s="52"/>
      <c r="K368" s="20">
        <f>ROUND(2,2)</f>
        <v>2</v>
      </c>
      <c r="L368" s="21">
        <f>ROUND(242.718*(1+M2/100),2)</f>
        <v>250</v>
      </c>
      <c r="M368" s="21">
        <f>ROUND(K368*L368,2)</f>
        <v>500</v>
      </c>
    </row>
    <row r="369" spans="1:13" ht="15.5" customHeight="1" thickBot="1" x14ac:dyDescent="0.35">
      <c r="A369" s="10" t="s">
        <v>1108</v>
      </c>
      <c r="B369" s="5" t="s">
        <v>1109</v>
      </c>
      <c r="C369" s="5" t="s">
        <v>1110</v>
      </c>
      <c r="D369" s="52" t="s">
        <v>1111</v>
      </c>
      <c r="E369" s="52"/>
      <c r="F369" s="52"/>
      <c r="G369" s="52"/>
      <c r="H369" s="52"/>
      <c r="I369" s="52"/>
      <c r="J369" s="52"/>
      <c r="K369" s="20">
        <f>ROUND(1,2)</f>
        <v>1</v>
      </c>
      <c r="L369" s="21">
        <f>ROUND(194.175*(1+M2/100),2)</f>
        <v>200</v>
      </c>
      <c r="M369" s="21">
        <f>ROUND(K369*L369,2)</f>
        <v>200</v>
      </c>
    </row>
    <row r="370" spans="1:13" ht="15.5" customHeight="1" thickBot="1" x14ac:dyDescent="0.35">
      <c r="A370" s="22"/>
      <c r="B370" s="22"/>
      <c r="C370" s="22"/>
      <c r="D370" s="23" t="s">
        <v>1112</v>
      </c>
      <c r="E370" s="24"/>
      <c r="F370" s="24"/>
      <c r="G370" s="24"/>
      <c r="H370" s="24"/>
      <c r="I370" s="24"/>
      <c r="J370" s="24"/>
      <c r="K370" s="24"/>
      <c r="L370" s="25">
        <f>M367+M368+M369</f>
        <v>950</v>
      </c>
      <c r="M370" s="25">
        <f>ROUND(L370,2)</f>
        <v>950</v>
      </c>
    </row>
    <row r="371" spans="1:13" ht="15.5" customHeight="1" thickBot="1" x14ac:dyDescent="0.35">
      <c r="A371" s="26" t="s">
        <v>1113</v>
      </c>
      <c r="B371" s="26" t="s">
        <v>1114</v>
      </c>
      <c r="C371" s="27"/>
      <c r="D371" s="53" t="s">
        <v>1115</v>
      </c>
      <c r="E371" s="53"/>
      <c r="F371" s="53"/>
      <c r="G371" s="53"/>
      <c r="H371" s="53"/>
      <c r="I371" s="53"/>
      <c r="J371" s="53"/>
      <c r="K371" s="27"/>
      <c r="L371" s="28">
        <f>L377</f>
        <v>2421.4799999999996</v>
      </c>
      <c r="M371" s="28">
        <f>ROUND(L371,2)</f>
        <v>2421.48</v>
      </c>
    </row>
    <row r="372" spans="1:13" ht="15.5" customHeight="1" thickBot="1" x14ac:dyDescent="0.35">
      <c r="A372" s="10" t="s">
        <v>1116</v>
      </c>
      <c r="B372" s="5" t="s">
        <v>1117</v>
      </c>
      <c r="C372" s="5" t="s">
        <v>1118</v>
      </c>
      <c r="D372" s="52" t="s">
        <v>1119</v>
      </c>
      <c r="E372" s="52"/>
      <c r="F372" s="52"/>
      <c r="G372" s="52"/>
      <c r="H372" s="52"/>
      <c r="I372" s="52"/>
      <c r="J372" s="52"/>
      <c r="K372" s="20">
        <f>ROUND(1,2)</f>
        <v>1</v>
      </c>
      <c r="L372" s="21">
        <f>ROUND(883.28*(1+M2/100),2)</f>
        <v>909.78</v>
      </c>
      <c r="M372" s="21">
        <f>ROUND(K372*L372,2)</f>
        <v>909.78</v>
      </c>
    </row>
    <row r="373" spans="1:13" ht="15.5" customHeight="1" thickBot="1" x14ac:dyDescent="0.35">
      <c r="A373" s="10" t="s">
        <v>1120</v>
      </c>
      <c r="B373" s="5" t="s">
        <v>1121</v>
      </c>
      <c r="C373" s="5" t="s">
        <v>1122</v>
      </c>
      <c r="D373" s="52" t="s">
        <v>1123</v>
      </c>
      <c r="E373" s="52"/>
      <c r="F373" s="52"/>
      <c r="G373" s="52"/>
      <c r="H373" s="52"/>
      <c r="I373" s="52"/>
      <c r="J373" s="52"/>
      <c r="K373" s="20">
        <f>ROUND(1,2)</f>
        <v>1</v>
      </c>
      <c r="L373" s="21">
        <f>ROUND(240.86*(1+M2/100),2)</f>
        <v>248.09</v>
      </c>
      <c r="M373" s="21">
        <f>ROUND(K373*L373,2)</f>
        <v>248.09</v>
      </c>
    </row>
    <row r="374" spans="1:13" ht="15.5" customHeight="1" thickBot="1" x14ac:dyDescent="0.35">
      <c r="A374" s="10" t="s">
        <v>1124</v>
      </c>
      <c r="B374" s="5" t="s">
        <v>1125</v>
      </c>
      <c r="C374" s="5" t="s">
        <v>1126</v>
      </c>
      <c r="D374" s="52" t="s">
        <v>1127</v>
      </c>
      <c r="E374" s="52"/>
      <c r="F374" s="52"/>
      <c r="G374" s="52"/>
      <c r="H374" s="52"/>
      <c r="I374" s="52"/>
      <c r="J374" s="52"/>
      <c r="K374" s="20">
        <f>ROUND(1,2)</f>
        <v>1</v>
      </c>
      <c r="L374" s="21">
        <f>ROUND(417.05*(1+M2/100),2)</f>
        <v>429.56</v>
      </c>
      <c r="M374" s="21">
        <f>ROUND(K374*L374,2)</f>
        <v>429.56</v>
      </c>
    </row>
    <row r="375" spans="1:13" ht="15.5" customHeight="1" thickBot="1" x14ac:dyDescent="0.35">
      <c r="A375" s="10" t="s">
        <v>1128</v>
      </c>
      <c r="B375" s="5" t="s">
        <v>1129</v>
      </c>
      <c r="C375" s="5" t="s">
        <v>1130</v>
      </c>
      <c r="D375" s="52" t="s">
        <v>1131</v>
      </c>
      <c r="E375" s="52"/>
      <c r="F375" s="52"/>
      <c r="G375" s="52"/>
      <c r="H375" s="52"/>
      <c r="I375" s="52"/>
      <c r="J375" s="52"/>
      <c r="K375" s="20">
        <f>ROUND(1,2)</f>
        <v>1</v>
      </c>
      <c r="L375" s="21">
        <f>ROUND(417.05*(1+M2/100),2)</f>
        <v>429.56</v>
      </c>
      <c r="M375" s="21">
        <f>ROUND(K375*L375,2)</f>
        <v>429.56</v>
      </c>
    </row>
    <row r="376" spans="1:13" ht="15.5" customHeight="1" thickBot="1" x14ac:dyDescent="0.35">
      <c r="A376" s="10" t="s">
        <v>1132</v>
      </c>
      <c r="B376" s="5" t="s">
        <v>1133</v>
      </c>
      <c r="C376" s="5" t="s">
        <v>1134</v>
      </c>
      <c r="D376" s="52" t="s">
        <v>1135</v>
      </c>
      <c r="E376" s="52"/>
      <c r="F376" s="52"/>
      <c r="G376" s="52"/>
      <c r="H376" s="52"/>
      <c r="I376" s="52"/>
      <c r="J376" s="52"/>
      <c r="K376" s="20">
        <f>ROUND(1,2)</f>
        <v>1</v>
      </c>
      <c r="L376" s="21">
        <f>ROUND(392.71*(1+M2/100),2)</f>
        <v>404.49</v>
      </c>
      <c r="M376" s="21">
        <f>ROUND(K376*L376,2)</f>
        <v>404.49</v>
      </c>
    </row>
    <row r="377" spans="1:13" ht="15.5" customHeight="1" thickBot="1" x14ac:dyDescent="0.35">
      <c r="A377" s="22"/>
      <c r="B377" s="22"/>
      <c r="C377" s="22"/>
      <c r="D377" s="23" t="s">
        <v>1136</v>
      </c>
      <c r="E377" s="24"/>
      <c r="F377" s="24"/>
      <c r="G377" s="24"/>
      <c r="H377" s="24"/>
      <c r="I377" s="24"/>
      <c r="J377" s="24"/>
      <c r="K377" s="24"/>
      <c r="L377" s="25">
        <f>M372+M373+M374+M375+M376</f>
        <v>2421.4799999999996</v>
      </c>
      <c r="M377" s="25">
        <f>ROUND(L377,2)</f>
        <v>2421.48</v>
      </c>
    </row>
    <row r="378" spans="1:13" ht="15.5" customHeight="1" thickBot="1" x14ac:dyDescent="0.35">
      <c r="A378" s="26" t="s">
        <v>1137</v>
      </c>
      <c r="B378" s="26" t="s">
        <v>1138</v>
      </c>
      <c r="C378" s="27"/>
      <c r="D378" s="53" t="s">
        <v>1139</v>
      </c>
      <c r="E378" s="53"/>
      <c r="F378" s="53"/>
      <c r="G378" s="53"/>
      <c r="H378" s="53"/>
      <c r="I378" s="53"/>
      <c r="J378" s="53"/>
      <c r="K378" s="27"/>
      <c r="L378" s="28">
        <f>L392</f>
        <v>1801.7199999999998</v>
      </c>
      <c r="M378" s="28">
        <f>ROUND(L378,2)</f>
        <v>1801.72</v>
      </c>
    </row>
    <row r="379" spans="1:13" ht="40.25" customHeight="1" thickBot="1" x14ac:dyDescent="0.35">
      <c r="A379" s="10" t="s">
        <v>1140</v>
      </c>
      <c r="B379" s="5" t="s">
        <v>1141</v>
      </c>
      <c r="C379" s="5" t="s">
        <v>1142</v>
      </c>
      <c r="D379" s="52" t="s">
        <v>1143</v>
      </c>
      <c r="E379" s="52"/>
      <c r="F379" s="52"/>
      <c r="G379" s="52"/>
      <c r="H379" s="52"/>
      <c r="I379" s="52"/>
      <c r="J379" s="52"/>
      <c r="K379" s="20">
        <f>SUM(K381:K381)</f>
        <v>60</v>
      </c>
      <c r="L379" s="21">
        <f>ROUND(7.99*(1+M2/100),2)</f>
        <v>8.23</v>
      </c>
      <c r="M379" s="21">
        <f>ROUND(K379*L379,2)</f>
        <v>493.8</v>
      </c>
    </row>
    <row r="380" spans="1:13" ht="15.25" customHeight="1" thickBot="1" x14ac:dyDescent="0.35">
      <c r="A380" s="29"/>
      <c r="B380" s="29"/>
      <c r="C380" s="29"/>
      <c r="D380" s="29"/>
      <c r="E380" s="30"/>
      <c r="F380" s="32" t="s">
        <v>1144</v>
      </c>
      <c r="G380" s="32" t="s">
        <v>1145</v>
      </c>
      <c r="H380" s="32" t="s">
        <v>1146</v>
      </c>
      <c r="I380" s="32" t="s">
        <v>1147</v>
      </c>
      <c r="J380" s="32" t="s">
        <v>1148</v>
      </c>
      <c r="K380" s="32" t="s">
        <v>1149</v>
      </c>
      <c r="L380" s="29"/>
      <c r="M380" s="29"/>
    </row>
    <row r="381" spans="1:13" ht="30.9" customHeight="1" thickBot="1" x14ac:dyDescent="0.35">
      <c r="A381" s="29"/>
      <c r="B381" s="29"/>
      <c r="C381" s="29"/>
      <c r="D381" s="33"/>
      <c r="E381" s="34" t="s">
        <v>1150</v>
      </c>
      <c r="F381" s="35"/>
      <c r="G381" s="36">
        <v>60</v>
      </c>
      <c r="H381" s="36"/>
      <c r="I381" s="36"/>
      <c r="J381" s="38">
        <f>ROUND(G381,3)</f>
        <v>60</v>
      </c>
      <c r="K381" s="40">
        <f>SUM(J381:J381)</f>
        <v>60</v>
      </c>
      <c r="L381" s="29"/>
      <c r="M381" s="29"/>
    </row>
    <row r="382" spans="1:13" ht="15.5" customHeight="1" thickBot="1" x14ac:dyDescent="0.35">
      <c r="A382" s="10" t="s">
        <v>1151</v>
      </c>
      <c r="B382" s="5" t="s">
        <v>1152</v>
      </c>
      <c r="C382" s="5" t="s">
        <v>1153</v>
      </c>
      <c r="D382" s="52" t="s">
        <v>1154</v>
      </c>
      <c r="E382" s="52"/>
      <c r="F382" s="52"/>
      <c r="G382" s="52"/>
      <c r="H382" s="52"/>
      <c r="I382" s="52"/>
      <c r="J382" s="52"/>
      <c r="K382" s="20">
        <f>ROUND(8,2)</f>
        <v>8</v>
      </c>
      <c r="L382" s="21">
        <f>ROUND(54.796*(1+M2/100),2)</f>
        <v>56.44</v>
      </c>
      <c r="M382" s="21">
        <f>ROUND(K382*L382,2)</f>
        <v>451.52</v>
      </c>
    </row>
    <row r="383" spans="1:13" ht="30.9" customHeight="1" thickBot="1" x14ac:dyDescent="0.35">
      <c r="A383" s="10" t="s">
        <v>1155</v>
      </c>
      <c r="B383" s="5" t="s">
        <v>1156</v>
      </c>
      <c r="C383" s="5" t="s">
        <v>1157</v>
      </c>
      <c r="D383" s="52" t="s">
        <v>1158</v>
      </c>
      <c r="E383" s="52"/>
      <c r="F383" s="52"/>
      <c r="G383" s="52"/>
      <c r="H383" s="52"/>
      <c r="I383" s="52"/>
      <c r="J383" s="52"/>
      <c r="K383" s="20">
        <f>SUM(K385:K386)</f>
        <v>85</v>
      </c>
      <c r="L383" s="21">
        <f>ROUND(5.32*(1+M2/100),2)</f>
        <v>5.48</v>
      </c>
      <c r="M383" s="21">
        <f>ROUND(K383*L383,2)</f>
        <v>465.8</v>
      </c>
    </row>
    <row r="384" spans="1:13" ht="15.25" customHeight="1" thickBot="1" x14ac:dyDescent="0.35">
      <c r="A384" s="29"/>
      <c r="B384" s="29"/>
      <c r="C384" s="29"/>
      <c r="D384" s="29"/>
      <c r="E384" s="30"/>
      <c r="F384" s="32" t="s">
        <v>1159</v>
      </c>
      <c r="G384" s="32" t="s">
        <v>1160</v>
      </c>
      <c r="H384" s="32" t="s">
        <v>1161</v>
      </c>
      <c r="I384" s="32" t="s">
        <v>1162</v>
      </c>
      <c r="J384" s="32" t="s">
        <v>1163</v>
      </c>
      <c r="K384" s="32" t="s">
        <v>1164</v>
      </c>
      <c r="L384" s="29"/>
      <c r="M384" s="29"/>
    </row>
    <row r="385" spans="1:13" ht="21.65" customHeight="1" thickBot="1" x14ac:dyDescent="0.35">
      <c r="A385" s="29"/>
      <c r="B385" s="29"/>
      <c r="C385" s="29"/>
      <c r="D385" s="33"/>
      <c r="E385" s="34" t="s">
        <v>1165</v>
      </c>
      <c r="F385" s="35"/>
      <c r="G385" s="36">
        <v>40</v>
      </c>
      <c r="H385" s="36"/>
      <c r="I385" s="36"/>
      <c r="J385" s="38">
        <f>ROUND(G385,3)</f>
        <v>40</v>
      </c>
      <c r="K385" s="41"/>
      <c r="L385" s="29"/>
      <c r="M385" s="29"/>
    </row>
    <row r="386" spans="1:13" ht="21.65" customHeight="1" thickBot="1" x14ac:dyDescent="0.35">
      <c r="A386" s="29"/>
      <c r="B386" s="29"/>
      <c r="C386" s="29"/>
      <c r="D386" s="33"/>
      <c r="E386" s="5" t="s">
        <v>1166</v>
      </c>
      <c r="F386" s="3"/>
      <c r="G386" s="20">
        <v>45</v>
      </c>
      <c r="H386" s="20"/>
      <c r="I386" s="20"/>
      <c r="J386" s="37">
        <f>ROUND(G386,3)</f>
        <v>45</v>
      </c>
      <c r="K386" s="39">
        <f>SUM(J385:J386)</f>
        <v>85</v>
      </c>
      <c r="L386" s="29"/>
      <c r="M386" s="29"/>
    </row>
    <row r="387" spans="1:13" ht="30.9" customHeight="1" thickBot="1" x14ac:dyDescent="0.35">
      <c r="A387" s="10" t="s">
        <v>1167</v>
      </c>
      <c r="B387" s="5" t="s">
        <v>1168</v>
      </c>
      <c r="C387" s="5" t="s">
        <v>1169</v>
      </c>
      <c r="D387" s="52" t="s">
        <v>1170</v>
      </c>
      <c r="E387" s="52"/>
      <c r="F387" s="52"/>
      <c r="G387" s="52"/>
      <c r="H387" s="52"/>
      <c r="I387" s="52"/>
      <c r="J387" s="52"/>
      <c r="K387" s="20">
        <f>SUM(K389:K389)</f>
        <v>20</v>
      </c>
      <c r="L387" s="21">
        <f>ROUND(4.4*(1+M2/100),2)</f>
        <v>4.53</v>
      </c>
      <c r="M387" s="21">
        <f>ROUND(K387*L387,2)</f>
        <v>90.6</v>
      </c>
    </row>
    <row r="388" spans="1:13" ht="15.25" customHeight="1" thickBot="1" x14ac:dyDescent="0.35">
      <c r="A388" s="29"/>
      <c r="B388" s="29"/>
      <c r="C388" s="29"/>
      <c r="D388" s="29"/>
      <c r="E388" s="30"/>
      <c r="F388" s="32" t="s">
        <v>1171</v>
      </c>
      <c r="G388" s="32" t="s">
        <v>1172</v>
      </c>
      <c r="H388" s="32" t="s">
        <v>1173</v>
      </c>
      <c r="I388" s="32" t="s">
        <v>1174</v>
      </c>
      <c r="J388" s="32" t="s">
        <v>1175</v>
      </c>
      <c r="K388" s="32" t="s">
        <v>1176</v>
      </c>
      <c r="L388" s="29"/>
      <c r="M388" s="29"/>
    </row>
    <row r="389" spans="1:13" ht="21.65" customHeight="1" thickBot="1" x14ac:dyDescent="0.35">
      <c r="A389" s="29"/>
      <c r="B389" s="29"/>
      <c r="C389" s="29"/>
      <c r="D389" s="33"/>
      <c r="E389" s="34" t="s">
        <v>1177</v>
      </c>
      <c r="F389" s="35"/>
      <c r="G389" s="36">
        <v>20</v>
      </c>
      <c r="H389" s="36"/>
      <c r="I389" s="36"/>
      <c r="J389" s="38">
        <f>ROUND(G389,3)</f>
        <v>20</v>
      </c>
      <c r="K389" s="40">
        <f>SUM(J389:J389)</f>
        <v>20</v>
      </c>
      <c r="L389" s="29"/>
      <c r="M389" s="29"/>
    </row>
    <row r="390" spans="1:13" ht="15.5" customHeight="1" thickBot="1" x14ac:dyDescent="0.35">
      <c r="A390" s="10" t="s">
        <v>1178</v>
      </c>
      <c r="B390" s="5" t="s">
        <v>1179</v>
      </c>
      <c r="C390" s="5" t="s">
        <v>1180</v>
      </c>
      <c r="D390" s="52" t="s">
        <v>1181</v>
      </c>
      <c r="E390" s="52"/>
      <c r="F390" s="52"/>
      <c r="G390" s="52"/>
      <c r="H390" s="52"/>
      <c r="I390" s="52"/>
      <c r="J390" s="52"/>
      <c r="K390" s="20">
        <f>ROUND(1,2)</f>
        <v>1</v>
      </c>
      <c r="L390" s="21">
        <f>ROUND(145.631*(1+M2/100),2)</f>
        <v>150</v>
      </c>
      <c r="M390" s="21">
        <f>ROUND(K390*L390,2)</f>
        <v>150</v>
      </c>
    </row>
    <row r="391" spans="1:13" ht="21.65" customHeight="1" thickBot="1" x14ac:dyDescent="0.35">
      <c r="A391" s="10" t="s">
        <v>1182</v>
      </c>
      <c r="B391" s="5" t="s">
        <v>1183</v>
      </c>
      <c r="C391" s="5" t="s">
        <v>1184</v>
      </c>
      <c r="D391" s="52" t="s">
        <v>1185</v>
      </c>
      <c r="E391" s="52"/>
      <c r="F391" s="52"/>
      <c r="G391" s="52"/>
      <c r="H391" s="52"/>
      <c r="I391" s="52"/>
      <c r="J391" s="52"/>
      <c r="K391" s="20">
        <f>ROUND(1,2)</f>
        <v>1</v>
      </c>
      <c r="L391" s="21">
        <f>ROUND(145.631*(1+M2/100),2)</f>
        <v>150</v>
      </c>
      <c r="M391" s="21">
        <f>ROUND(K391*L391,2)</f>
        <v>150</v>
      </c>
    </row>
    <row r="392" spans="1:13" ht="15.5" customHeight="1" thickBot="1" x14ac:dyDescent="0.35">
      <c r="A392" s="22"/>
      <c r="B392" s="22"/>
      <c r="C392" s="22"/>
      <c r="D392" s="23" t="s">
        <v>1186</v>
      </c>
      <c r="E392" s="24"/>
      <c r="F392" s="24"/>
      <c r="G392" s="24"/>
      <c r="H392" s="24"/>
      <c r="I392" s="24"/>
      <c r="J392" s="24"/>
      <c r="K392" s="24"/>
      <c r="L392" s="25">
        <f>M379+M382+M383+M387+M390+M391</f>
        <v>1801.7199999999998</v>
      </c>
      <c r="M392" s="25">
        <f>ROUND(L392,2)</f>
        <v>1801.72</v>
      </c>
    </row>
    <row r="393" spans="1:13" ht="15.5" customHeight="1" thickBot="1" x14ac:dyDescent="0.35">
      <c r="A393" s="26" t="s">
        <v>1187</v>
      </c>
      <c r="B393" s="26" t="s">
        <v>1188</v>
      </c>
      <c r="C393" s="27"/>
      <c r="D393" s="53" t="s">
        <v>1189</v>
      </c>
      <c r="E393" s="53"/>
      <c r="F393" s="53"/>
      <c r="G393" s="53"/>
      <c r="H393" s="53"/>
      <c r="I393" s="53"/>
      <c r="J393" s="53"/>
      <c r="K393" s="27"/>
      <c r="L393" s="28">
        <f>L398</f>
        <v>200.94</v>
      </c>
      <c r="M393" s="28">
        <f>ROUND(L393,2)</f>
        <v>200.94</v>
      </c>
    </row>
    <row r="394" spans="1:13" ht="15.5" customHeight="1" thickBot="1" x14ac:dyDescent="0.35">
      <c r="A394" s="10" t="s">
        <v>1190</v>
      </c>
      <c r="B394" s="5" t="s">
        <v>1191</v>
      </c>
      <c r="C394" s="5" t="s">
        <v>1192</v>
      </c>
      <c r="D394" s="52" t="s">
        <v>1193</v>
      </c>
      <c r="E394" s="52"/>
      <c r="F394" s="52"/>
      <c r="G394" s="52"/>
      <c r="H394" s="52"/>
      <c r="I394" s="52"/>
      <c r="J394" s="52"/>
      <c r="K394" s="20">
        <f>SUM(K396:K396)</f>
        <v>3</v>
      </c>
      <c r="L394" s="21">
        <f>ROUND(58.67*(1+M2/100),2)</f>
        <v>60.43</v>
      </c>
      <c r="M394" s="21">
        <f>ROUND(K394*L394,2)</f>
        <v>181.29</v>
      </c>
    </row>
    <row r="395" spans="1:13" ht="15.25" customHeight="1" thickBot="1" x14ac:dyDescent="0.35">
      <c r="A395" s="29"/>
      <c r="B395" s="29"/>
      <c r="C395" s="29"/>
      <c r="D395" s="29"/>
      <c r="E395" s="30"/>
      <c r="F395" s="32" t="s">
        <v>1194</v>
      </c>
      <c r="G395" s="32" t="s">
        <v>1195</v>
      </c>
      <c r="H395" s="32" t="s">
        <v>1196</v>
      </c>
      <c r="I395" s="32" t="s">
        <v>1197</v>
      </c>
      <c r="J395" s="32" t="s">
        <v>1198</v>
      </c>
      <c r="K395" s="32" t="s">
        <v>1199</v>
      </c>
      <c r="L395" s="29"/>
      <c r="M395" s="29"/>
    </row>
    <row r="396" spans="1:13" ht="15.25" customHeight="1" thickBot="1" x14ac:dyDescent="0.35">
      <c r="A396" s="29"/>
      <c r="B396" s="29"/>
      <c r="C396" s="29"/>
      <c r="D396" s="33"/>
      <c r="E396" s="34" t="s">
        <v>1200</v>
      </c>
      <c r="F396" s="35">
        <v>3</v>
      </c>
      <c r="G396" s="36"/>
      <c r="H396" s="36"/>
      <c r="I396" s="36"/>
      <c r="J396" s="38">
        <f>ROUND(F396,3)</f>
        <v>3</v>
      </c>
      <c r="K396" s="40">
        <f>SUM(J396:J396)</f>
        <v>3</v>
      </c>
      <c r="L396" s="29"/>
      <c r="M396" s="29"/>
    </row>
    <row r="397" spans="1:13" ht="15.5" customHeight="1" thickBot="1" x14ac:dyDescent="0.35">
      <c r="A397" s="10" t="s">
        <v>1201</v>
      </c>
      <c r="B397" s="5" t="s">
        <v>1202</v>
      </c>
      <c r="C397" s="5" t="s">
        <v>1203</v>
      </c>
      <c r="D397" s="52" t="s">
        <v>1204</v>
      </c>
      <c r="E397" s="52"/>
      <c r="F397" s="52"/>
      <c r="G397" s="52"/>
      <c r="H397" s="52"/>
      <c r="I397" s="52"/>
      <c r="J397" s="52"/>
      <c r="K397" s="20">
        <f>ROUND(1,2)</f>
        <v>1</v>
      </c>
      <c r="L397" s="21">
        <f>ROUND(19.08*(1+M2/100),2)</f>
        <v>19.649999999999999</v>
      </c>
      <c r="M397" s="21">
        <f>ROUND(K397*L397,2)</f>
        <v>19.649999999999999</v>
      </c>
    </row>
    <row r="398" spans="1:13" ht="15.5" customHeight="1" thickBot="1" x14ac:dyDescent="0.35">
      <c r="A398" s="22"/>
      <c r="B398" s="22"/>
      <c r="C398" s="22"/>
      <c r="D398" s="23" t="s">
        <v>1205</v>
      </c>
      <c r="E398" s="24"/>
      <c r="F398" s="24"/>
      <c r="G398" s="24"/>
      <c r="H398" s="24"/>
      <c r="I398" s="24"/>
      <c r="J398" s="24"/>
      <c r="K398" s="24"/>
      <c r="L398" s="25">
        <f>M394+M397</f>
        <v>200.94</v>
      </c>
      <c r="M398" s="25">
        <f>ROUND(L398,2)</f>
        <v>200.94</v>
      </c>
    </row>
    <row r="399" spans="1:13" ht="15.5" customHeight="1" thickBot="1" x14ac:dyDescent="0.35">
      <c r="A399" s="26" t="s">
        <v>1206</v>
      </c>
      <c r="B399" s="26" t="s">
        <v>1207</v>
      </c>
      <c r="C399" s="27"/>
      <c r="D399" s="53" t="s">
        <v>1208</v>
      </c>
      <c r="E399" s="53"/>
      <c r="F399" s="53"/>
      <c r="G399" s="53"/>
      <c r="H399" s="53"/>
      <c r="I399" s="53"/>
      <c r="J399" s="53"/>
      <c r="K399" s="27"/>
      <c r="L399" s="28">
        <f>L412</f>
        <v>640.71999999999991</v>
      </c>
      <c r="M399" s="28">
        <f>ROUND(L399,2)</f>
        <v>640.72</v>
      </c>
    </row>
    <row r="400" spans="1:13" ht="15.5" customHeight="1" thickBot="1" x14ac:dyDescent="0.35">
      <c r="A400" s="10" t="s">
        <v>1209</v>
      </c>
      <c r="B400" s="5" t="s">
        <v>1210</v>
      </c>
      <c r="C400" s="5" t="s">
        <v>1211</v>
      </c>
      <c r="D400" s="52" t="s">
        <v>1212</v>
      </c>
      <c r="E400" s="52"/>
      <c r="F400" s="52"/>
      <c r="G400" s="52"/>
      <c r="H400" s="52"/>
      <c r="I400" s="52"/>
      <c r="J400" s="52"/>
      <c r="K400" s="20">
        <f>SUM(K402:K402)</f>
        <v>4</v>
      </c>
      <c r="L400" s="21">
        <f>ROUND(16.88*(1+M2/100),2)</f>
        <v>17.39</v>
      </c>
      <c r="M400" s="21">
        <f>ROUND(K400*L400,2)</f>
        <v>69.56</v>
      </c>
    </row>
    <row r="401" spans="1:13" ht="15.25" customHeight="1" thickBot="1" x14ac:dyDescent="0.35">
      <c r="A401" s="29"/>
      <c r="B401" s="29"/>
      <c r="C401" s="29"/>
      <c r="D401" s="29"/>
      <c r="E401" s="30"/>
      <c r="F401" s="32" t="s">
        <v>1213</v>
      </c>
      <c r="G401" s="32" t="s">
        <v>1214</v>
      </c>
      <c r="H401" s="32" t="s">
        <v>1215</v>
      </c>
      <c r="I401" s="32" t="s">
        <v>1216</v>
      </c>
      <c r="J401" s="32" t="s">
        <v>1217</v>
      </c>
      <c r="K401" s="32" t="s">
        <v>1218</v>
      </c>
      <c r="L401" s="29"/>
      <c r="M401" s="29"/>
    </row>
    <row r="402" spans="1:13" ht="15.25" customHeight="1" thickBot="1" x14ac:dyDescent="0.35">
      <c r="A402" s="29"/>
      <c r="B402" s="29"/>
      <c r="C402" s="29"/>
      <c r="D402" s="33"/>
      <c r="E402" s="34" t="s">
        <v>1219</v>
      </c>
      <c r="F402" s="35">
        <v>4</v>
      </c>
      <c r="G402" s="36"/>
      <c r="H402" s="36"/>
      <c r="I402" s="36"/>
      <c r="J402" s="38">
        <f>ROUND(F402,3)</f>
        <v>4</v>
      </c>
      <c r="K402" s="40">
        <f>SUM(J402:J402)</f>
        <v>4</v>
      </c>
      <c r="L402" s="29"/>
      <c r="M402" s="29"/>
    </row>
    <row r="403" spans="1:13" ht="15.5" customHeight="1" thickBot="1" x14ac:dyDescent="0.35">
      <c r="A403" s="10" t="s">
        <v>1220</v>
      </c>
      <c r="B403" s="5" t="s">
        <v>1221</v>
      </c>
      <c r="C403" s="5" t="s">
        <v>1222</v>
      </c>
      <c r="D403" s="52" t="s">
        <v>1223</v>
      </c>
      <c r="E403" s="52"/>
      <c r="F403" s="52"/>
      <c r="G403" s="52"/>
      <c r="H403" s="52"/>
      <c r="I403" s="52"/>
      <c r="J403" s="52"/>
      <c r="K403" s="20">
        <f>SUM(K405:K408)</f>
        <v>8</v>
      </c>
      <c r="L403" s="21">
        <f>ROUND(63.45*(1+M2/100),2)</f>
        <v>65.349999999999994</v>
      </c>
      <c r="M403" s="21">
        <f>ROUND(K403*L403,2)</f>
        <v>522.79999999999995</v>
      </c>
    </row>
    <row r="404" spans="1:13" ht="15.25" customHeight="1" thickBot="1" x14ac:dyDescent="0.35">
      <c r="A404" s="29"/>
      <c r="B404" s="29"/>
      <c r="C404" s="29"/>
      <c r="D404" s="29"/>
      <c r="E404" s="30"/>
      <c r="F404" s="32" t="s">
        <v>1224</v>
      </c>
      <c r="G404" s="32" t="s">
        <v>1225</v>
      </c>
      <c r="H404" s="32" t="s">
        <v>1226</v>
      </c>
      <c r="I404" s="32" t="s">
        <v>1227</v>
      </c>
      <c r="J404" s="32" t="s">
        <v>1228</v>
      </c>
      <c r="K404" s="32" t="s">
        <v>1229</v>
      </c>
      <c r="L404" s="29"/>
      <c r="M404" s="29"/>
    </row>
    <row r="405" spans="1:13" ht="15.25" customHeight="1" thickBot="1" x14ac:dyDescent="0.35">
      <c r="A405" s="29"/>
      <c r="B405" s="29"/>
      <c r="C405" s="29"/>
      <c r="D405" s="33"/>
      <c r="E405" s="34" t="s">
        <v>1230</v>
      </c>
      <c r="F405" s="35">
        <v>2</v>
      </c>
      <c r="G405" s="36"/>
      <c r="H405" s="36"/>
      <c r="I405" s="36"/>
      <c r="J405" s="38">
        <f>ROUND(F405,3)</f>
        <v>2</v>
      </c>
      <c r="K405" s="41"/>
      <c r="L405" s="29"/>
      <c r="M405" s="29"/>
    </row>
    <row r="406" spans="1:13" ht="15.25" customHeight="1" thickBot="1" x14ac:dyDescent="0.35">
      <c r="A406" s="29"/>
      <c r="B406" s="29"/>
      <c r="C406" s="29"/>
      <c r="D406" s="33"/>
      <c r="E406" s="5" t="s">
        <v>1231</v>
      </c>
      <c r="F406" s="3">
        <v>2</v>
      </c>
      <c r="G406" s="20"/>
      <c r="H406" s="20"/>
      <c r="I406" s="20"/>
      <c r="J406" s="37">
        <f>ROUND(F406,3)</f>
        <v>2</v>
      </c>
      <c r="K406" s="29"/>
      <c r="L406" s="29"/>
      <c r="M406" s="29"/>
    </row>
    <row r="407" spans="1:13" ht="15.25" customHeight="1" thickBot="1" x14ac:dyDescent="0.35">
      <c r="A407" s="29"/>
      <c r="B407" s="29"/>
      <c r="C407" s="29"/>
      <c r="D407" s="33"/>
      <c r="E407" s="5" t="s">
        <v>1232</v>
      </c>
      <c r="F407" s="3">
        <v>2</v>
      </c>
      <c r="G407" s="20"/>
      <c r="H407" s="20"/>
      <c r="I407" s="20"/>
      <c r="J407" s="37">
        <f>ROUND(F407,3)</f>
        <v>2</v>
      </c>
      <c r="K407" s="29"/>
      <c r="L407" s="29"/>
      <c r="M407" s="29"/>
    </row>
    <row r="408" spans="1:13" ht="15.25" customHeight="1" thickBot="1" x14ac:dyDescent="0.35">
      <c r="A408" s="29"/>
      <c r="B408" s="29"/>
      <c r="C408" s="29"/>
      <c r="D408" s="33"/>
      <c r="E408" s="5" t="s">
        <v>1233</v>
      </c>
      <c r="F408" s="3">
        <v>2</v>
      </c>
      <c r="G408" s="20"/>
      <c r="H408" s="20"/>
      <c r="I408" s="20"/>
      <c r="J408" s="37">
        <f>ROUND(F408,3)</f>
        <v>2</v>
      </c>
      <c r="K408" s="39">
        <f>SUM(J405:J408)</f>
        <v>8</v>
      </c>
      <c r="L408" s="29"/>
      <c r="M408" s="29"/>
    </row>
    <row r="409" spans="1:13" ht="15.5" customHeight="1" thickBot="1" x14ac:dyDescent="0.35">
      <c r="A409" s="10" t="s">
        <v>1234</v>
      </c>
      <c r="B409" s="5" t="s">
        <v>1235</v>
      </c>
      <c r="C409" s="5" t="s">
        <v>1236</v>
      </c>
      <c r="D409" s="52" t="s">
        <v>1237</v>
      </c>
      <c r="E409" s="52"/>
      <c r="F409" s="52"/>
      <c r="G409" s="52"/>
      <c r="H409" s="52"/>
      <c r="I409" s="52"/>
      <c r="J409" s="52"/>
      <c r="K409" s="20">
        <f>SUM(K411:K411)</f>
        <v>1</v>
      </c>
      <c r="L409" s="21">
        <f>ROUND(46.95*(1+M2/100),2)</f>
        <v>48.36</v>
      </c>
      <c r="M409" s="21">
        <f>ROUND(K409*L409,2)</f>
        <v>48.36</v>
      </c>
    </row>
    <row r="410" spans="1:13" ht="15.25" customHeight="1" thickBot="1" x14ac:dyDescent="0.35">
      <c r="A410" s="29"/>
      <c r="B410" s="29"/>
      <c r="C410" s="29"/>
      <c r="D410" s="29"/>
      <c r="E410" s="30"/>
      <c r="F410" s="32" t="s">
        <v>1238</v>
      </c>
      <c r="G410" s="32" t="s">
        <v>1239</v>
      </c>
      <c r="H410" s="32" t="s">
        <v>1240</v>
      </c>
      <c r="I410" s="32" t="s">
        <v>1241</v>
      </c>
      <c r="J410" s="32" t="s">
        <v>1242</v>
      </c>
      <c r="K410" s="32" t="s">
        <v>1243</v>
      </c>
      <c r="L410" s="29"/>
      <c r="M410" s="29"/>
    </row>
    <row r="411" spans="1:13" ht="15.25" customHeight="1" thickBot="1" x14ac:dyDescent="0.35">
      <c r="A411" s="29"/>
      <c r="B411" s="29"/>
      <c r="C411" s="29"/>
      <c r="D411" s="33"/>
      <c r="E411" s="34" t="s">
        <v>1244</v>
      </c>
      <c r="F411" s="35">
        <v>1</v>
      </c>
      <c r="G411" s="36"/>
      <c r="H411" s="36"/>
      <c r="I411" s="36"/>
      <c r="J411" s="38">
        <f>ROUND(F411,3)</f>
        <v>1</v>
      </c>
      <c r="K411" s="40">
        <f>SUM(J411:J411)</f>
        <v>1</v>
      </c>
      <c r="L411" s="29"/>
      <c r="M411" s="29"/>
    </row>
    <row r="412" spans="1:13" ht="15.5" customHeight="1" thickBot="1" x14ac:dyDescent="0.35">
      <c r="A412" s="22"/>
      <c r="B412" s="22"/>
      <c r="C412" s="22"/>
      <c r="D412" s="23" t="s">
        <v>1245</v>
      </c>
      <c r="E412" s="24"/>
      <c r="F412" s="24"/>
      <c r="G412" s="24"/>
      <c r="H412" s="24"/>
      <c r="I412" s="24"/>
      <c r="J412" s="24"/>
      <c r="K412" s="24"/>
      <c r="L412" s="25">
        <f>M400+M403+M409</f>
        <v>640.71999999999991</v>
      </c>
      <c r="M412" s="25">
        <f>ROUND(L412,2)</f>
        <v>640.72</v>
      </c>
    </row>
    <row r="413" spans="1:13" ht="15.5" customHeight="1" thickBot="1" x14ac:dyDescent="0.35">
      <c r="A413" s="26" t="s">
        <v>1246</v>
      </c>
      <c r="B413" s="26" t="s">
        <v>1247</v>
      </c>
      <c r="C413" s="27"/>
      <c r="D413" s="53" t="s">
        <v>1248</v>
      </c>
      <c r="E413" s="53"/>
      <c r="F413" s="53"/>
      <c r="G413" s="53"/>
      <c r="H413" s="53"/>
      <c r="I413" s="53"/>
      <c r="J413" s="53"/>
      <c r="K413" s="27"/>
      <c r="L413" s="28">
        <f>L415</f>
        <v>123.6</v>
      </c>
      <c r="M413" s="28">
        <f>ROUND(L413,2)</f>
        <v>123.6</v>
      </c>
    </row>
    <row r="414" spans="1:13" ht="15.5" customHeight="1" thickBot="1" x14ac:dyDescent="0.35">
      <c r="A414" s="10" t="s">
        <v>1249</v>
      </c>
      <c r="B414" s="5" t="s">
        <v>1250</v>
      </c>
      <c r="C414" s="5" t="s">
        <v>1251</v>
      </c>
      <c r="D414" s="52" t="s">
        <v>1252</v>
      </c>
      <c r="E414" s="52"/>
      <c r="F414" s="52"/>
      <c r="G414" s="52"/>
      <c r="H414" s="52"/>
      <c r="I414" s="52"/>
      <c r="J414" s="52"/>
      <c r="K414" s="20">
        <f>ROUND(1,2)</f>
        <v>1</v>
      </c>
      <c r="L414" s="21">
        <f>ROUND(120*(1+M2/100),2)</f>
        <v>123.6</v>
      </c>
      <c r="M414" s="21">
        <f>ROUND(K414*L414,2)</f>
        <v>123.6</v>
      </c>
    </row>
    <row r="415" spans="1:13" ht="15.5" customHeight="1" thickBot="1" x14ac:dyDescent="0.35">
      <c r="A415" s="22"/>
      <c r="B415" s="22"/>
      <c r="C415" s="22"/>
      <c r="D415" s="23" t="s">
        <v>1253</v>
      </c>
      <c r="E415" s="24"/>
      <c r="F415" s="24"/>
      <c r="G415" s="24"/>
      <c r="H415" s="24"/>
      <c r="I415" s="24"/>
      <c r="J415" s="24"/>
      <c r="K415" s="24"/>
      <c r="L415" s="25">
        <f>M414</f>
        <v>123.6</v>
      </c>
      <c r="M415" s="25">
        <f>ROUND(L415,2)</f>
        <v>123.6</v>
      </c>
    </row>
    <row r="416" spans="1:13" ht="15.5" customHeight="1" thickBot="1" x14ac:dyDescent="0.35">
      <c r="A416" s="42"/>
      <c r="B416" s="42"/>
      <c r="C416" s="42"/>
      <c r="D416" s="43" t="s">
        <v>1254</v>
      </c>
      <c r="E416" s="44"/>
      <c r="F416" s="44"/>
      <c r="G416" s="44"/>
      <c r="H416" s="44"/>
      <c r="I416" s="44"/>
      <c r="J416" s="44"/>
      <c r="K416" s="44"/>
      <c r="L416" s="45">
        <f>M370+M377+M392+M398+M412+M415</f>
        <v>6138.46</v>
      </c>
      <c r="M416" s="45">
        <f>ROUND(L416,2)</f>
        <v>6138.46</v>
      </c>
    </row>
    <row r="417" spans="1:13" ht="15.5" customHeight="1" thickBot="1" x14ac:dyDescent="0.35">
      <c r="A417" s="46" t="s">
        <v>1255</v>
      </c>
      <c r="B417" s="46" t="s">
        <v>1256</v>
      </c>
      <c r="C417" s="47"/>
      <c r="D417" s="54" t="s">
        <v>1257</v>
      </c>
      <c r="E417" s="54"/>
      <c r="F417" s="54"/>
      <c r="G417" s="54"/>
      <c r="H417" s="54"/>
      <c r="I417" s="54"/>
      <c r="J417" s="54"/>
      <c r="K417" s="47"/>
      <c r="L417" s="48">
        <f>L445</f>
        <v>2158.41</v>
      </c>
      <c r="M417" s="48">
        <f>ROUND(L417,2)</f>
        <v>2158.41</v>
      </c>
    </row>
    <row r="418" spans="1:13" ht="15.5" customHeight="1" thickBot="1" x14ac:dyDescent="0.35">
      <c r="A418" s="17" t="s">
        <v>1258</v>
      </c>
      <c r="B418" s="17" t="s">
        <v>1259</v>
      </c>
      <c r="C418" s="18"/>
      <c r="D418" s="55" t="s">
        <v>1260</v>
      </c>
      <c r="E418" s="55"/>
      <c r="F418" s="55"/>
      <c r="G418" s="55"/>
      <c r="H418" s="55"/>
      <c r="I418" s="55"/>
      <c r="J418" s="55"/>
      <c r="K418" s="18"/>
      <c r="L418" s="19">
        <f>L421</f>
        <v>300</v>
      </c>
      <c r="M418" s="19">
        <f>ROUND(L418,2)</f>
        <v>300</v>
      </c>
    </row>
    <row r="419" spans="1:13" ht="15.5" customHeight="1" thickBot="1" x14ac:dyDescent="0.35">
      <c r="A419" s="10" t="s">
        <v>1261</v>
      </c>
      <c r="B419" s="5" t="s">
        <v>1262</v>
      </c>
      <c r="C419" s="5" t="s">
        <v>1263</v>
      </c>
      <c r="D419" s="52" t="s">
        <v>1264</v>
      </c>
      <c r="E419" s="52"/>
      <c r="F419" s="52"/>
      <c r="G419" s="52"/>
      <c r="H419" s="52"/>
      <c r="I419" s="52"/>
      <c r="J419" s="52"/>
      <c r="K419" s="20">
        <f>ROUND(1,2)</f>
        <v>1</v>
      </c>
      <c r="L419" s="21">
        <f>ROUND(97.087*(1+M2/100),2)</f>
        <v>100</v>
      </c>
      <c r="M419" s="21">
        <f>ROUND(K419*L419,2)</f>
        <v>100</v>
      </c>
    </row>
    <row r="420" spans="1:13" ht="15.5" customHeight="1" thickBot="1" x14ac:dyDescent="0.35">
      <c r="A420" s="10" t="s">
        <v>1265</v>
      </c>
      <c r="B420" s="5" t="s">
        <v>1266</v>
      </c>
      <c r="C420" s="5" t="s">
        <v>1267</v>
      </c>
      <c r="D420" s="52" t="s">
        <v>1268</v>
      </c>
      <c r="E420" s="52"/>
      <c r="F420" s="52"/>
      <c r="G420" s="52"/>
      <c r="H420" s="52"/>
      <c r="I420" s="52"/>
      <c r="J420" s="52"/>
      <c r="K420" s="20">
        <f>ROUND(1,2)</f>
        <v>1</v>
      </c>
      <c r="L420" s="21">
        <f>ROUND(194.175*(1+M2/100),2)</f>
        <v>200</v>
      </c>
      <c r="M420" s="21">
        <f>ROUND(K420*L420,2)</f>
        <v>200</v>
      </c>
    </row>
    <row r="421" spans="1:13" ht="15.5" customHeight="1" thickBot="1" x14ac:dyDescent="0.35">
      <c r="A421" s="22"/>
      <c r="B421" s="22"/>
      <c r="C421" s="22"/>
      <c r="D421" s="23" t="s">
        <v>1269</v>
      </c>
      <c r="E421" s="24"/>
      <c r="F421" s="24"/>
      <c r="G421" s="24"/>
      <c r="H421" s="24"/>
      <c r="I421" s="24"/>
      <c r="J421" s="24"/>
      <c r="K421" s="24"/>
      <c r="L421" s="25">
        <f>M419+M420</f>
        <v>300</v>
      </c>
      <c r="M421" s="25">
        <f>ROUND(L421,2)</f>
        <v>300</v>
      </c>
    </row>
    <row r="422" spans="1:13" ht="15.5" customHeight="1" thickBot="1" x14ac:dyDescent="0.35">
      <c r="A422" s="26" t="s">
        <v>1270</v>
      </c>
      <c r="B422" s="26" t="s">
        <v>1271</v>
      </c>
      <c r="C422" s="27"/>
      <c r="D422" s="53" t="s">
        <v>1272</v>
      </c>
      <c r="E422" s="53"/>
      <c r="F422" s="53"/>
      <c r="G422" s="53"/>
      <c r="H422" s="53"/>
      <c r="I422" s="53"/>
      <c r="J422" s="53"/>
      <c r="K422" s="27"/>
      <c r="L422" s="28">
        <f>L424</f>
        <v>544.80999999999995</v>
      </c>
      <c r="M422" s="28">
        <f>ROUND(L422,2)</f>
        <v>544.80999999999995</v>
      </c>
    </row>
    <row r="423" spans="1:13" ht="15.5" customHeight="1" thickBot="1" x14ac:dyDescent="0.35">
      <c r="A423" s="10" t="s">
        <v>1273</v>
      </c>
      <c r="B423" s="5" t="s">
        <v>1274</v>
      </c>
      <c r="C423" s="5" t="s">
        <v>1275</v>
      </c>
      <c r="D423" s="52" t="s">
        <v>1276</v>
      </c>
      <c r="E423" s="52"/>
      <c r="F423" s="52"/>
      <c r="G423" s="52"/>
      <c r="H423" s="52"/>
      <c r="I423" s="52"/>
      <c r="J423" s="52"/>
      <c r="K423" s="20">
        <f>ROUND(1,2)</f>
        <v>1</v>
      </c>
      <c r="L423" s="21">
        <f>ROUND(528.94*(1+M2/100),2)</f>
        <v>544.80999999999995</v>
      </c>
      <c r="M423" s="21">
        <f>ROUND(K423*L423,2)</f>
        <v>544.80999999999995</v>
      </c>
    </row>
    <row r="424" spans="1:13" ht="15.5" customHeight="1" thickBot="1" x14ac:dyDescent="0.35">
      <c r="A424" s="22"/>
      <c r="B424" s="22"/>
      <c r="C424" s="22"/>
      <c r="D424" s="23" t="s">
        <v>1277</v>
      </c>
      <c r="E424" s="24"/>
      <c r="F424" s="24"/>
      <c r="G424" s="24"/>
      <c r="H424" s="24"/>
      <c r="I424" s="24"/>
      <c r="J424" s="24"/>
      <c r="K424" s="24"/>
      <c r="L424" s="25">
        <f>M423</f>
        <v>544.80999999999995</v>
      </c>
      <c r="M424" s="25">
        <f>ROUND(L424,2)</f>
        <v>544.80999999999995</v>
      </c>
    </row>
    <row r="425" spans="1:13" ht="15.5" customHeight="1" thickBot="1" x14ac:dyDescent="0.35">
      <c r="A425" s="26" t="s">
        <v>1278</v>
      </c>
      <c r="B425" s="26" t="s">
        <v>1279</v>
      </c>
      <c r="C425" s="27"/>
      <c r="D425" s="53" t="s">
        <v>1280</v>
      </c>
      <c r="E425" s="53"/>
      <c r="F425" s="53"/>
      <c r="G425" s="53"/>
      <c r="H425" s="53"/>
      <c r="I425" s="53"/>
      <c r="J425" s="53"/>
      <c r="K425" s="27"/>
      <c r="L425" s="28">
        <f>L430</f>
        <v>44.7</v>
      </c>
      <c r="M425" s="28">
        <f>ROUND(L425,2)</f>
        <v>44.7</v>
      </c>
    </row>
    <row r="426" spans="1:13" ht="30.9" customHeight="1" thickBot="1" x14ac:dyDescent="0.35">
      <c r="A426" s="10" t="s">
        <v>1281</v>
      </c>
      <c r="B426" s="5" t="s">
        <v>1282</v>
      </c>
      <c r="C426" s="5" t="s">
        <v>1283</v>
      </c>
      <c r="D426" s="52" t="s">
        <v>1284</v>
      </c>
      <c r="E426" s="52"/>
      <c r="F426" s="52"/>
      <c r="G426" s="52"/>
      <c r="H426" s="52"/>
      <c r="I426" s="52"/>
      <c r="J426" s="52"/>
      <c r="K426" s="20">
        <f>SUM(K428:K428)</f>
        <v>18</v>
      </c>
      <c r="L426" s="21">
        <f>ROUND(1.25*(1+M2/100),2)</f>
        <v>1.29</v>
      </c>
      <c r="M426" s="21">
        <f>ROUND(K426*L426,2)</f>
        <v>23.22</v>
      </c>
    </row>
    <row r="427" spans="1:13" ht="15.25" customHeight="1" thickBot="1" x14ac:dyDescent="0.35">
      <c r="A427" s="29"/>
      <c r="B427" s="29"/>
      <c r="C427" s="29"/>
      <c r="D427" s="29"/>
      <c r="E427" s="30"/>
      <c r="F427" s="32" t="s">
        <v>1285</v>
      </c>
      <c r="G427" s="32" t="s">
        <v>1286</v>
      </c>
      <c r="H427" s="32" t="s">
        <v>1287</v>
      </c>
      <c r="I427" s="32" t="s">
        <v>1288</v>
      </c>
      <c r="J427" s="32" t="s">
        <v>1289</v>
      </c>
      <c r="K427" s="32" t="s">
        <v>1290</v>
      </c>
      <c r="L427" s="29"/>
      <c r="M427" s="29"/>
    </row>
    <row r="428" spans="1:13" ht="30.9" customHeight="1" thickBot="1" x14ac:dyDescent="0.35">
      <c r="A428" s="29"/>
      <c r="B428" s="29"/>
      <c r="C428" s="29"/>
      <c r="D428" s="33"/>
      <c r="E428" s="34" t="s">
        <v>1291</v>
      </c>
      <c r="F428" s="35">
        <v>3</v>
      </c>
      <c r="G428" s="36">
        <v>6</v>
      </c>
      <c r="H428" s="36"/>
      <c r="I428" s="36"/>
      <c r="J428" s="38">
        <f>ROUND(F428*G428,3)</f>
        <v>18</v>
      </c>
      <c r="K428" s="40">
        <f>SUM(J428:J428)</f>
        <v>18</v>
      </c>
      <c r="L428" s="29"/>
      <c r="M428" s="29"/>
    </row>
    <row r="429" spans="1:13" ht="15.5" customHeight="1" thickBot="1" x14ac:dyDescent="0.35">
      <c r="A429" s="10" t="s">
        <v>1292</v>
      </c>
      <c r="B429" s="5" t="s">
        <v>1293</v>
      </c>
      <c r="C429" s="5" t="s">
        <v>1294</v>
      </c>
      <c r="D429" s="52" t="s">
        <v>1295</v>
      </c>
      <c r="E429" s="52"/>
      <c r="F429" s="52"/>
      <c r="G429" s="52"/>
      <c r="H429" s="52"/>
      <c r="I429" s="52"/>
      <c r="J429" s="52"/>
      <c r="K429" s="20">
        <f>ROUND(6,2)</f>
        <v>6</v>
      </c>
      <c r="L429" s="21">
        <f>ROUND(3.48*(1+M2/100),2)</f>
        <v>3.58</v>
      </c>
      <c r="M429" s="21">
        <f>ROUND(K429*L429,2)</f>
        <v>21.48</v>
      </c>
    </row>
    <row r="430" spans="1:13" ht="15.5" customHeight="1" thickBot="1" x14ac:dyDescent="0.35">
      <c r="A430" s="22"/>
      <c r="B430" s="22"/>
      <c r="C430" s="22"/>
      <c r="D430" s="23" t="s">
        <v>1296</v>
      </c>
      <c r="E430" s="24"/>
      <c r="F430" s="24"/>
      <c r="G430" s="24"/>
      <c r="H430" s="24"/>
      <c r="I430" s="24"/>
      <c r="J430" s="24"/>
      <c r="K430" s="24"/>
      <c r="L430" s="25">
        <f>M426+M429</f>
        <v>44.7</v>
      </c>
      <c r="M430" s="25">
        <f>ROUND(L430,2)</f>
        <v>44.7</v>
      </c>
    </row>
    <row r="431" spans="1:13" ht="15.5" customHeight="1" thickBot="1" x14ac:dyDescent="0.35">
      <c r="A431" s="26" t="s">
        <v>1297</v>
      </c>
      <c r="B431" s="26" t="s">
        <v>1298</v>
      </c>
      <c r="C431" s="27"/>
      <c r="D431" s="53" t="s">
        <v>1299</v>
      </c>
      <c r="E431" s="53"/>
      <c r="F431" s="53"/>
      <c r="G431" s="53"/>
      <c r="H431" s="53"/>
      <c r="I431" s="53"/>
      <c r="J431" s="53"/>
      <c r="K431" s="27"/>
      <c r="L431" s="28">
        <f>L436</f>
        <v>160.16</v>
      </c>
      <c r="M431" s="28">
        <f>ROUND(L431,2)</f>
        <v>160.16</v>
      </c>
    </row>
    <row r="432" spans="1:13" ht="15.5" customHeight="1" thickBot="1" x14ac:dyDescent="0.35">
      <c r="A432" s="10" t="s">
        <v>1300</v>
      </c>
      <c r="B432" s="5" t="s">
        <v>1301</v>
      </c>
      <c r="C432" s="5" t="s">
        <v>1302</v>
      </c>
      <c r="D432" s="52" t="s">
        <v>1303</v>
      </c>
      <c r="E432" s="52"/>
      <c r="F432" s="52"/>
      <c r="G432" s="52"/>
      <c r="H432" s="52"/>
      <c r="I432" s="52"/>
      <c r="J432" s="52"/>
      <c r="K432" s="20">
        <f>SUM(K434:K434)</f>
        <v>2</v>
      </c>
      <c r="L432" s="21">
        <f>ROUND(58.67*(1+M2/100),2)</f>
        <v>60.43</v>
      </c>
      <c r="M432" s="21">
        <f>ROUND(K432*L432,2)</f>
        <v>120.86</v>
      </c>
    </row>
    <row r="433" spans="1:13" ht="15.25" customHeight="1" thickBot="1" x14ac:dyDescent="0.35">
      <c r="A433" s="29"/>
      <c r="B433" s="29"/>
      <c r="C433" s="29"/>
      <c r="D433" s="29"/>
      <c r="E433" s="30"/>
      <c r="F433" s="32" t="s">
        <v>1304</v>
      </c>
      <c r="G433" s="32" t="s">
        <v>1305</v>
      </c>
      <c r="H433" s="32" t="s">
        <v>1306</v>
      </c>
      <c r="I433" s="32" t="s">
        <v>1307</v>
      </c>
      <c r="J433" s="32" t="s">
        <v>1308</v>
      </c>
      <c r="K433" s="32" t="s">
        <v>1309</v>
      </c>
      <c r="L433" s="29"/>
      <c r="M433" s="29"/>
    </row>
    <row r="434" spans="1:13" ht="15.25" customHeight="1" thickBot="1" x14ac:dyDescent="0.35">
      <c r="A434" s="29"/>
      <c r="B434" s="29"/>
      <c r="C434" s="29"/>
      <c r="D434" s="33"/>
      <c r="E434" s="34" t="s">
        <v>1310</v>
      </c>
      <c r="F434" s="35">
        <v>2</v>
      </c>
      <c r="G434" s="36"/>
      <c r="H434" s="36"/>
      <c r="I434" s="36"/>
      <c r="J434" s="38">
        <f>ROUND(F434,3)</f>
        <v>2</v>
      </c>
      <c r="K434" s="40">
        <f>SUM(J434:J434)</f>
        <v>2</v>
      </c>
      <c r="L434" s="29"/>
      <c r="M434" s="29"/>
    </row>
    <row r="435" spans="1:13" ht="15.5" customHeight="1" thickBot="1" x14ac:dyDescent="0.35">
      <c r="A435" s="10" t="s">
        <v>1311</v>
      </c>
      <c r="B435" s="5" t="s">
        <v>1312</v>
      </c>
      <c r="C435" s="5" t="s">
        <v>1313</v>
      </c>
      <c r="D435" s="52" t="s">
        <v>1314</v>
      </c>
      <c r="E435" s="52"/>
      <c r="F435" s="52"/>
      <c r="G435" s="52"/>
      <c r="H435" s="52"/>
      <c r="I435" s="52"/>
      <c r="J435" s="52"/>
      <c r="K435" s="20">
        <f>ROUND(2,2)</f>
        <v>2</v>
      </c>
      <c r="L435" s="21">
        <f>ROUND(19.08*(1+M2/100),2)</f>
        <v>19.649999999999999</v>
      </c>
      <c r="M435" s="21">
        <f>ROUND(K435*L435,2)</f>
        <v>39.299999999999997</v>
      </c>
    </row>
    <row r="436" spans="1:13" ht="15.5" customHeight="1" thickBot="1" x14ac:dyDescent="0.35">
      <c r="A436" s="22"/>
      <c r="B436" s="22"/>
      <c r="C436" s="22"/>
      <c r="D436" s="23" t="s">
        <v>1315</v>
      </c>
      <c r="E436" s="24"/>
      <c r="F436" s="24"/>
      <c r="G436" s="24"/>
      <c r="H436" s="24"/>
      <c r="I436" s="24"/>
      <c r="J436" s="24"/>
      <c r="K436" s="24"/>
      <c r="L436" s="25">
        <f>M432+M435</f>
        <v>160.16</v>
      </c>
      <c r="M436" s="25">
        <f>ROUND(L436,2)</f>
        <v>160.16</v>
      </c>
    </row>
    <row r="437" spans="1:13" ht="15.5" customHeight="1" thickBot="1" x14ac:dyDescent="0.35">
      <c r="A437" s="26" t="s">
        <v>1316</v>
      </c>
      <c r="B437" s="26" t="s">
        <v>1317</v>
      </c>
      <c r="C437" s="27"/>
      <c r="D437" s="53" t="s">
        <v>1318</v>
      </c>
      <c r="E437" s="53"/>
      <c r="F437" s="53"/>
      <c r="G437" s="53"/>
      <c r="H437" s="53"/>
      <c r="I437" s="53"/>
      <c r="J437" s="53"/>
      <c r="K437" s="27"/>
      <c r="L437" s="28">
        <f>L441</f>
        <v>985.14</v>
      </c>
      <c r="M437" s="28">
        <f>ROUND(L437,2)</f>
        <v>985.14</v>
      </c>
    </row>
    <row r="438" spans="1:13" ht="15.5" customHeight="1" thickBot="1" x14ac:dyDescent="0.35">
      <c r="A438" s="10" t="s">
        <v>1319</v>
      </c>
      <c r="B438" s="5" t="s">
        <v>1320</v>
      </c>
      <c r="C438" s="5" t="s">
        <v>1321</v>
      </c>
      <c r="D438" s="52" t="s">
        <v>1322</v>
      </c>
      <c r="E438" s="52"/>
      <c r="F438" s="52"/>
      <c r="G438" s="52"/>
      <c r="H438" s="52"/>
      <c r="I438" s="52"/>
      <c r="J438" s="52"/>
      <c r="K438" s="20">
        <f>ROUND(3,2)</f>
        <v>3</v>
      </c>
      <c r="L438" s="21">
        <f>ROUND(88.27*(1+M2/100),2)</f>
        <v>90.92</v>
      </c>
      <c r="M438" s="21">
        <f>ROUND(K438*L438,2)</f>
        <v>272.76</v>
      </c>
    </row>
    <row r="439" spans="1:13" ht="15.5" customHeight="1" thickBot="1" x14ac:dyDescent="0.35">
      <c r="A439" s="10" t="s">
        <v>1323</v>
      </c>
      <c r="B439" s="5" t="s">
        <v>1324</v>
      </c>
      <c r="C439" s="5" t="s">
        <v>1325</v>
      </c>
      <c r="D439" s="52" t="s">
        <v>1326</v>
      </c>
      <c r="E439" s="52"/>
      <c r="F439" s="52"/>
      <c r="G439" s="52"/>
      <c r="H439" s="52"/>
      <c r="I439" s="52"/>
      <c r="J439" s="52"/>
      <c r="K439" s="20">
        <f>ROUND(10,2)</f>
        <v>10</v>
      </c>
      <c r="L439" s="21">
        <f>ROUND(44.59*(1+M2/100),2)</f>
        <v>45.93</v>
      </c>
      <c r="M439" s="21">
        <f>ROUND(K439*L439,2)</f>
        <v>459.3</v>
      </c>
    </row>
    <row r="440" spans="1:13" ht="15.5" customHeight="1" thickBot="1" x14ac:dyDescent="0.35">
      <c r="A440" s="10" t="s">
        <v>1327</v>
      </c>
      <c r="B440" s="5" t="s">
        <v>1328</v>
      </c>
      <c r="C440" s="5" t="s">
        <v>1329</v>
      </c>
      <c r="D440" s="52" t="s">
        <v>1330</v>
      </c>
      <c r="E440" s="52"/>
      <c r="F440" s="52"/>
      <c r="G440" s="52"/>
      <c r="H440" s="52"/>
      <c r="I440" s="52"/>
      <c r="J440" s="52"/>
      <c r="K440" s="20">
        <f>ROUND(12,2)</f>
        <v>12</v>
      </c>
      <c r="L440" s="21">
        <f>ROUND(20.48*(1+M2/100),2)</f>
        <v>21.09</v>
      </c>
      <c r="M440" s="21">
        <f>ROUND(K440*L440,2)</f>
        <v>253.08</v>
      </c>
    </row>
    <row r="441" spans="1:13" ht="15.5" customHeight="1" thickBot="1" x14ac:dyDescent="0.35">
      <c r="A441" s="22"/>
      <c r="B441" s="22"/>
      <c r="C441" s="22"/>
      <c r="D441" s="23" t="s">
        <v>1331</v>
      </c>
      <c r="E441" s="24"/>
      <c r="F441" s="24"/>
      <c r="G441" s="24"/>
      <c r="H441" s="24"/>
      <c r="I441" s="24"/>
      <c r="J441" s="24"/>
      <c r="K441" s="24"/>
      <c r="L441" s="25">
        <f>M438+M439+M440</f>
        <v>985.14</v>
      </c>
      <c r="M441" s="25">
        <f>ROUND(L441,2)</f>
        <v>985.14</v>
      </c>
    </row>
    <row r="442" spans="1:13" ht="15.5" customHeight="1" thickBot="1" x14ac:dyDescent="0.35">
      <c r="A442" s="26" t="s">
        <v>1332</v>
      </c>
      <c r="B442" s="26" t="s">
        <v>1333</v>
      </c>
      <c r="C442" s="27"/>
      <c r="D442" s="53" t="s">
        <v>1334</v>
      </c>
      <c r="E442" s="53"/>
      <c r="F442" s="53"/>
      <c r="G442" s="53"/>
      <c r="H442" s="53"/>
      <c r="I442" s="53"/>
      <c r="J442" s="53"/>
      <c r="K442" s="27"/>
      <c r="L442" s="28">
        <f>L444</f>
        <v>123.6</v>
      </c>
      <c r="M442" s="28">
        <f>ROUND(L442,2)</f>
        <v>123.6</v>
      </c>
    </row>
    <row r="443" spans="1:13" ht="15.5" customHeight="1" thickBot="1" x14ac:dyDescent="0.35">
      <c r="A443" s="10" t="s">
        <v>1335</v>
      </c>
      <c r="B443" s="5" t="s">
        <v>1336</v>
      </c>
      <c r="C443" s="5" t="s">
        <v>1337</v>
      </c>
      <c r="D443" s="52" t="s">
        <v>1338</v>
      </c>
      <c r="E443" s="52"/>
      <c r="F443" s="52"/>
      <c r="G443" s="52"/>
      <c r="H443" s="52"/>
      <c r="I443" s="52"/>
      <c r="J443" s="52"/>
      <c r="K443" s="20">
        <f>ROUND(1,2)</f>
        <v>1</v>
      </c>
      <c r="L443" s="21">
        <f>ROUND(120*(1+M2/100),2)</f>
        <v>123.6</v>
      </c>
      <c r="M443" s="21">
        <f>ROUND(K443*L443,2)</f>
        <v>123.6</v>
      </c>
    </row>
    <row r="444" spans="1:13" ht="15.5" customHeight="1" thickBot="1" x14ac:dyDescent="0.35">
      <c r="A444" s="22"/>
      <c r="B444" s="22"/>
      <c r="C444" s="22"/>
      <c r="D444" s="23" t="s">
        <v>1339</v>
      </c>
      <c r="E444" s="24"/>
      <c r="F444" s="24"/>
      <c r="G444" s="24"/>
      <c r="H444" s="24"/>
      <c r="I444" s="24"/>
      <c r="J444" s="24"/>
      <c r="K444" s="24"/>
      <c r="L444" s="25">
        <f>M443</f>
        <v>123.6</v>
      </c>
      <c r="M444" s="25">
        <f>ROUND(L444,2)</f>
        <v>123.6</v>
      </c>
    </row>
    <row r="445" spans="1:13" ht="15.5" customHeight="1" thickBot="1" x14ac:dyDescent="0.35">
      <c r="A445" s="42"/>
      <c r="B445" s="42"/>
      <c r="C445" s="42"/>
      <c r="D445" s="43" t="s">
        <v>1340</v>
      </c>
      <c r="E445" s="44"/>
      <c r="F445" s="44"/>
      <c r="G445" s="44"/>
      <c r="H445" s="44"/>
      <c r="I445" s="44"/>
      <c r="J445" s="44"/>
      <c r="K445" s="44"/>
      <c r="L445" s="45">
        <f>M421+M424+M430+M436+M441+M444</f>
        <v>2158.41</v>
      </c>
      <c r="M445" s="45">
        <f>ROUND(L445,2)</f>
        <v>2158.41</v>
      </c>
    </row>
    <row r="446" spans="1:13" ht="15.5" customHeight="1" thickBot="1" x14ac:dyDescent="0.35">
      <c r="A446" s="46" t="s">
        <v>1341</v>
      </c>
      <c r="B446" s="46" t="s">
        <v>1342</v>
      </c>
      <c r="C446" s="47"/>
      <c r="D446" s="54" t="s">
        <v>1343</v>
      </c>
      <c r="E446" s="54"/>
      <c r="F446" s="54"/>
      <c r="G446" s="54"/>
      <c r="H446" s="54"/>
      <c r="I446" s="54"/>
      <c r="J446" s="54"/>
      <c r="K446" s="47"/>
      <c r="L446" s="48">
        <f>L477</f>
        <v>2761.06</v>
      </c>
      <c r="M446" s="48">
        <f>ROUND(L446,2)</f>
        <v>2761.06</v>
      </c>
    </row>
    <row r="447" spans="1:13" ht="15.5" customHeight="1" thickBot="1" x14ac:dyDescent="0.35">
      <c r="A447" s="17" t="s">
        <v>1344</v>
      </c>
      <c r="B447" s="17" t="s">
        <v>1345</v>
      </c>
      <c r="C447" s="18"/>
      <c r="D447" s="55" t="s">
        <v>1346</v>
      </c>
      <c r="E447" s="55"/>
      <c r="F447" s="55"/>
      <c r="G447" s="55"/>
      <c r="H447" s="55"/>
      <c r="I447" s="55"/>
      <c r="J447" s="55"/>
      <c r="K447" s="18"/>
      <c r="L447" s="19">
        <f>L450</f>
        <v>450</v>
      </c>
      <c r="M447" s="19">
        <f>ROUND(L447,2)</f>
        <v>450</v>
      </c>
    </row>
    <row r="448" spans="1:13" ht="15.5" customHeight="1" thickBot="1" x14ac:dyDescent="0.35">
      <c r="A448" s="10" t="s">
        <v>1347</v>
      </c>
      <c r="B448" s="5" t="s">
        <v>1348</v>
      </c>
      <c r="C448" s="5" t="s">
        <v>1349</v>
      </c>
      <c r="D448" s="52" t="s">
        <v>1350</v>
      </c>
      <c r="E448" s="52"/>
      <c r="F448" s="52"/>
      <c r="G448" s="52"/>
      <c r="H448" s="52"/>
      <c r="I448" s="52"/>
      <c r="J448" s="52"/>
      <c r="K448" s="20">
        <f>ROUND(1,2)</f>
        <v>1</v>
      </c>
      <c r="L448" s="21">
        <f>ROUND(242.718*(1+M2/100),2)</f>
        <v>250</v>
      </c>
      <c r="M448" s="21">
        <f>ROUND(K448*L448,2)</f>
        <v>250</v>
      </c>
    </row>
    <row r="449" spans="1:13" ht="15.5" customHeight="1" thickBot="1" x14ac:dyDescent="0.35">
      <c r="A449" s="10" t="s">
        <v>1351</v>
      </c>
      <c r="B449" s="5" t="s">
        <v>1352</v>
      </c>
      <c r="C449" s="5" t="s">
        <v>1353</v>
      </c>
      <c r="D449" s="52" t="s">
        <v>1354</v>
      </c>
      <c r="E449" s="52"/>
      <c r="F449" s="52"/>
      <c r="G449" s="52"/>
      <c r="H449" s="52"/>
      <c r="I449" s="52"/>
      <c r="J449" s="52"/>
      <c r="K449" s="20">
        <f>ROUND(1,2)</f>
        <v>1</v>
      </c>
      <c r="L449" s="21">
        <f>ROUND(194.175*(1+M2/100),2)</f>
        <v>200</v>
      </c>
      <c r="M449" s="21">
        <f>ROUND(K449*L449,2)</f>
        <v>200</v>
      </c>
    </row>
    <row r="450" spans="1:13" ht="15.5" customHeight="1" thickBot="1" x14ac:dyDescent="0.35">
      <c r="A450" s="22"/>
      <c r="B450" s="22"/>
      <c r="C450" s="22"/>
      <c r="D450" s="23" t="s">
        <v>1355</v>
      </c>
      <c r="E450" s="24"/>
      <c r="F450" s="24"/>
      <c r="G450" s="24"/>
      <c r="H450" s="24"/>
      <c r="I450" s="24"/>
      <c r="J450" s="24"/>
      <c r="K450" s="24"/>
      <c r="L450" s="25">
        <f>M448+M449</f>
        <v>450</v>
      </c>
      <c r="M450" s="25">
        <f>ROUND(L450,2)</f>
        <v>450</v>
      </c>
    </row>
    <row r="451" spans="1:13" ht="15.5" customHeight="1" thickBot="1" x14ac:dyDescent="0.35">
      <c r="A451" s="26" t="s">
        <v>1356</v>
      </c>
      <c r="B451" s="26" t="s">
        <v>1357</v>
      </c>
      <c r="C451" s="27"/>
      <c r="D451" s="53" t="s">
        <v>1358</v>
      </c>
      <c r="E451" s="53"/>
      <c r="F451" s="53"/>
      <c r="G451" s="53"/>
      <c r="H451" s="53"/>
      <c r="I451" s="53"/>
      <c r="J451" s="53"/>
      <c r="K451" s="27"/>
      <c r="L451" s="28">
        <f>L454</f>
        <v>1095.43</v>
      </c>
      <c r="M451" s="28">
        <f>ROUND(L451,2)</f>
        <v>1095.43</v>
      </c>
    </row>
    <row r="452" spans="1:13" ht="15.5" customHeight="1" thickBot="1" x14ac:dyDescent="0.35">
      <c r="A452" s="10" t="s">
        <v>1359</v>
      </c>
      <c r="B452" s="5" t="s">
        <v>1360</v>
      </c>
      <c r="C452" s="5" t="s">
        <v>1361</v>
      </c>
      <c r="D452" s="52" t="s">
        <v>1362</v>
      </c>
      <c r="E452" s="52"/>
      <c r="F452" s="52"/>
      <c r="G452" s="52"/>
      <c r="H452" s="52"/>
      <c r="I452" s="52"/>
      <c r="J452" s="52"/>
      <c r="K452" s="20">
        <f>ROUND(1,2)</f>
        <v>1</v>
      </c>
      <c r="L452" s="21">
        <f>ROUND(407*(1+M2/100),2)</f>
        <v>419.21</v>
      </c>
      <c r="M452" s="21">
        <f>ROUND(K452*L452,2)</f>
        <v>419.21</v>
      </c>
    </row>
    <row r="453" spans="1:13" ht="15.5" customHeight="1" thickBot="1" x14ac:dyDescent="0.35">
      <c r="A453" s="10" t="s">
        <v>1363</v>
      </c>
      <c r="B453" s="5" t="s">
        <v>1364</v>
      </c>
      <c r="C453" s="5" t="s">
        <v>1365</v>
      </c>
      <c r="D453" s="52" t="s">
        <v>1366</v>
      </c>
      <c r="E453" s="52"/>
      <c r="F453" s="52"/>
      <c r="G453" s="52"/>
      <c r="H453" s="52"/>
      <c r="I453" s="52"/>
      <c r="J453" s="52"/>
      <c r="K453" s="20">
        <f>ROUND(1,2)</f>
        <v>1</v>
      </c>
      <c r="L453" s="21">
        <f>ROUND(656.52*(1+M2/100),2)</f>
        <v>676.22</v>
      </c>
      <c r="M453" s="21">
        <f>ROUND(K453*L453,2)</f>
        <v>676.22</v>
      </c>
    </row>
    <row r="454" spans="1:13" ht="15.5" customHeight="1" thickBot="1" x14ac:dyDescent="0.35">
      <c r="A454" s="22"/>
      <c r="B454" s="22"/>
      <c r="C454" s="22"/>
      <c r="D454" s="23" t="s">
        <v>1367</v>
      </c>
      <c r="E454" s="24"/>
      <c r="F454" s="24"/>
      <c r="G454" s="24"/>
      <c r="H454" s="24"/>
      <c r="I454" s="24"/>
      <c r="J454" s="24"/>
      <c r="K454" s="24"/>
      <c r="L454" s="25">
        <f>M452+M453</f>
        <v>1095.43</v>
      </c>
      <c r="M454" s="25">
        <f>ROUND(L454,2)</f>
        <v>1095.43</v>
      </c>
    </row>
    <row r="455" spans="1:13" ht="15.5" customHeight="1" thickBot="1" x14ac:dyDescent="0.35">
      <c r="A455" s="26" t="s">
        <v>1368</v>
      </c>
      <c r="B455" s="26" t="s">
        <v>1369</v>
      </c>
      <c r="C455" s="27"/>
      <c r="D455" s="53" t="s">
        <v>1370</v>
      </c>
      <c r="E455" s="53"/>
      <c r="F455" s="53"/>
      <c r="G455" s="53"/>
      <c r="H455" s="53"/>
      <c r="I455" s="53"/>
      <c r="J455" s="53"/>
      <c r="K455" s="27"/>
      <c r="L455" s="28">
        <f>L470</f>
        <v>269.52</v>
      </c>
      <c r="M455" s="28">
        <f>ROUND(L455,2)</f>
        <v>269.52</v>
      </c>
    </row>
    <row r="456" spans="1:13" ht="15.5" customHeight="1" thickBot="1" x14ac:dyDescent="0.35">
      <c r="A456" s="10" t="s">
        <v>1371</v>
      </c>
      <c r="B456" s="5" t="s">
        <v>1372</v>
      </c>
      <c r="C456" s="5" t="s">
        <v>1373</v>
      </c>
      <c r="D456" s="52" t="s">
        <v>1374</v>
      </c>
      <c r="E456" s="52"/>
      <c r="F456" s="52"/>
      <c r="G456" s="52"/>
      <c r="H456" s="52"/>
      <c r="I456" s="52"/>
      <c r="J456" s="52"/>
      <c r="K456" s="20">
        <f>SUM(K458:K458)</f>
        <v>1</v>
      </c>
      <c r="L456" s="21">
        <f>ROUND(23.62*(1+M2/100),2)</f>
        <v>24.33</v>
      </c>
      <c r="M456" s="21">
        <f>ROUND(K456*L456,2)</f>
        <v>24.33</v>
      </c>
    </row>
    <row r="457" spans="1:13" ht="15.25" customHeight="1" thickBot="1" x14ac:dyDescent="0.35">
      <c r="A457" s="29"/>
      <c r="B457" s="29"/>
      <c r="C457" s="29"/>
      <c r="D457" s="29"/>
      <c r="E457" s="30"/>
      <c r="F457" s="32" t="s">
        <v>1375</v>
      </c>
      <c r="G457" s="32" t="s">
        <v>1376</v>
      </c>
      <c r="H457" s="32" t="s">
        <v>1377</v>
      </c>
      <c r="I457" s="32" t="s">
        <v>1378</v>
      </c>
      <c r="J457" s="32" t="s">
        <v>1379</v>
      </c>
      <c r="K457" s="32" t="s">
        <v>1380</v>
      </c>
      <c r="L457" s="29"/>
      <c r="M457" s="29"/>
    </row>
    <row r="458" spans="1:13" ht="15.25" customHeight="1" thickBot="1" x14ac:dyDescent="0.35">
      <c r="A458" s="29"/>
      <c r="B458" s="29"/>
      <c r="C458" s="29"/>
      <c r="D458" s="33"/>
      <c r="E458" s="34" t="s">
        <v>1381</v>
      </c>
      <c r="F458" s="35">
        <v>1</v>
      </c>
      <c r="G458" s="36"/>
      <c r="H458" s="36"/>
      <c r="I458" s="36"/>
      <c r="J458" s="38">
        <f>ROUND(F458,3)</f>
        <v>1</v>
      </c>
      <c r="K458" s="40">
        <f>SUM(J458:J458)</f>
        <v>1</v>
      </c>
      <c r="L458" s="29"/>
      <c r="M458" s="29"/>
    </row>
    <row r="459" spans="1:13" ht="15.5" customHeight="1" thickBot="1" x14ac:dyDescent="0.35">
      <c r="A459" s="10" t="s">
        <v>1382</v>
      </c>
      <c r="B459" s="5" t="s">
        <v>1383</v>
      </c>
      <c r="C459" s="5" t="s">
        <v>1384</v>
      </c>
      <c r="D459" s="52" t="s">
        <v>1385</v>
      </c>
      <c r="E459" s="52"/>
      <c r="F459" s="52"/>
      <c r="G459" s="52"/>
      <c r="H459" s="52"/>
      <c r="I459" s="52"/>
      <c r="J459" s="52"/>
      <c r="K459" s="20">
        <f>SUM(K461:K461)</f>
        <v>2</v>
      </c>
      <c r="L459" s="21">
        <f>ROUND(40.83*(1+M2/100),2)</f>
        <v>42.05</v>
      </c>
      <c r="M459" s="21">
        <f>ROUND(K459*L459,2)</f>
        <v>84.1</v>
      </c>
    </row>
    <row r="460" spans="1:13" ht="15.25" customHeight="1" thickBot="1" x14ac:dyDescent="0.35">
      <c r="A460" s="29"/>
      <c r="B460" s="29"/>
      <c r="C460" s="29"/>
      <c r="D460" s="29"/>
      <c r="E460" s="30"/>
      <c r="F460" s="32" t="s">
        <v>1386</v>
      </c>
      <c r="G460" s="32" t="s">
        <v>1387</v>
      </c>
      <c r="H460" s="32" t="s">
        <v>1388</v>
      </c>
      <c r="I460" s="32" t="s">
        <v>1389</v>
      </c>
      <c r="J460" s="32" t="s">
        <v>1390</v>
      </c>
      <c r="K460" s="32" t="s">
        <v>1391</v>
      </c>
      <c r="L460" s="29"/>
      <c r="M460" s="29"/>
    </row>
    <row r="461" spans="1:13" ht="30.9" customHeight="1" thickBot="1" x14ac:dyDescent="0.35">
      <c r="A461" s="29"/>
      <c r="B461" s="29"/>
      <c r="C461" s="29"/>
      <c r="D461" s="33"/>
      <c r="E461" s="34" t="s">
        <v>1392</v>
      </c>
      <c r="F461" s="35">
        <v>2</v>
      </c>
      <c r="G461" s="36"/>
      <c r="H461" s="36"/>
      <c r="I461" s="36"/>
      <c r="J461" s="38">
        <f>ROUND(F461,3)</f>
        <v>2</v>
      </c>
      <c r="K461" s="40">
        <f>SUM(J461:J461)</f>
        <v>2</v>
      </c>
      <c r="L461" s="29"/>
      <c r="M461" s="29"/>
    </row>
    <row r="462" spans="1:13" ht="15.5" customHeight="1" thickBot="1" x14ac:dyDescent="0.35">
      <c r="A462" s="10" t="s">
        <v>1393</v>
      </c>
      <c r="B462" s="5" t="s">
        <v>1394</v>
      </c>
      <c r="C462" s="5" t="s">
        <v>1395</v>
      </c>
      <c r="D462" s="52" t="s">
        <v>1396</v>
      </c>
      <c r="E462" s="52"/>
      <c r="F462" s="52"/>
      <c r="G462" s="52"/>
      <c r="H462" s="52"/>
      <c r="I462" s="52"/>
      <c r="J462" s="52"/>
      <c r="K462" s="20">
        <f>ROUND(3,2)</f>
        <v>3</v>
      </c>
      <c r="L462" s="21">
        <f>ROUND(19.08*(1+M2/100),2)</f>
        <v>19.649999999999999</v>
      </c>
      <c r="M462" s="21">
        <f>ROUND(K462*L462,2)</f>
        <v>58.95</v>
      </c>
    </row>
    <row r="463" spans="1:13" ht="25.15" customHeight="1" thickBot="1" x14ac:dyDescent="0.35">
      <c r="A463" s="10" t="s">
        <v>1397</v>
      </c>
      <c r="B463" s="5" t="s">
        <v>1398</v>
      </c>
      <c r="C463" s="5" t="s">
        <v>1399</v>
      </c>
      <c r="D463" s="52" t="s">
        <v>1400</v>
      </c>
      <c r="E463" s="52"/>
      <c r="F463" s="52"/>
      <c r="G463" s="52"/>
      <c r="H463" s="52"/>
      <c r="I463" s="52"/>
      <c r="J463" s="52"/>
      <c r="K463" s="20">
        <f>SUM(K465:K465)</f>
        <v>1</v>
      </c>
      <c r="L463" s="21">
        <f>ROUND(25.69*(1+M2/100),2)</f>
        <v>26.46</v>
      </c>
      <c r="M463" s="21">
        <f>ROUND(K463*L463,2)</f>
        <v>26.46</v>
      </c>
    </row>
    <row r="464" spans="1:13" ht="15.25" customHeight="1" thickBot="1" x14ac:dyDescent="0.35">
      <c r="A464" s="29"/>
      <c r="B464" s="29"/>
      <c r="C464" s="29"/>
      <c r="D464" s="29"/>
      <c r="E464" s="30"/>
      <c r="F464" s="32" t="s">
        <v>1401</v>
      </c>
      <c r="G464" s="32" t="s">
        <v>1402</v>
      </c>
      <c r="H464" s="32" t="s">
        <v>1403</v>
      </c>
      <c r="I464" s="32" t="s">
        <v>1404</v>
      </c>
      <c r="J464" s="32" t="s">
        <v>1405</v>
      </c>
      <c r="K464" s="32" t="s">
        <v>1406</v>
      </c>
      <c r="L464" s="29"/>
      <c r="M464" s="29"/>
    </row>
    <row r="465" spans="1:13" ht="30.9" customHeight="1" thickBot="1" x14ac:dyDescent="0.35">
      <c r="A465" s="29"/>
      <c r="B465" s="29"/>
      <c r="C465" s="29"/>
      <c r="D465" s="33"/>
      <c r="E465" s="34" t="s">
        <v>1407</v>
      </c>
      <c r="F465" s="35">
        <v>1</v>
      </c>
      <c r="G465" s="36"/>
      <c r="H465" s="36"/>
      <c r="I465" s="36"/>
      <c r="J465" s="38">
        <f>ROUND(F465,3)</f>
        <v>1</v>
      </c>
      <c r="K465" s="40">
        <f>SUM(J465:J465)</f>
        <v>1</v>
      </c>
      <c r="L465" s="29"/>
      <c r="M465" s="29"/>
    </row>
    <row r="466" spans="1:13" ht="25.15" customHeight="1" thickBot="1" x14ac:dyDescent="0.35">
      <c r="A466" s="10" t="s">
        <v>1408</v>
      </c>
      <c r="B466" s="5" t="s">
        <v>1409</v>
      </c>
      <c r="C466" s="5" t="s">
        <v>1410</v>
      </c>
      <c r="D466" s="52" t="s">
        <v>1411</v>
      </c>
      <c r="E466" s="52"/>
      <c r="F466" s="52"/>
      <c r="G466" s="52"/>
      <c r="H466" s="52"/>
      <c r="I466" s="52"/>
      <c r="J466" s="52"/>
      <c r="K466" s="20">
        <f>SUM(K468:K468)</f>
        <v>1</v>
      </c>
      <c r="L466" s="21">
        <f>ROUND(35.92*(1+M2/100),2)</f>
        <v>37</v>
      </c>
      <c r="M466" s="21">
        <f>ROUND(K466*L466,2)</f>
        <v>37</v>
      </c>
    </row>
    <row r="467" spans="1:13" ht="15.25" customHeight="1" thickBot="1" x14ac:dyDescent="0.35">
      <c r="A467" s="29"/>
      <c r="B467" s="29"/>
      <c r="C467" s="29"/>
      <c r="D467" s="29"/>
      <c r="E467" s="30"/>
      <c r="F467" s="32" t="s">
        <v>1412</v>
      </c>
      <c r="G467" s="32" t="s">
        <v>1413</v>
      </c>
      <c r="H467" s="32" t="s">
        <v>1414</v>
      </c>
      <c r="I467" s="32" t="s">
        <v>1415</v>
      </c>
      <c r="J467" s="32" t="s">
        <v>1416</v>
      </c>
      <c r="K467" s="32" t="s">
        <v>1417</v>
      </c>
      <c r="L467" s="29"/>
      <c r="M467" s="29"/>
    </row>
    <row r="468" spans="1:13" ht="30.9" customHeight="1" thickBot="1" x14ac:dyDescent="0.35">
      <c r="A468" s="29"/>
      <c r="B468" s="29"/>
      <c r="C468" s="29"/>
      <c r="D468" s="33"/>
      <c r="E468" s="34" t="s">
        <v>1418</v>
      </c>
      <c r="F468" s="35">
        <v>1</v>
      </c>
      <c r="G468" s="36"/>
      <c r="H468" s="36"/>
      <c r="I468" s="36"/>
      <c r="J468" s="38">
        <f>ROUND(F468,3)</f>
        <v>1</v>
      </c>
      <c r="K468" s="40">
        <f>SUM(J468:J468)</f>
        <v>1</v>
      </c>
      <c r="L468" s="29"/>
      <c r="M468" s="29"/>
    </row>
    <row r="469" spans="1:13" ht="15.5" customHeight="1" thickBot="1" x14ac:dyDescent="0.35">
      <c r="A469" s="10" t="s">
        <v>1419</v>
      </c>
      <c r="B469" s="5" t="s">
        <v>1420</v>
      </c>
      <c r="C469" s="5" t="s">
        <v>1421</v>
      </c>
      <c r="D469" s="52" t="s">
        <v>1422</v>
      </c>
      <c r="E469" s="52"/>
      <c r="F469" s="52"/>
      <c r="G469" s="52"/>
      <c r="H469" s="52"/>
      <c r="I469" s="52"/>
      <c r="J469" s="52"/>
      <c r="K469" s="20">
        <f>ROUND(2,2)</f>
        <v>2</v>
      </c>
      <c r="L469" s="21">
        <f>ROUND(18.78*(1+M2/100),2)</f>
        <v>19.34</v>
      </c>
      <c r="M469" s="21">
        <f>ROUND(K469*L469,2)</f>
        <v>38.68</v>
      </c>
    </row>
    <row r="470" spans="1:13" ht="15.5" customHeight="1" thickBot="1" x14ac:dyDescent="0.35">
      <c r="A470" s="22"/>
      <c r="B470" s="22"/>
      <c r="C470" s="22"/>
      <c r="D470" s="23" t="s">
        <v>1423</v>
      </c>
      <c r="E470" s="24"/>
      <c r="F470" s="24"/>
      <c r="G470" s="24"/>
      <c r="H470" s="24"/>
      <c r="I470" s="24"/>
      <c r="J470" s="24"/>
      <c r="K470" s="24"/>
      <c r="L470" s="25">
        <f>M456+M459+M462+M463+M466+M469</f>
        <v>269.52</v>
      </c>
      <c r="M470" s="25">
        <f>ROUND(L470,2)</f>
        <v>269.52</v>
      </c>
    </row>
    <row r="471" spans="1:13" ht="15.5" customHeight="1" thickBot="1" x14ac:dyDescent="0.35">
      <c r="A471" s="26" t="s">
        <v>1424</v>
      </c>
      <c r="B471" s="26" t="s">
        <v>1425</v>
      </c>
      <c r="C471" s="27"/>
      <c r="D471" s="53" t="s">
        <v>1426</v>
      </c>
      <c r="E471" s="53"/>
      <c r="F471" s="53"/>
      <c r="G471" s="53"/>
      <c r="H471" s="53"/>
      <c r="I471" s="53"/>
      <c r="J471" s="53"/>
      <c r="K471" s="27"/>
      <c r="L471" s="28">
        <f>L473</f>
        <v>822.51</v>
      </c>
      <c r="M471" s="28">
        <f>ROUND(L471,2)</f>
        <v>822.51</v>
      </c>
    </row>
    <row r="472" spans="1:13" ht="15.5" customHeight="1" thickBot="1" x14ac:dyDescent="0.35">
      <c r="A472" s="10" t="s">
        <v>1427</v>
      </c>
      <c r="B472" s="5" t="s">
        <v>1428</v>
      </c>
      <c r="C472" s="5" t="s">
        <v>1429</v>
      </c>
      <c r="D472" s="52" t="s">
        <v>1430</v>
      </c>
      <c r="E472" s="52"/>
      <c r="F472" s="52"/>
      <c r="G472" s="52"/>
      <c r="H472" s="52"/>
      <c r="I472" s="52"/>
      <c r="J472" s="52"/>
      <c r="K472" s="20">
        <f>ROUND(39,2)</f>
        <v>39</v>
      </c>
      <c r="L472" s="21">
        <f>ROUND(20.48*(1+M2/100),2)</f>
        <v>21.09</v>
      </c>
      <c r="M472" s="21">
        <f>ROUND(K472*L472,2)</f>
        <v>822.51</v>
      </c>
    </row>
    <row r="473" spans="1:13" ht="15.5" customHeight="1" thickBot="1" x14ac:dyDescent="0.35">
      <c r="A473" s="22"/>
      <c r="B473" s="22"/>
      <c r="C473" s="22"/>
      <c r="D473" s="23" t="s">
        <v>1431</v>
      </c>
      <c r="E473" s="24"/>
      <c r="F473" s="24"/>
      <c r="G473" s="24"/>
      <c r="H473" s="24"/>
      <c r="I473" s="24"/>
      <c r="J473" s="24"/>
      <c r="K473" s="24"/>
      <c r="L473" s="25">
        <f>M472</f>
        <v>822.51</v>
      </c>
      <c r="M473" s="25">
        <f>ROUND(L473,2)</f>
        <v>822.51</v>
      </c>
    </row>
    <row r="474" spans="1:13" ht="15.5" customHeight="1" thickBot="1" x14ac:dyDescent="0.35">
      <c r="A474" s="26" t="s">
        <v>1432</v>
      </c>
      <c r="B474" s="26" t="s">
        <v>1433</v>
      </c>
      <c r="C474" s="27"/>
      <c r="D474" s="53" t="s">
        <v>1434</v>
      </c>
      <c r="E474" s="53"/>
      <c r="F474" s="53"/>
      <c r="G474" s="53"/>
      <c r="H474" s="53"/>
      <c r="I474" s="53"/>
      <c r="J474" s="53"/>
      <c r="K474" s="27"/>
      <c r="L474" s="28">
        <f>L476</f>
        <v>123.6</v>
      </c>
      <c r="M474" s="28">
        <f>ROUND(L474,2)</f>
        <v>123.6</v>
      </c>
    </row>
    <row r="475" spans="1:13" ht="15.5" customHeight="1" thickBot="1" x14ac:dyDescent="0.35">
      <c r="A475" s="10" t="s">
        <v>1435</v>
      </c>
      <c r="B475" s="5" t="s">
        <v>1436</v>
      </c>
      <c r="C475" s="5" t="s">
        <v>1437</v>
      </c>
      <c r="D475" s="52" t="s">
        <v>1438</v>
      </c>
      <c r="E475" s="52"/>
      <c r="F475" s="52"/>
      <c r="G475" s="52"/>
      <c r="H475" s="52"/>
      <c r="I475" s="52"/>
      <c r="J475" s="52"/>
      <c r="K475" s="20">
        <f>ROUND(1,2)</f>
        <v>1</v>
      </c>
      <c r="L475" s="21">
        <f>ROUND(120*(1+M2/100),2)</f>
        <v>123.6</v>
      </c>
      <c r="M475" s="21">
        <f>ROUND(K475*L475,2)</f>
        <v>123.6</v>
      </c>
    </row>
    <row r="476" spans="1:13" ht="15.5" customHeight="1" thickBot="1" x14ac:dyDescent="0.35">
      <c r="A476" s="22"/>
      <c r="B476" s="22"/>
      <c r="C476" s="22"/>
      <c r="D476" s="23" t="s">
        <v>1439</v>
      </c>
      <c r="E476" s="24"/>
      <c r="F476" s="24"/>
      <c r="G476" s="24"/>
      <c r="H476" s="24"/>
      <c r="I476" s="24"/>
      <c r="J476" s="24"/>
      <c r="K476" s="24"/>
      <c r="L476" s="25">
        <f>M475</f>
        <v>123.6</v>
      </c>
      <c r="M476" s="25">
        <f>ROUND(L476,2)</f>
        <v>123.6</v>
      </c>
    </row>
    <row r="477" spans="1:13" ht="15.5" customHeight="1" thickBot="1" x14ac:dyDescent="0.35">
      <c r="A477" s="42"/>
      <c r="B477" s="42"/>
      <c r="C477" s="42"/>
      <c r="D477" s="43" t="s">
        <v>1440</v>
      </c>
      <c r="E477" s="44"/>
      <c r="F477" s="44"/>
      <c r="G477" s="44"/>
      <c r="H477" s="44"/>
      <c r="I477" s="44"/>
      <c r="J477" s="44"/>
      <c r="K477" s="44"/>
      <c r="L477" s="45">
        <f>M450+M454+M470+M473+M476</f>
        <v>2761.06</v>
      </c>
      <c r="M477" s="45">
        <f>ROUND(L477,2)</f>
        <v>2761.06</v>
      </c>
    </row>
    <row r="478" spans="1:13" ht="15.5" customHeight="1" thickBot="1" x14ac:dyDescent="0.35">
      <c r="A478" s="46" t="s">
        <v>1441</v>
      </c>
      <c r="B478" s="46" t="s">
        <v>1442</v>
      </c>
      <c r="C478" s="47"/>
      <c r="D478" s="54" t="s">
        <v>1443</v>
      </c>
      <c r="E478" s="54"/>
      <c r="F478" s="54"/>
      <c r="G478" s="54"/>
      <c r="H478" s="54"/>
      <c r="I478" s="54"/>
      <c r="J478" s="54"/>
      <c r="K478" s="47"/>
      <c r="L478" s="48">
        <f>L526</f>
        <v>3298.2499999999995</v>
      </c>
      <c r="M478" s="48">
        <f>ROUND(L478,2)</f>
        <v>3298.25</v>
      </c>
    </row>
    <row r="479" spans="1:13" ht="15.5" customHeight="1" thickBot="1" x14ac:dyDescent="0.35">
      <c r="A479" s="17" t="s">
        <v>1444</v>
      </c>
      <c r="B479" s="17" t="s">
        <v>1445</v>
      </c>
      <c r="C479" s="18"/>
      <c r="D479" s="55" t="s">
        <v>1446</v>
      </c>
      <c r="E479" s="55"/>
      <c r="F479" s="55"/>
      <c r="G479" s="55"/>
      <c r="H479" s="55"/>
      <c r="I479" s="55"/>
      <c r="J479" s="55"/>
      <c r="K479" s="18"/>
      <c r="L479" s="19">
        <f>L483</f>
        <v>600</v>
      </c>
      <c r="M479" s="19">
        <f>ROUND(L479,2)</f>
        <v>600</v>
      </c>
    </row>
    <row r="480" spans="1:13" ht="15.5" customHeight="1" thickBot="1" x14ac:dyDescent="0.35">
      <c r="A480" s="10" t="s">
        <v>1447</v>
      </c>
      <c r="B480" s="5" t="s">
        <v>1448</v>
      </c>
      <c r="C480" s="5" t="s">
        <v>1449</v>
      </c>
      <c r="D480" s="52" t="s">
        <v>1450</v>
      </c>
      <c r="E480" s="52"/>
      <c r="F480" s="52"/>
      <c r="G480" s="52"/>
      <c r="H480" s="52"/>
      <c r="I480" s="52"/>
      <c r="J480" s="52"/>
      <c r="K480" s="20">
        <f>ROUND(1,2)</f>
        <v>1</v>
      </c>
      <c r="L480" s="21">
        <f>ROUND(145.631*(1+M2/100),2)</f>
        <v>150</v>
      </c>
      <c r="M480" s="21">
        <f>ROUND(K480*L480,2)</f>
        <v>150</v>
      </c>
    </row>
    <row r="481" spans="1:13" ht="15.5" customHeight="1" thickBot="1" x14ac:dyDescent="0.35">
      <c r="A481" s="10" t="s">
        <v>1451</v>
      </c>
      <c r="B481" s="5" t="s">
        <v>1452</v>
      </c>
      <c r="C481" s="5" t="s">
        <v>1453</v>
      </c>
      <c r="D481" s="52" t="s">
        <v>1454</v>
      </c>
      <c r="E481" s="52"/>
      <c r="F481" s="52"/>
      <c r="G481" s="52"/>
      <c r="H481" s="52"/>
      <c r="I481" s="52"/>
      <c r="J481" s="52"/>
      <c r="K481" s="20">
        <f>ROUND(1,2)</f>
        <v>1</v>
      </c>
      <c r="L481" s="21">
        <f>ROUND(242.718*(1+M2/100),2)</f>
        <v>250</v>
      </c>
      <c r="M481" s="21">
        <f>ROUND(K481*L481,2)</f>
        <v>250</v>
      </c>
    </row>
    <row r="482" spans="1:13" ht="15.5" customHeight="1" thickBot="1" x14ac:dyDescent="0.35">
      <c r="A482" s="10" t="s">
        <v>1455</v>
      </c>
      <c r="B482" s="5" t="s">
        <v>1456</v>
      </c>
      <c r="C482" s="5" t="s">
        <v>1457</v>
      </c>
      <c r="D482" s="52" t="s">
        <v>1458</v>
      </c>
      <c r="E482" s="52"/>
      <c r="F482" s="52"/>
      <c r="G482" s="52"/>
      <c r="H482" s="52"/>
      <c r="I482" s="52"/>
      <c r="J482" s="52"/>
      <c r="K482" s="20">
        <f>ROUND(1,2)</f>
        <v>1</v>
      </c>
      <c r="L482" s="21">
        <f>ROUND(194.175*(1+M2/100),2)</f>
        <v>200</v>
      </c>
      <c r="M482" s="21">
        <f>ROUND(K482*L482,2)</f>
        <v>200</v>
      </c>
    </row>
    <row r="483" spans="1:13" ht="15.5" customHeight="1" thickBot="1" x14ac:dyDescent="0.35">
      <c r="A483" s="22"/>
      <c r="B483" s="22"/>
      <c r="C483" s="22"/>
      <c r="D483" s="23" t="s">
        <v>1459</v>
      </c>
      <c r="E483" s="24"/>
      <c r="F483" s="24"/>
      <c r="G483" s="24"/>
      <c r="H483" s="24"/>
      <c r="I483" s="24"/>
      <c r="J483" s="24"/>
      <c r="K483" s="24"/>
      <c r="L483" s="25">
        <f>M480+M481+M482</f>
        <v>600</v>
      </c>
      <c r="M483" s="25">
        <f>ROUND(L483,2)</f>
        <v>600</v>
      </c>
    </row>
    <row r="484" spans="1:13" ht="15.5" customHeight="1" thickBot="1" x14ac:dyDescent="0.35">
      <c r="A484" s="26" t="s">
        <v>1460</v>
      </c>
      <c r="B484" s="26" t="s">
        <v>1461</v>
      </c>
      <c r="C484" s="27"/>
      <c r="D484" s="53" t="s">
        <v>1462</v>
      </c>
      <c r="E484" s="53"/>
      <c r="F484" s="53"/>
      <c r="G484" s="53"/>
      <c r="H484" s="53"/>
      <c r="I484" s="53"/>
      <c r="J484" s="53"/>
      <c r="K484" s="27"/>
      <c r="L484" s="28">
        <f>L486</f>
        <v>987.4</v>
      </c>
      <c r="M484" s="28">
        <f>ROUND(L484,2)</f>
        <v>987.4</v>
      </c>
    </row>
    <row r="485" spans="1:13" ht="15.5" customHeight="1" thickBot="1" x14ac:dyDescent="0.35">
      <c r="A485" s="10" t="s">
        <v>1463</v>
      </c>
      <c r="B485" s="5" t="s">
        <v>1464</v>
      </c>
      <c r="C485" s="5" t="s">
        <v>1465</v>
      </c>
      <c r="D485" s="52" t="s">
        <v>1466</v>
      </c>
      <c r="E485" s="52"/>
      <c r="F485" s="52"/>
      <c r="G485" s="52"/>
      <c r="H485" s="52"/>
      <c r="I485" s="52"/>
      <c r="J485" s="52"/>
      <c r="K485" s="20">
        <f>ROUND(1,2)</f>
        <v>1</v>
      </c>
      <c r="L485" s="21">
        <f>ROUND(958.64*(1+M2/100),2)</f>
        <v>987.4</v>
      </c>
      <c r="M485" s="21">
        <f>ROUND(K485*L485,2)</f>
        <v>987.4</v>
      </c>
    </row>
    <row r="486" spans="1:13" ht="15.5" customHeight="1" thickBot="1" x14ac:dyDescent="0.35">
      <c r="A486" s="22"/>
      <c r="B486" s="22"/>
      <c r="C486" s="22"/>
      <c r="D486" s="23" t="s">
        <v>1467</v>
      </c>
      <c r="E486" s="24"/>
      <c r="F486" s="24"/>
      <c r="G486" s="24"/>
      <c r="H486" s="24"/>
      <c r="I486" s="24"/>
      <c r="J486" s="24"/>
      <c r="K486" s="24"/>
      <c r="L486" s="25">
        <f>M485</f>
        <v>987.4</v>
      </c>
      <c r="M486" s="25">
        <f>ROUND(L486,2)</f>
        <v>987.4</v>
      </c>
    </row>
    <row r="487" spans="1:13" ht="15.5" customHeight="1" thickBot="1" x14ac:dyDescent="0.35">
      <c r="A487" s="26" t="s">
        <v>1468</v>
      </c>
      <c r="B487" s="26" t="s">
        <v>1469</v>
      </c>
      <c r="C487" s="27"/>
      <c r="D487" s="53" t="s">
        <v>1470</v>
      </c>
      <c r="E487" s="53"/>
      <c r="F487" s="53"/>
      <c r="G487" s="53"/>
      <c r="H487" s="53"/>
      <c r="I487" s="53"/>
      <c r="J487" s="53"/>
      <c r="K487" s="27"/>
      <c r="L487" s="28">
        <f>L501</f>
        <v>524.14</v>
      </c>
      <c r="M487" s="28">
        <f>ROUND(L487,2)</f>
        <v>524.14</v>
      </c>
    </row>
    <row r="488" spans="1:13" ht="30.9" customHeight="1" thickBot="1" x14ac:dyDescent="0.35">
      <c r="A488" s="10" t="s">
        <v>1471</v>
      </c>
      <c r="B488" s="5" t="s">
        <v>1472</v>
      </c>
      <c r="C488" s="5" t="s">
        <v>1473</v>
      </c>
      <c r="D488" s="52" t="s">
        <v>1474</v>
      </c>
      <c r="E488" s="52"/>
      <c r="F488" s="52"/>
      <c r="G488" s="52"/>
      <c r="H488" s="52"/>
      <c r="I488" s="52"/>
      <c r="J488" s="52"/>
      <c r="K488" s="20">
        <f>SUM(K490:K490)</f>
        <v>45</v>
      </c>
      <c r="L488" s="21">
        <f>ROUND(1.08*(1+M2/100),2)</f>
        <v>1.1100000000000001</v>
      </c>
      <c r="M488" s="21">
        <f>ROUND(K488*L488,2)</f>
        <v>49.95</v>
      </c>
    </row>
    <row r="489" spans="1:13" ht="15.25" customHeight="1" thickBot="1" x14ac:dyDescent="0.35">
      <c r="A489" s="29"/>
      <c r="B489" s="29"/>
      <c r="C489" s="29"/>
      <c r="D489" s="29"/>
      <c r="E489" s="30"/>
      <c r="F489" s="32" t="s">
        <v>1475</v>
      </c>
      <c r="G489" s="32" t="s">
        <v>1476</v>
      </c>
      <c r="H489" s="32" t="s">
        <v>1477</v>
      </c>
      <c r="I489" s="32" t="s">
        <v>1478</v>
      </c>
      <c r="J489" s="32" t="s">
        <v>1479</v>
      </c>
      <c r="K489" s="32" t="s">
        <v>1480</v>
      </c>
      <c r="L489" s="29"/>
      <c r="M489" s="29"/>
    </row>
    <row r="490" spans="1:13" ht="15.25" customHeight="1" thickBot="1" x14ac:dyDescent="0.35">
      <c r="A490" s="29"/>
      <c r="B490" s="29"/>
      <c r="C490" s="29"/>
      <c r="D490" s="33"/>
      <c r="E490" s="34" t="s">
        <v>1481</v>
      </c>
      <c r="F490" s="35">
        <v>3</v>
      </c>
      <c r="G490" s="36">
        <v>15</v>
      </c>
      <c r="H490" s="36"/>
      <c r="I490" s="36"/>
      <c r="J490" s="38">
        <f>ROUND(F490*G490,3)</f>
        <v>45</v>
      </c>
      <c r="K490" s="40">
        <f>SUM(J490:J490)</f>
        <v>45</v>
      </c>
      <c r="L490" s="29"/>
      <c r="M490" s="29"/>
    </row>
    <row r="491" spans="1:13" ht="30.9" customHeight="1" thickBot="1" x14ac:dyDescent="0.35">
      <c r="A491" s="10" t="s">
        <v>1482</v>
      </c>
      <c r="B491" s="5" t="s">
        <v>1483</v>
      </c>
      <c r="C491" s="5" t="s">
        <v>1484</v>
      </c>
      <c r="D491" s="52" t="s">
        <v>1485</v>
      </c>
      <c r="E491" s="52"/>
      <c r="F491" s="52"/>
      <c r="G491" s="52"/>
      <c r="H491" s="52"/>
      <c r="I491" s="52"/>
      <c r="J491" s="52"/>
      <c r="K491" s="20">
        <f>SUM(K493:K494)</f>
        <v>165</v>
      </c>
      <c r="L491" s="21">
        <f>ROUND(1.25*(1+M2/100),2)</f>
        <v>1.29</v>
      </c>
      <c r="M491" s="21">
        <f>ROUND(K491*L491,2)</f>
        <v>212.85</v>
      </c>
    </row>
    <row r="492" spans="1:13" ht="15.25" customHeight="1" thickBot="1" x14ac:dyDescent="0.35">
      <c r="A492" s="29"/>
      <c r="B492" s="29"/>
      <c r="C492" s="29"/>
      <c r="D492" s="29"/>
      <c r="E492" s="30"/>
      <c r="F492" s="32" t="s">
        <v>1486</v>
      </c>
      <c r="G492" s="32" t="s">
        <v>1487</v>
      </c>
      <c r="H492" s="32" t="s">
        <v>1488</v>
      </c>
      <c r="I492" s="32" t="s">
        <v>1489</v>
      </c>
      <c r="J492" s="32" t="s">
        <v>1490</v>
      </c>
      <c r="K492" s="32" t="s">
        <v>1491</v>
      </c>
      <c r="L492" s="29"/>
      <c r="M492" s="29"/>
    </row>
    <row r="493" spans="1:13" ht="15.25" customHeight="1" thickBot="1" x14ac:dyDescent="0.35">
      <c r="A493" s="29"/>
      <c r="B493" s="29"/>
      <c r="C493" s="29"/>
      <c r="D493" s="33"/>
      <c r="E493" s="34" t="s">
        <v>1492</v>
      </c>
      <c r="F493" s="35">
        <v>3</v>
      </c>
      <c r="G493" s="36">
        <v>20</v>
      </c>
      <c r="H493" s="36"/>
      <c r="I493" s="36"/>
      <c r="J493" s="38">
        <f>ROUND(F493*G493,3)</f>
        <v>60</v>
      </c>
      <c r="K493" s="41"/>
      <c r="L493" s="29"/>
      <c r="M493" s="29"/>
    </row>
    <row r="494" spans="1:13" ht="15.25" customHeight="1" thickBot="1" x14ac:dyDescent="0.35">
      <c r="A494" s="29"/>
      <c r="B494" s="29"/>
      <c r="C494" s="29"/>
      <c r="D494" s="33"/>
      <c r="E494" s="5" t="s">
        <v>1493</v>
      </c>
      <c r="F494" s="3">
        <v>3</v>
      </c>
      <c r="G494" s="20">
        <v>35</v>
      </c>
      <c r="H494" s="20"/>
      <c r="I494" s="20"/>
      <c r="J494" s="37">
        <f>ROUND(F494*G494,3)</f>
        <v>105</v>
      </c>
      <c r="K494" s="39">
        <f>SUM(J493:J494)</f>
        <v>165</v>
      </c>
      <c r="L494" s="29"/>
      <c r="M494" s="29"/>
    </row>
    <row r="495" spans="1:13" ht="15.5" customHeight="1" thickBot="1" x14ac:dyDescent="0.35">
      <c r="A495" s="10" t="s">
        <v>1494</v>
      </c>
      <c r="B495" s="5" t="s">
        <v>1495</v>
      </c>
      <c r="C495" s="5" t="s">
        <v>1496</v>
      </c>
      <c r="D495" s="52" t="s">
        <v>1497</v>
      </c>
      <c r="E495" s="52"/>
      <c r="F495" s="52"/>
      <c r="G495" s="52"/>
      <c r="H495" s="52"/>
      <c r="I495" s="52"/>
      <c r="J495" s="52"/>
      <c r="K495" s="20">
        <f>SUM(K497:K500)</f>
        <v>73</v>
      </c>
      <c r="L495" s="21">
        <f>ROUND(3.48*(1+M2/100),2)</f>
        <v>3.58</v>
      </c>
      <c r="M495" s="21">
        <f>ROUND(K495*L495,2)</f>
        <v>261.33999999999997</v>
      </c>
    </row>
    <row r="496" spans="1:13" ht="15.25" customHeight="1" thickBot="1" x14ac:dyDescent="0.35">
      <c r="A496" s="29"/>
      <c r="B496" s="29"/>
      <c r="C496" s="29"/>
      <c r="D496" s="29"/>
      <c r="E496" s="30"/>
      <c r="F496" s="32" t="s">
        <v>1498</v>
      </c>
      <c r="G496" s="32" t="s">
        <v>1499</v>
      </c>
      <c r="H496" s="32" t="s">
        <v>1500</v>
      </c>
      <c r="I496" s="32" t="s">
        <v>1501</v>
      </c>
      <c r="J496" s="32" t="s">
        <v>1502</v>
      </c>
      <c r="K496" s="32" t="s">
        <v>1503</v>
      </c>
      <c r="L496" s="29"/>
      <c r="M496" s="29"/>
    </row>
    <row r="497" spans="1:13" ht="15.25" customHeight="1" thickBot="1" x14ac:dyDescent="0.35">
      <c r="A497" s="29"/>
      <c r="B497" s="29"/>
      <c r="C497" s="29"/>
      <c r="D497" s="33"/>
      <c r="E497" s="34" t="s">
        <v>1504</v>
      </c>
      <c r="F497" s="35"/>
      <c r="G497" s="36">
        <v>20</v>
      </c>
      <c r="H497" s="36"/>
      <c r="I497" s="36"/>
      <c r="J497" s="38">
        <f>ROUND(G497,3)</f>
        <v>20</v>
      </c>
      <c r="K497" s="41"/>
      <c r="L497" s="29"/>
      <c r="M497" s="29"/>
    </row>
    <row r="498" spans="1:13" ht="15.25" customHeight="1" thickBot="1" x14ac:dyDescent="0.35">
      <c r="A498" s="29"/>
      <c r="B498" s="29"/>
      <c r="C498" s="29"/>
      <c r="D498" s="33"/>
      <c r="E498" s="5" t="s">
        <v>1505</v>
      </c>
      <c r="F498" s="3"/>
      <c r="G498" s="20">
        <v>15</v>
      </c>
      <c r="H498" s="20"/>
      <c r="I498" s="20"/>
      <c r="J498" s="37">
        <f>ROUND(G498,3)</f>
        <v>15</v>
      </c>
      <c r="K498" s="29"/>
      <c r="L498" s="29"/>
      <c r="M498" s="29"/>
    </row>
    <row r="499" spans="1:13" ht="21.65" customHeight="1" thickBot="1" x14ac:dyDescent="0.35">
      <c r="A499" s="29"/>
      <c r="B499" s="29"/>
      <c r="C499" s="29"/>
      <c r="D499" s="33"/>
      <c r="E499" s="5" t="s">
        <v>1506</v>
      </c>
      <c r="F499" s="3"/>
      <c r="G499" s="20">
        <v>3</v>
      </c>
      <c r="H499" s="20"/>
      <c r="I499" s="20"/>
      <c r="J499" s="37">
        <f>ROUND(G499,3)</f>
        <v>3</v>
      </c>
      <c r="K499" s="29"/>
      <c r="L499" s="29"/>
      <c r="M499" s="29"/>
    </row>
    <row r="500" spans="1:13" ht="15.25" customHeight="1" thickBot="1" x14ac:dyDescent="0.35">
      <c r="A500" s="29"/>
      <c r="B500" s="29"/>
      <c r="C500" s="29"/>
      <c r="D500" s="33"/>
      <c r="E500" s="5" t="s">
        <v>1507</v>
      </c>
      <c r="F500" s="3"/>
      <c r="G500" s="20">
        <v>35</v>
      </c>
      <c r="H500" s="20"/>
      <c r="I500" s="20"/>
      <c r="J500" s="37">
        <f>ROUND(G500,3)</f>
        <v>35</v>
      </c>
      <c r="K500" s="39">
        <f>SUM(J497:J500)</f>
        <v>73</v>
      </c>
      <c r="L500" s="29"/>
      <c r="M500" s="29"/>
    </row>
    <row r="501" spans="1:13" ht="15.5" customHeight="1" thickBot="1" x14ac:dyDescent="0.35">
      <c r="A501" s="22"/>
      <c r="B501" s="22"/>
      <c r="C501" s="22"/>
      <c r="D501" s="23" t="s">
        <v>1508</v>
      </c>
      <c r="E501" s="24"/>
      <c r="F501" s="24"/>
      <c r="G501" s="24"/>
      <c r="H501" s="24"/>
      <c r="I501" s="24"/>
      <c r="J501" s="24"/>
      <c r="K501" s="24"/>
      <c r="L501" s="25">
        <f>M488+M491+M495</f>
        <v>524.14</v>
      </c>
      <c r="M501" s="25">
        <f>ROUND(L501,2)</f>
        <v>524.14</v>
      </c>
    </row>
    <row r="502" spans="1:13" ht="15.5" customHeight="1" thickBot="1" x14ac:dyDescent="0.35">
      <c r="A502" s="26" t="s">
        <v>1509</v>
      </c>
      <c r="B502" s="26" t="s">
        <v>1510</v>
      </c>
      <c r="C502" s="27"/>
      <c r="D502" s="53" t="s">
        <v>1511</v>
      </c>
      <c r="E502" s="53"/>
      <c r="F502" s="53"/>
      <c r="G502" s="53"/>
      <c r="H502" s="53"/>
      <c r="I502" s="53"/>
      <c r="J502" s="53"/>
      <c r="K502" s="27"/>
      <c r="L502" s="28">
        <f>L518</f>
        <v>630.14</v>
      </c>
      <c r="M502" s="28">
        <f>ROUND(L502,2)</f>
        <v>630.14</v>
      </c>
    </row>
    <row r="503" spans="1:13" ht="15.5" customHeight="1" thickBot="1" x14ac:dyDescent="0.35">
      <c r="A503" s="10" t="s">
        <v>1512</v>
      </c>
      <c r="B503" s="5" t="s">
        <v>1513</v>
      </c>
      <c r="C503" s="5" t="s">
        <v>1514</v>
      </c>
      <c r="D503" s="52" t="s">
        <v>1515</v>
      </c>
      <c r="E503" s="52"/>
      <c r="F503" s="52"/>
      <c r="G503" s="52"/>
      <c r="H503" s="52"/>
      <c r="I503" s="52"/>
      <c r="J503" s="52"/>
      <c r="K503" s="20">
        <f>SUM(K505:K506)</f>
        <v>2</v>
      </c>
      <c r="L503" s="21">
        <f>ROUND(23.62*(1+M2/100),2)</f>
        <v>24.33</v>
      </c>
      <c r="M503" s="21">
        <f>ROUND(K503*L503,2)</f>
        <v>48.66</v>
      </c>
    </row>
    <row r="504" spans="1:13" ht="15.25" customHeight="1" thickBot="1" x14ac:dyDescent="0.35">
      <c r="A504" s="29"/>
      <c r="B504" s="29"/>
      <c r="C504" s="29"/>
      <c r="D504" s="29"/>
      <c r="E504" s="30"/>
      <c r="F504" s="32" t="s">
        <v>1516</v>
      </c>
      <c r="G504" s="32" t="s">
        <v>1517</v>
      </c>
      <c r="H504" s="32" t="s">
        <v>1518</v>
      </c>
      <c r="I504" s="32" t="s">
        <v>1519</v>
      </c>
      <c r="J504" s="32" t="s">
        <v>1520</v>
      </c>
      <c r="K504" s="32" t="s">
        <v>1521</v>
      </c>
      <c r="L504" s="29"/>
      <c r="M504" s="29"/>
    </row>
    <row r="505" spans="1:13" ht="21.65" customHeight="1" thickBot="1" x14ac:dyDescent="0.35">
      <c r="A505" s="29"/>
      <c r="B505" s="29"/>
      <c r="C505" s="29"/>
      <c r="D505" s="33"/>
      <c r="E505" s="34" t="s">
        <v>1522</v>
      </c>
      <c r="F505" s="35">
        <v>1</v>
      </c>
      <c r="G505" s="36"/>
      <c r="H505" s="36"/>
      <c r="I505" s="36"/>
      <c r="J505" s="38">
        <f>ROUND(F505,3)</f>
        <v>1</v>
      </c>
      <c r="K505" s="41"/>
      <c r="L505" s="29"/>
      <c r="M505" s="29"/>
    </row>
    <row r="506" spans="1:13" ht="15.25" customHeight="1" thickBot="1" x14ac:dyDescent="0.35">
      <c r="A506" s="29"/>
      <c r="B506" s="29"/>
      <c r="C506" s="29"/>
      <c r="D506" s="33"/>
      <c r="E506" s="5" t="s">
        <v>1523</v>
      </c>
      <c r="F506" s="3">
        <v>1</v>
      </c>
      <c r="G506" s="20"/>
      <c r="H506" s="20"/>
      <c r="I506" s="20"/>
      <c r="J506" s="37">
        <f>ROUND(F506,3)</f>
        <v>1</v>
      </c>
      <c r="K506" s="39">
        <f>SUM(J505:J506)</f>
        <v>2</v>
      </c>
      <c r="L506" s="29"/>
      <c r="M506" s="29"/>
    </row>
    <row r="507" spans="1:13" ht="15.5" customHeight="1" thickBot="1" x14ac:dyDescent="0.35">
      <c r="A507" s="10" t="s">
        <v>1524</v>
      </c>
      <c r="B507" s="5" t="s">
        <v>1525</v>
      </c>
      <c r="C507" s="5" t="s">
        <v>1526</v>
      </c>
      <c r="D507" s="52" t="s">
        <v>1527</v>
      </c>
      <c r="E507" s="52"/>
      <c r="F507" s="52"/>
      <c r="G507" s="52"/>
      <c r="H507" s="52"/>
      <c r="I507" s="52"/>
      <c r="J507" s="52"/>
      <c r="K507" s="20">
        <f>SUM(K509:K509)</f>
        <v>1</v>
      </c>
      <c r="L507" s="21">
        <f>ROUND(40.83*(1+M2/100),2)</f>
        <v>42.05</v>
      </c>
      <c r="M507" s="21">
        <f>ROUND(K507*L507,2)</f>
        <v>42.05</v>
      </c>
    </row>
    <row r="508" spans="1:13" ht="15.25" customHeight="1" thickBot="1" x14ac:dyDescent="0.35">
      <c r="A508" s="29"/>
      <c r="B508" s="29"/>
      <c r="C508" s="29"/>
      <c r="D508" s="29"/>
      <c r="E508" s="30"/>
      <c r="F508" s="32" t="s">
        <v>1528</v>
      </c>
      <c r="G508" s="32" t="s">
        <v>1529</v>
      </c>
      <c r="H508" s="32" t="s">
        <v>1530</v>
      </c>
      <c r="I508" s="32" t="s">
        <v>1531</v>
      </c>
      <c r="J508" s="32" t="s">
        <v>1532</v>
      </c>
      <c r="K508" s="32" t="s">
        <v>1533</v>
      </c>
      <c r="L508" s="29"/>
      <c r="M508" s="29"/>
    </row>
    <row r="509" spans="1:13" ht="15.25" customHeight="1" thickBot="1" x14ac:dyDescent="0.35">
      <c r="A509" s="29"/>
      <c r="B509" s="29"/>
      <c r="C509" s="29"/>
      <c r="D509" s="33"/>
      <c r="E509" s="34" t="s">
        <v>1534</v>
      </c>
      <c r="F509" s="35">
        <v>1</v>
      </c>
      <c r="G509" s="36"/>
      <c r="H509" s="36"/>
      <c r="I509" s="36"/>
      <c r="J509" s="38">
        <f>ROUND(F509,3)</f>
        <v>1</v>
      </c>
      <c r="K509" s="40">
        <f>SUM(J509:J509)</f>
        <v>1</v>
      </c>
      <c r="L509" s="29"/>
      <c r="M509" s="29"/>
    </row>
    <row r="510" spans="1:13" ht="15.5" customHeight="1" thickBot="1" x14ac:dyDescent="0.35">
      <c r="A510" s="10" t="s">
        <v>1535</v>
      </c>
      <c r="B510" s="5" t="s">
        <v>1536</v>
      </c>
      <c r="C510" s="5" t="s">
        <v>1537</v>
      </c>
      <c r="D510" s="52" t="s">
        <v>1538</v>
      </c>
      <c r="E510" s="52"/>
      <c r="F510" s="52"/>
      <c r="G510" s="52"/>
      <c r="H510" s="52"/>
      <c r="I510" s="52"/>
      <c r="J510" s="52"/>
      <c r="K510" s="20">
        <f>SUM(K512:K516)</f>
        <v>6</v>
      </c>
      <c r="L510" s="21">
        <f>ROUND(58.67*(1+M2/100),2)</f>
        <v>60.43</v>
      </c>
      <c r="M510" s="21">
        <f>ROUND(K510*L510,2)</f>
        <v>362.58</v>
      </c>
    </row>
    <row r="511" spans="1:13" ht="15.25" customHeight="1" thickBot="1" x14ac:dyDescent="0.35">
      <c r="A511" s="29"/>
      <c r="B511" s="29"/>
      <c r="C511" s="29"/>
      <c r="D511" s="29"/>
      <c r="E511" s="30"/>
      <c r="F511" s="32" t="s">
        <v>1539</v>
      </c>
      <c r="G511" s="32" t="s">
        <v>1540</v>
      </c>
      <c r="H511" s="32" t="s">
        <v>1541</v>
      </c>
      <c r="I511" s="32" t="s">
        <v>1542</v>
      </c>
      <c r="J511" s="32" t="s">
        <v>1543</v>
      </c>
      <c r="K511" s="32" t="s">
        <v>1544</v>
      </c>
      <c r="L511" s="29"/>
      <c r="M511" s="29"/>
    </row>
    <row r="512" spans="1:13" ht="15.25" customHeight="1" thickBot="1" x14ac:dyDescent="0.35">
      <c r="A512" s="29"/>
      <c r="B512" s="29"/>
      <c r="C512" s="29"/>
      <c r="D512" s="33"/>
      <c r="E512" s="34" t="s">
        <v>1545</v>
      </c>
      <c r="F512" s="35">
        <v>1</v>
      </c>
      <c r="G512" s="36"/>
      <c r="H512" s="36"/>
      <c r="I512" s="36"/>
      <c r="J512" s="38">
        <f>ROUND(F512,3)</f>
        <v>1</v>
      </c>
      <c r="K512" s="41"/>
      <c r="L512" s="29"/>
      <c r="M512" s="29"/>
    </row>
    <row r="513" spans="1:13" ht="15.25" customHeight="1" thickBot="1" x14ac:dyDescent="0.35">
      <c r="A513" s="29"/>
      <c r="B513" s="29"/>
      <c r="C513" s="29"/>
      <c r="D513" s="33"/>
      <c r="E513" s="5" t="s">
        <v>1546</v>
      </c>
      <c r="F513" s="3">
        <v>1</v>
      </c>
      <c r="G513" s="20"/>
      <c r="H513" s="20"/>
      <c r="I513" s="20"/>
      <c r="J513" s="37">
        <f>ROUND(F513,3)</f>
        <v>1</v>
      </c>
      <c r="K513" s="29"/>
      <c r="L513" s="29"/>
      <c r="M513" s="29"/>
    </row>
    <row r="514" spans="1:13" ht="15.25" customHeight="1" thickBot="1" x14ac:dyDescent="0.35">
      <c r="A514" s="29"/>
      <c r="B514" s="29"/>
      <c r="C514" s="29"/>
      <c r="D514" s="33"/>
      <c r="E514" s="5" t="s">
        <v>1547</v>
      </c>
      <c r="F514" s="3">
        <v>1</v>
      </c>
      <c r="G514" s="20"/>
      <c r="H514" s="20"/>
      <c r="I514" s="20"/>
      <c r="J514" s="37">
        <f>ROUND(F514,3)</f>
        <v>1</v>
      </c>
      <c r="K514" s="29"/>
      <c r="L514" s="29"/>
      <c r="M514" s="29"/>
    </row>
    <row r="515" spans="1:13" ht="15.25" customHeight="1" thickBot="1" x14ac:dyDescent="0.35">
      <c r="A515" s="29"/>
      <c r="B515" s="29"/>
      <c r="C515" s="29"/>
      <c r="D515" s="33"/>
      <c r="E515" s="5" t="s">
        <v>1548</v>
      </c>
      <c r="F515" s="3">
        <v>1</v>
      </c>
      <c r="G515" s="20"/>
      <c r="H515" s="20"/>
      <c r="I515" s="20"/>
      <c r="J515" s="37">
        <f>ROUND(F515,3)</f>
        <v>1</v>
      </c>
      <c r="K515" s="29"/>
      <c r="L515" s="29"/>
      <c r="M515" s="29"/>
    </row>
    <row r="516" spans="1:13" ht="15.25" customHeight="1" thickBot="1" x14ac:dyDescent="0.35">
      <c r="A516" s="29"/>
      <c r="B516" s="29"/>
      <c r="C516" s="29"/>
      <c r="D516" s="33"/>
      <c r="E516" s="5" t="s">
        <v>1549</v>
      </c>
      <c r="F516" s="3">
        <v>2</v>
      </c>
      <c r="G516" s="20"/>
      <c r="H516" s="20"/>
      <c r="I516" s="20"/>
      <c r="J516" s="37">
        <f>ROUND(F516,3)</f>
        <v>2</v>
      </c>
      <c r="K516" s="39">
        <f>SUM(J512:J516)</f>
        <v>6</v>
      </c>
      <c r="L516" s="29"/>
      <c r="M516" s="29"/>
    </row>
    <row r="517" spans="1:13" ht="15.5" customHeight="1" thickBot="1" x14ac:dyDescent="0.35">
      <c r="A517" s="10" t="s">
        <v>1550</v>
      </c>
      <c r="B517" s="5" t="s">
        <v>1551</v>
      </c>
      <c r="C517" s="5" t="s">
        <v>1552</v>
      </c>
      <c r="D517" s="52" t="s">
        <v>1553</v>
      </c>
      <c r="E517" s="52"/>
      <c r="F517" s="52"/>
      <c r="G517" s="52"/>
      <c r="H517" s="52"/>
      <c r="I517" s="52"/>
      <c r="J517" s="52"/>
      <c r="K517" s="20">
        <f>ROUND(9,2)</f>
        <v>9</v>
      </c>
      <c r="L517" s="21">
        <f>ROUND(19.08*(1+M2/100),2)</f>
        <v>19.649999999999999</v>
      </c>
      <c r="M517" s="21">
        <f>ROUND(K517*L517,2)</f>
        <v>176.85</v>
      </c>
    </row>
    <row r="518" spans="1:13" ht="15.5" customHeight="1" thickBot="1" x14ac:dyDescent="0.35">
      <c r="A518" s="22"/>
      <c r="B518" s="22"/>
      <c r="C518" s="22"/>
      <c r="D518" s="23" t="s">
        <v>1554</v>
      </c>
      <c r="E518" s="24"/>
      <c r="F518" s="24"/>
      <c r="G518" s="24"/>
      <c r="H518" s="24"/>
      <c r="I518" s="24"/>
      <c r="J518" s="24"/>
      <c r="K518" s="24"/>
      <c r="L518" s="25">
        <f>M503+M507+M510+M517</f>
        <v>630.14</v>
      </c>
      <c r="M518" s="25">
        <f>ROUND(L518,2)</f>
        <v>630.14</v>
      </c>
    </row>
    <row r="519" spans="1:13" ht="15.5" customHeight="1" thickBot="1" x14ac:dyDescent="0.35">
      <c r="A519" s="26" t="s">
        <v>1555</v>
      </c>
      <c r="B519" s="26" t="s">
        <v>1556</v>
      </c>
      <c r="C519" s="27"/>
      <c r="D519" s="53" t="s">
        <v>1557</v>
      </c>
      <c r="E519" s="53"/>
      <c r="F519" s="53"/>
      <c r="G519" s="53"/>
      <c r="H519" s="53"/>
      <c r="I519" s="53"/>
      <c r="J519" s="53"/>
      <c r="K519" s="27"/>
      <c r="L519" s="28">
        <f>L522</f>
        <v>432.97</v>
      </c>
      <c r="M519" s="28">
        <f>ROUND(L519,2)</f>
        <v>432.97</v>
      </c>
    </row>
    <row r="520" spans="1:13" ht="15.5" customHeight="1" thickBot="1" x14ac:dyDescent="0.35">
      <c r="A520" s="10" t="s">
        <v>1558</v>
      </c>
      <c r="B520" s="5" t="s">
        <v>1559</v>
      </c>
      <c r="C520" s="5" t="s">
        <v>1560</v>
      </c>
      <c r="D520" s="52" t="s">
        <v>1561</v>
      </c>
      <c r="E520" s="52"/>
      <c r="F520" s="52"/>
      <c r="G520" s="52"/>
      <c r="H520" s="52"/>
      <c r="I520" s="52"/>
      <c r="J520" s="52"/>
      <c r="K520" s="20">
        <f>ROUND(5,2)</f>
        <v>5</v>
      </c>
      <c r="L520" s="21">
        <f>ROUND(51.31*(1+M2/100),2)</f>
        <v>52.85</v>
      </c>
      <c r="M520" s="21">
        <f>ROUND(K520*L520,2)</f>
        <v>264.25</v>
      </c>
    </row>
    <row r="521" spans="1:13" ht="15.5" customHeight="1" thickBot="1" x14ac:dyDescent="0.35">
      <c r="A521" s="10" t="s">
        <v>1562</v>
      </c>
      <c r="B521" s="5" t="s">
        <v>1563</v>
      </c>
      <c r="C521" s="5" t="s">
        <v>1564</v>
      </c>
      <c r="D521" s="52" t="s">
        <v>1565</v>
      </c>
      <c r="E521" s="52"/>
      <c r="F521" s="52"/>
      <c r="G521" s="52"/>
      <c r="H521" s="52"/>
      <c r="I521" s="52"/>
      <c r="J521" s="52"/>
      <c r="K521" s="20">
        <f>ROUND(8,2)</f>
        <v>8</v>
      </c>
      <c r="L521" s="21">
        <f>ROUND(20.48*(1+M2/100),2)</f>
        <v>21.09</v>
      </c>
      <c r="M521" s="21">
        <f>ROUND(K521*L521,2)</f>
        <v>168.72</v>
      </c>
    </row>
    <row r="522" spans="1:13" ht="15.5" customHeight="1" thickBot="1" x14ac:dyDescent="0.35">
      <c r="A522" s="22"/>
      <c r="B522" s="22"/>
      <c r="C522" s="22"/>
      <c r="D522" s="23" t="s">
        <v>1566</v>
      </c>
      <c r="E522" s="24"/>
      <c r="F522" s="24"/>
      <c r="G522" s="24"/>
      <c r="H522" s="24"/>
      <c r="I522" s="24"/>
      <c r="J522" s="24"/>
      <c r="K522" s="24"/>
      <c r="L522" s="25">
        <f>M520+M521</f>
        <v>432.97</v>
      </c>
      <c r="M522" s="25">
        <f>ROUND(L522,2)</f>
        <v>432.97</v>
      </c>
    </row>
    <row r="523" spans="1:13" ht="15.5" customHeight="1" thickBot="1" x14ac:dyDescent="0.35">
      <c r="A523" s="26" t="s">
        <v>1567</v>
      </c>
      <c r="B523" s="26" t="s">
        <v>1568</v>
      </c>
      <c r="C523" s="27"/>
      <c r="D523" s="53" t="s">
        <v>1569</v>
      </c>
      <c r="E523" s="53"/>
      <c r="F523" s="53"/>
      <c r="G523" s="53"/>
      <c r="H523" s="53"/>
      <c r="I523" s="53"/>
      <c r="J523" s="53"/>
      <c r="K523" s="27"/>
      <c r="L523" s="28">
        <f>L525</f>
        <v>123.6</v>
      </c>
      <c r="M523" s="28">
        <f>ROUND(L523,2)</f>
        <v>123.6</v>
      </c>
    </row>
    <row r="524" spans="1:13" ht="15.5" customHeight="1" thickBot="1" x14ac:dyDescent="0.35">
      <c r="A524" s="10" t="s">
        <v>1570</v>
      </c>
      <c r="B524" s="5" t="s">
        <v>1571</v>
      </c>
      <c r="C524" s="5" t="s">
        <v>1572</v>
      </c>
      <c r="D524" s="52" t="s">
        <v>1573</v>
      </c>
      <c r="E524" s="52"/>
      <c r="F524" s="52"/>
      <c r="G524" s="52"/>
      <c r="H524" s="52"/>
      <c r="I524" s="52"/>
      <c r="J524" s="52"/>
      <c r="K524" s="20">
        <f>ROUND(1,2)</f>
        <v>1</v>
      </c>
      <c r="L524" s="21">
        <f>ROUND(120*(1+M2/100),2)</f>
        <v>123.6</v>
      </c>
      <c r="M524" s="21">
        <f>ROUND(K524*L524,2)</f>
        <v>123.6</v>
      </c>
    </row>
    <row r="525" spans="1:13" ht="15.5" customHeight="1" thickBot="1" x14ac:dyDescent="0.35">
      <c r="A525" s="22"/>
      <c r="B525" s="22"/>
      <c r="C525" s="22"/>
      <c r="D525" s="23" t="s">
        <v>1574</v>
      </c>
      <c r="E525" s="24"/>
      <c r="F525" s="24"/>
      <c r="G525" s="24"/>
      <c r="H525" s="24"/>
      <c r="I525" s="24"/>
      <c r="J525" s="24"/>
      <c r="K525" s="24"/>
      <c r="L525" s="25">
        <f>M524</f>
        <v>123.6</v>
      </c>
      <c r="M525" s="25">
        <f>ROUND(L525,2)</f>
        <v>123.6</v>
      </c>
    </row>
    <row r="526" spans="1:13" ht="15.5" customHeight="1" thickBot="1" x14ac:dyDescent="0.35">
      <c r="A526" s="42"/>
      <c r="B526" s="42"/>
      <c r="C526" s="42"/>
      <c r="D526" s="43" t="s">
        <v>1575</v>
      </c>
      <c r="E526" s="44"/>
      <c r="F526" s="44"/>
      <c r="G526" s="44"/>
      <c r="H526" s="44"/>
      <c r="I526" s="44"/>
      <c r="J526" s="44"/>
      <c r="K526" s="44"/>
      <c r="L526" s="45">
        <f>M483+M486+M501+M518+M522+M525</f>
        <v>3298.2499999999995</v>
      </c>
      <c r="M526" s="45">
        <f>ROUND(L526,2)</f>
        <v>3298.25</v>
      </c>
    </row>
    <row r="527" spans="1:13" ht="15.5" customHeight="1" thickBot="1" x14ac:dyDescent="0.35">
      <c r="A527" s="46" t="s">
        <v>1576</v>
      </c>
      <c r="B527" s="46" t="s">
        <v>1577</v>
      </c>
      <c r="C527" s="47"/>
      <c r="D527" s="54" t="s">
        <v>1578</v>
      </c>
      <c r="E527" s="54"/>
      <c r="F527" s="54"/>
      <c r="G527" s="54"/>
      <c r="H527" s="54"/>
      <c r="I527" s="54"/>
      <c r="J527" s="54"/>
      <c r="K527" s="47"/>
      <c r="L527" s="48">
        <f>L573</f>
        <v>3528.8399999999997</v>
      </c>
      <c r="M527" s="48">
        <f>ROUND(L527,2)</f>
        <v>3528.84</v>
      </c>
    </row>
    <row r="528" spans="1:13" ht="15.5" customHeight="1" thickBot="1" x14ac:dyDescent="0.35">
      <c r="A528" s="17" t="s">
        <v>1579</v>
      </c>
      <c r="B528" s="17" t="s">
        <v>1580</v>
      </c>
      <c r="C528" s="18"/>
      <c r="D528" s="55" t="s">
        <v>1581</v>
      </c>
      <c r="E528" s="55"/>
      <c r="F528" s="55"/>
      <c r="G528" s="55"/>
      <c r="H528" s="55"/>
      <c r="I528" s="55"/>
      <c r="J528" s="55"/>
      <c r="K528" s="18"/>
      <c r="L528" s="19">
        <f>L532</f>
        <v>700</v>
      </c>
      <c r="M528" s="19">
        <f>ROUND(L528,2)</f>
        <v>700</v>
      </c>
    </row>
    <row r="529" spans="1:13" ht="15.5" customHeight="1" thickBot="1" x14ac:dyDescent="0.35">
      <c r="A529" s="10" t="s">
        <v>1582</v>
      </c>
      <c r="B529" s="5" t="s">
        <v>1583</v>
      </c>
      <c r="C529" s="5" t="s">
        <v>1584</v>
      </c>
      <c r="D529" s="52" t="s">
        <v>1585</v>
      </c>
      <c r="E529" s="52"/>
      <c r="F529" s="52"/>
      <c r="G529" s="52"/>
      <c r="H529" s="52"/>
      <c r="I529" s="52"/>
      <c r="J529" s="52"/>
      <c r="K529" s="20">
        <f>ROUND(1,2)</f>
        <v>1</v>
      </c>
      <c r="L529" s="21">
        <f>ROUND(242.718*(1+M2/100),2)</f>
        <v>250</v>
      </c>
      <c r="M529" s="21">
        <f>ROUND(K529*L529,2)</f>
        <v>250</v>
      </c>
    </row>
    <row r="530" spans="1:13" ht="15.5" customHeight="1" thickBot="1" x14ac:dyDescent="0.35">
      <c r="A530" s="10" t="s">
        <v>1586</v>
      </c>
      <c r="B530" s="5" t="s">
        <v>1587</v>
      </c>
      <c r="C530" s="5" t="s">
        <v>1588</v>
      </c>
      <c r="D530" s="52" t="s">
        <v>1589</v>
      </c>
      <c r="E530" s="52"/>
      <c r="F530" s="52"/>
      <c r="G530" s="52"/>
      <c r="H530" s="52"/>
      <c r="I530" s="52"/>
      <c r="J530" s="52"/>
      <c r="K530" s="20">
        <f>ROUND(1,2)</f>
        <v>1</v>
      </c>
      <c r="L530" s="21">
        <f>ROUND(242.718*(1+M2/100),2)</f>
        <v>250</v>
      </c>
      <c r="M530" s="21">
        <f>ROUND(K530*L530,2)</f>
        <v>250</v>
      </c>
    </row>
    <row r="531" spans="1:13" ht="15.5" customHeight="1" thickBot="1" x14ac:dyDescent="0.35">
      <c r="A531" s="10" t="s">
        <v>1590</v>
      </c>
      <c r="B531" s="5" t="s">
        <v>1591</v>
      </c>
      <c r="C531" s="5" t="s">
        <v>1592</v>
      </c>
      <c r="D531" s="52" t="s">
        <v>1593</v>
      </c>
      <c r="E531" s="52"/>
      <c r="F531" s="52"/>
      <c r="G531" s="52"/>
      <c r="H531" s="52"/>
      <c r="I531" s="52"/>
      <c r="J531" s="52"/>
      <c r="K531" s="20">
        <f>ROUND(1,2)</f>
        <v>1</v>
      </c>
      <c r="L531" s="21">
        <f>ROUND(194.175*(1+M2/100),2)</f>
        <v>200</v>
      </c>
      <c r="M531" s="21">
        <f>ROUND(K531*L531,2)</f>
        <v>200</v>
      </c>
    </row>
    <row r="532" spans="1:13" ht="15.5" customHeight="1" thickBot="1" x14ac:dyDescent="0.35">
      <c r="A532" s="22"/>
      <c r="B532" s="22"/>
      <c r="C532" s="22"/>
      <c r="D532" s="23" t="s">
        <v>1594</v>
      </c>
      <c r="E532" s="24"/>
      <c r="F532" s="24"/>
      <c r="G532" s="24"/>
      <c r="H532" s="24"/>
      <c r="I532" s="24"/>
      <c r="J532" s="24"/>
      <c r="K532" s="24"/>
      <c r="L532" s="25">
        <f>M529+M530+M531</f>
        <v>700</v>
      </c>
      <c r="M532" s="25">
        <f>ROUND(L532,2)</f>
        <v>700</v>
      </c>
    </row>
    <row r="533" spans="1:13" ht="15.5" customHeight="1" thickBot="1" x14ac:dyDescent="0.35">
      <c r="A533" s="26" t="s">
        <v>1595</v>
      </c>
      <c r="B533" s="26" t="s">
        <v>1596</v>
      </c>
      <c r="C533" s="27"/>
      <c r="D533" s="53" t="s">
        <v>1597</v>
      </c>
      <c r="E533" s="53"/>
      <c r="F533" s="53"/>
      <c r="G533" s="53"/>
      <c r="H533" s="53"/>
      <c r="I533" s="53"/>
      <c r="J533" s="53"/>
      <c r="K533" s="27"/>
      <c r="L533" s="28">
        <f>L535</f>
        <v>1111.32</v>
      </c>
      <c r="M533" s="28">
        <f>ROUND(L533,2)</f>
        <v>1111.32</v>
      </c>
    </row>
    <row r="534" spans="1:13" ht="15.5" customHeight="1" thickBot="1" x14ac:dyDescent="0.35">
      <c r="A534" s="10" t="s">
        <v>1598</v>
      </c>
      <c r="B534" s="5" t="s">
        <v>1599</v>
      </c>
      <c r="C534" s="5" t="s">
        <v>1600</v>
      </c>
      <c r="D534" s="52" t="s">
        <v>1601</v>
      </c>
      <c r="E534" s="52"/>
      <c r="F534" s="52"/>
      <c r="G534" s="52"/>
      <c r="H534" s="52"/>
      <c r="I534" s="52"/>
      <c r="J534" s="52"/>
      <c r="K534" s="20">
        <f>ROUND(1,2)</f>
        <v>1</v>
      </c>
      <c r="L534" s="21">
        <f>ROUND(1078.95*(1+M2/100),2)</f>
        <v>1111.32</v>
      </c>
      <c r="M534" s="21">
        <f>ROUND(K534*L534,2)</f>
        <v>1111.32</v>
      </c>
    </row>
    <row r="535" spans="1:13" ht="15.5" customHeight="1" thickBot="1" x14ac:dyDescent="0.35">
      <c r="A535" s="22"/>
      <c r="B535" s="22"/>
      <c r="C535" s="22"/>
      <c r="D535" s="23" t="s">
        <v>1602</v>
      </c>
      <c r="E535" s="24"/>
      <c r="F535" s="24"/>
      <c r="G535" s="24"/>
      <c r="H535" s="24"/>
      <c r="I535" s="24"/>
      <c r="J535" s="24"/>
      <c r="K535" s="24"/>
      <c r="L535" s="25">
        <f>M534</f>
        <v>1111.32</v>
      </c>
      <c r="M535" s="25">
        <f>ROUND(L535,2)</f>
        <v>1111.32</v>
      </c>
    </row>
    <row r="536" spans="1:13" ht="15.5" customHeight="1" thickBot="1" x14ac:dyDescent="0.35">
      <c r="A536" s="26" t="s">
        <v>1603</v>
      </c>
      <c r="B536" s="26" t="s">
        <v>1604</v>
      </c>
      <c r="C536" s="27"/>
      <c r="D536" s="53" t="s">
        <v>1605</v>
      </c>
      <c r="E536" s="53"/>
      <c r="F536" s="53"/>
      <c r="G536" s="53"/>
      <c r="H536" s="53"/>
      <c r="I536" s="53"/>
      <c r="J536" s="53"/>
      <c r="K536" s="27"/>
      <c r="L536" s="28">
        <f>L547</f>
        <v>484.25</v>
      </c>
      <c r="M536" s="28">
        <f>ROUND(L536,2)</f>
        <v>484.25</v>
      </c>
    </row>
    <row r="537" spans="1:13" ht="30.9" customHeight="1" thickBot="1" x14ac:dyDescent="0.35">
      <c r="A537" s="10" t="s">
        <v>1606</v>
      </c>
      <c r="B537" s="5" t="s">
        <v>1607</v>
      </c>
      <c r="C537" s="5" t="s">
        <v>1608</v>
      </c>
      <c r="D537" s="52" t="s">
        <v>1609</v>
      </c>
      <c r="E537" s="52"/>
      <c r="F537" s="52"/>
      <c r="G537" s="52"/>
      <c r="H537" s="52"/>
      <c r="I537" s="52"/>
      <c r="J537" s="52"/>
      <c r="K537" s="20">
        <f>SUM(K539:K541)</f>
        <v>195</v>
      </c>
      <c r="L537" s="21">
        <f>ROUND(1.25*(1+M2/100),2)</f>
        <v>1.29</v>
      </c>
      <c r="M537" s="21">
        <f>ROUND(K537*L537,2)</f>
        <v>251.55</v>
      </c>
    </row>
    <row r="538" spans="1:13" ht="15.25" customHeight="1" thickBot="1" x14ac:dyDescent="0.35">
      <c r="A538" s="29"/>
      <c r="B538" s="29"/>
      <c r="C538" s="29"/>
      <c r="D538" s="29"/>
      <c r="E538" s="30"/>
      <c r="F538" s="32" t="s">
        <v>1610</v>
      </c>
      <c r="G538" s="32" t="s">
        <v>1611</v>
      </c>
      <c r="H538" s="32" t="s">
        <v>1612</v>
      </c>
      <c r="I538" s="32" t="s">
        <v>1613</v>
      </c>
      <c r="J538" s="32" t="s">
        <v>1614</v>
      </c>
      <c r="K538" s="32" t="s">
        <v>1615</v>
      </c>
      <c r="L538" s="29"/>
      <c r="M538" s="29"/>
    </row>
    <row r="539" spans="1:13" ht="15.25" customHeight="1" thickBot="1" x14ac:dyDescent="0.35">
      <c r="A539" s="29"/>
      <c r="B539" s="29"/>
      <c r="C539" s="29"/>
      <c r="D539" s="33"/>
      <c r="E539" s="34" t="s">
        <v>1616</v>
      </c>
      <c r="F539" s="35">
        <v>3</v>
      </c>
      <c r="G539" s="36">
        <v>30</v>
      </c>
      <c r="H539" s="36"/>
      <c r="I539" s="36"/>
      <c r="J539" s="38">
        <f>ROUND(F539*G539,3)</f>
        <v>90</v>
      </c>
      <c r="K539" s="41"/>
      <c r="L539" s="29"/>
      <c r="M539" s="29"/>
    </row>
    <row r="540" spans="1:13" ht="15.25" customHeight="1" thickBot="1" x14ac:dyDescent="0.35">
      <c r="A540" s="29"/>
      <c r="B540" s="29"/>
      <c r="C540" s="29"/>
      <c r="D540" s="33"/>
      <c r="E540" s="5" t="s">
        <v>1617</v>
      </c>
      <c r="F540" s="3">
        <v>3</v>
      </c>
      <c r="G540" s="20">
        <v>30</v>
      </c>
      <c r="H540" s="20"/>
      <c r="I540" s="20"/>
      <c r="J540" s="37">
        <f>ROUND(F540*G540,3)</f>
        <v>90</v>
      </c>
      <c r="K540" s="29"/>
      <c r="L540" s="29"/>
      <c r="M540" s="29"/>
    </row>
    <row r="541" spans="1:13" ht="15.25" customHeight="1" thickBot="1" x14ac:dyDescent="0.35">
      <c r="A541" s="29"/>
      <c r="B541" s="29"/>
      <c r="C541" s="29"/>
      <c r="D541" s="33"/>
      <c r="E541" s="5" t="s">
        <v>1618</v>
      </c>
      <c r="F541" s="3">
        <v>3</v>
      </c>
      <c r="G541" s="20">
        <v>5</v>
      </c>
      <c r="H541" s="20"/>
      <c r="I541" s="20"/>
      <c r="J541" s="37">
        <f>ROUND(F541*G541,3)</f>
        <v>15</v>
      </c>
      <c r="K541" s="39">
        <f>SUM(J539:J541)</f>
        <v>195</v>
      </c>
      <c r="L541" s="29"/>
      <c r="M541" s="29"/>
    </row>
    <row r="542" spans="1:13" ht="15.5" customHeight="1" thickBot="1" x14ac:dyDescent="0.35">
      <c r="A542" s="10" t="s">
        <v>1619</v>
      </c>
      <c r="B542" s="5" t="s">
        <v>1620</v>
      </c>
      <c r="C542" s="5" t="s">
        <v>1621</v>
      </c>
      <c r="D542" s="52" t="s">
        <v>1622</v>
      </c>
      <c r="E542" s="52"/>
      <c r="F542" s="52"/>
      <c r="G542" s="52"/>
      <c r="H542" s="52"/>
      <c r="I542" s="52"/>
      <c r="J542" s="52"/>
      <c r="K542" s="20">
        <f>SUM(K544:K546)</f>
        <v>65</v>
      </c>
      <c r="L542" s="21">
        <f>ROUND(3.48*(1+M2/100),2)</f>
        <v>3.58</v>
      </c>
      <c r="M542" s="21">
        <f>ROUND(K542*L542,2)</f>
        <v>232.7</v>
      </c>
    </row>
    <row r="543" spans="1:13" ht="15.25" customHeight="1" thickBot="1" x14ac:dyDescent="0.35">
      <c r="A543" s="29"/>
      <c r="B543" s="29"/>
      <c r="C543" s="29"/>
      <c r="D543" s="29"/>
      <c r="E543" s="30"/>
      <c r="F543" s="32" t="s">
        <v>1623</v>
      </c>
      <c r="G543" s="32" t="s">
        <v>1624</v>
      </c>
      <c r="H543" s="32" t="s">
        <v>1625</v>
      </c>
      <c r="I543" s="32" t="s">
        <v>1626</v>
      </c>
      <c r="J543" s="32" t="s">
        <v>1627</v>
      </c>
      <c r="K543" s="32" t="s">
        <v>1628</v>
      </c>
      <c r="L543" s="29"/>
      <c r="M543" s="29"/>
    </row>
    <row r="544" spans="1:13" ht="15.25" customHeight="1" thickBot="1" x14ac:dyDescent="0.35">
      <c r="A544" s="29"/>
      <c r="B544" s="29"/>
      <c r="C544" s="29"/>
      <c r="D544" s="33"/>
      <c r="E544" s="34" t="s">
        <v>1629</v>
      </c>
      <c r="F544" s="35"/>
      <c r="G544" s="36">
        <v>30</v>
      </c>
      <c r="H544" s="36"/>
      <c r="I544" s="36"/>
      <c r="J544" s="38">
        <f>ROUND(G544,3)</f>
        <v>30</v>
      </c>
      <c r="K544" s="41"/>
      <c r="L544" s="29"/>
      <c r="M544" s="29"/>
    </row>
    <row r="545" spans="1:13" ht="15.25" customHeight="1" thickBot="1" x14ac:dyDescent="0.35">
      <c r="A545" s="29"/>
      <c r="B545" s="29"/>
      <c r="C545" s="29"/>
      <c r="D545" s="33"/>
      <c r="E545" s="5" t="s">
        <v>1630</v>
      </c>
      <c r="F545" s="3"/>
      <c r="G545" s="20">
        <v>30</v>
      </c>
      <c r="H545" s="20"/>
      <c r="I545" s="20"/>
      <c r="J545" s="37">
        <f>ROUND(G545,3)</f>
        <v>30</v>
      </c>
      <c r="K545" s="29"/>
      <c r="L545" s="29"/>
      <c r="M545" s="29"/>
    </row>
    <row r="546" spans="1:13" ht="15.25" customHeight="1" thickBot="1" x14ac:dyDescent="0.35">
      <c r="A546" s="29"/>
      <c r="B546" s="29"/>
      <c r="C546" s="29"/>
      <c r="D546" s="33"/>
      <c r="E546" s="5" t="s">
        <v>1631</v>
      </c>
      <c r="F546" s="3"/>
      <c r="G546" s="20">
        <v>5</v>
      </c>
      <c r="H546" s="20"/>
      <c r="I546" s="20"/>
      <c r="J546" s="37">
        <f>ROUND(G546,3)</f>
        <v>5</v>
      </c>
      <c r="K546" s="39">
        <f>SUM(J544:J546)</f>
        <v>65</v>
      </c>
      <c r="L546" s="29"/>
      <c r="M546" s="29"/>
    </row>
    <row r="547" spans="1:13" ht="15.5" customHeight="1" thickBot="1" x14ac:dyDescent="0.35">
      <c r="A547" s="22"/>
      <c r="B547" s="22"/>
      <c r="C547" s="22"/>
      <c r="D547" s="23" t="s">
        <v>1632</v>
      </c>
      <c r="E547" s="24"/>
      <c r="F547" s="24"/>
      <c r="G547" s="24"/>
      <c r="H547" s="24"/>
      <c r="I547" s="24"/>
      <c r="J547" s="24"/>
      <c r="K547" s="24"/>
      <c r="L547" s="25">
        <f>M537+M542</f>
        <v>484.25</v>
      </c>
      <c r="M547" s="25">
        <f>ROUND(L547,2)</f>
        <v>484.25</v>
      </c>
    </row>
    <row r="548" spans="1:13" ht="15.5" customHeight="1" thickBot="1" x14ac:dyDescent="0.35">
      <c r="A548" s="26" t="s">
        <v>1633</v>
      </c>
      <c r="B548" s="26" t="s">
        <v>1634</v>
      </c>
      <c r="C548" s="27"/>
      <c r="D548" s="53" t="s">
        <v>1635</v>
      </c>
      <c r="E548" s="53"/>
      <c r="F548" s="53"/>
      <c r="G548" s="53"/>
      <c r="H548" s="53"/>
      <c r="I548" s="53"/>
      <c r="J548" s="53"/>
      <c r="K548" s="27"/>
      <c r="L548" s="28">
        <f>L565</f>
        <v>731.16</v>
      </c>
      <c r="M548" s="28">
        <f>ROUND(L548,2)</f>
        <v>731.16</v>
      </c>
    </row>
    <row r="549" spans="1:13" ht="15.5" customHeight="1" thickBot="1" x14ac:dyDescent="0.35">
      <c r="A549" s="10" t="s">
        <v>1636</v>
      </c>
      <c r="B549" s="5" t="s">
        <v>1637</v>
      </c>
      <c r="C549" s="5" t="s">
        <v>1638</v>
      </c>
      <c r="D549" s="52" t="s">
        <v>1639</v>
      </c>
      <c r="E549" s="52"/>
      <c r="F549" s="52"/>
      <c r="G549" s="52"/>
      <c r="H549" s="52"/>
      <c r="I549" s="52"/>
      <c r="J549" s="52"/>
      <c r="K549" s="20">
        <f>SUM(K551:K552)</f>
        <v>5</v>
      </c>
      <c r="L549" s="21">
        <f>ROUND(23.62*(1+M2/100),2)</f>
        <v>24.33</v>
      </c>
      <c r="M549" s="21">
        <f>ROUND(K549*L549,2)</f>
        <v>121.65</v>
      </c>
    </row>
    <row r="550" spans="1:13" ht="15.25" customHeight="1" thickBot="1" x14ac:dyDescent="0.35">
      <c r="A550" s="29"/>
      <c r="B550" s="29"/>
      <c r="C550" s="29"/>
      <c r="D550" s="29"/>
      <c r="E550" s="30"/>
      <c r="F550" s="32" t="s">
        <v>1640</v>
      </c>
      <c r="G550" s="32" t="s">
        <v>1641</v>
      </c>
      <c r="H550" s="32" t="s">
        <v>1642</v>
      </c>
      <c r="I550" s="32" t="s">
        <v>1643</v>
      </c>
      <c r="J550" s="32" t="s">
        <v>1644</v>
      </c>
      <c r="K550" s="32" t="s">
        <v>1645</v>
      </c>
      <c r="L550" s="29"/>
      <c r="M550" s="29"/>
    </row>
    <row r="551" spans="1:13" ht="21.65" customHeight="1" thickBot="1" x14ac:dyDescent="0.35">
      <c r="A551" s="29"/>
      <c r="B551" s="29"/>
      <c r="C551" s="29"/>
      <c r="D551" s="33"/>
      <c r="E551" s="34" t="s">
        <v>1646</v>
      </c>
      <c r="F551" s="35">
        <v>1</v>
      </c>
      <c r="G551" s="36"/>
      <c r="H551" s="36"/>
      <c r="I551" s="36"/>
      <c r="J551" s="38">
        <f>ROUND(F551,3)</f>
        <v>1</v>
      </c>
      <c r="K551" s="41"/>
      <c r="L551" s="29"/>
      <c r="M551" s="29"/>
    </row>
    <row r="552" spans="1:13" ht="15.25" customHeight="1" thickBot="1" x14ac:dyDescent="0.35">
      <c r="A552" s="29"/>
      <c r="B552" s="29"/>
      <c r="C552" s="29"/>
      <c r="D552" s="33"/>
      <c r="E552" s="5" t="s">
        <v>1647</v>
      </c>
      <c r="F552" s="3">
        <v>4</v>
      </c>
      <c r="G552" s="20"/>
      <c r="H552" s="20"/>
      <c r="I552" s="20"/>
      <c r="J552" s="37">
        <f>ROUND(F552,3)</f>
        <v>4</v>
      </c>
      <c r="K552" s="39">
        <f>SUM(J551:J552)</f>
        <v>5</v>
      </c>
      <c r="L552" s="29"/>
      <c r="M552" s="29"/>
    </row>
    <row r="553" spans="1:13" ht="15.5" customHeight="1" thickBot="1" x14ac:dyDescent="0.35">
      <c r="A553" s="10" t="s">
        <v>1648</v>
      </c>
      <c r="B553" s="5" t="s">
        <v>1649</v>
      </c>
      <c r="C553" s="5" t="s">
        <v>1650</v>
      </c>
      <c r="D553" s="52" t="s">
        <v>1651</v>
      </c>
      <c r="E553" s="52"/>
      <c r="F553" s="52"/>
      <c r="G553" s="52"/>
      <c r="H553" s="52"/>
      <c r="I553" s="52"/>
      <c r="J553" s="52"/>
      <c r="K553" s="20">
        <f>SUM(K555:K555)</f>
        <v>3</v>
      </c>
      <c r="L553" s="21">
        <f>ROUND(40.83*(1+M2/100),2)</f>
        <v>42.05</v>
      </c>
      <c r="M553" s="21">
        <f>ROUND(K553*L553,2)</f>
        <v>126.15</v>
      </c>
    </row>
    <row r="554" spans="1:13" ht="15.25" customHeight="1" thickBot="1" x14ac:dyDescent="0.35">
      <c r="A554" s="29"/>
      <c r="B554" s="29"/>
      <c r="C554" s="29"/>
      <c r="D554" s="29"/>
      <c r="E554" s="30"/>
      <c r="F554" s="32" t="s">
        <v>1652</v>
      </c>
      <c r="G554" s="32" t="s">
        <v>1653</v>
      </c>
      <c r="H554" s="32" t="s">
        <v>1654</v>
      </c>
      <c r="I554" s="32" t="s">
        <v>1655</v>
      </c>
      <c r="J554" s="32" t="s">
        <v>1656</v>
      </c>
      <c r="K554" s="32" t="s">
        <v>1657</v>
      </c>
      <c r="L554" s="29"/>
      <c r="M554" s="29"/>
    </row>
    <row r="555" spans="1:13" ht="21.65" customHeight="1" thickBot="1" x14ac:dyDescent="0.35">
      <c r="A555" s="29"/>
      <c r="B555" s="29"/>
      <c r="C555" s="29"/>
      <c r="D555" s="33"/>
      <c r="E555" s="34" t="s">
        <v>1658</v>
      </c>
      <c r="F555" s="35">
        <v>3</v>
      </c>
      <c r="G555" s="36"/>
      <c r="H555" s="36"/>
      <c r="I555" s="36"/>
      <c r="J555" s="38">
        <f>ROUND(F555,3)</f>
        <v>3</v>
      </c>
      <c r="K555" s="40">
        <f>SUM(J555:J555)</f>
        <v>3</v>
      </c>
      <c r="L555" s="29"/>
      <c r="M555" s="29"/>
    </row>
    <row r="556" spans="1:13" ht="15.5" customHeight="1" thickBot="1" x14ac:dyDescent="0.35">
      <c r="A556" s="10" t="s">
        <v>1659</v>
      </c>
      <c r="B556" s="5" t="s">
        <v>1660</v>
      </c>
      <c r="C556" s="5" t="s">
        <v>1661</v>
      </c>
      <c r="D556" s="52" t="s">
        <v>1662</v>
      </c>
      <c r="E556" s="52"/>
      <c r="F556" s="52"/>
      <c r="G556" s="52"/>
      <c r="H556" s="52"/>
      <c r="I556" s="52"/>
      <c r="J556" s="52"/>
      <c r="K556" s="20">
        <f>SUM(K558:K559)</f>
        <v>3</v>
      </c>
      <c r="L556" s="21">
        <f>ROUND(58.67*(1+M2/100),2)</f>
        <v>60.43</v>
      </c>
      <c r="M556" s="21">
        <f>ROUND(K556*L556,2)</f>
        <v>181.29</v>
      </c>
    </row>
    <row r="557" spans="1:13" ht="15.25" customHeight="1" thickBot="1" x14ac:dyDescent="0.35">
      <c r="A557" s="29"/>
      <c r="B557" s="29"/>
      <c r="C557" s="29"/>
      <c r="D557" s="29"/>
      <c r="E557" s="30"/>
      <c r="F557" s="32" t="s">
        <v>1663</v>
      </c>
      <c r="G557" s="32" t="s">
        <v>1664</v>
      </c>
      <c r="H557" s="32" t="s">
        <v>1665</v>
      </c>
      <c r="I557" s="32" t="s">
        <v>1666</v>
      </c>
      <c r="J557" s="32" t="s">
        <v>1667</v>
      </c>
      <c r="K557" s="32" t="s">
        <v>1668</v>
      </c>
      <c r="L557" s="29"/>
      <c r="M557" s="29"/>
    </row>
    <row r="558" spans="1:13" ht="21.65" customHeight="1" thickBot="1" x14ac:dyDescent="0.35">
      <c r="A558" s="29"/>
      <c r="B558" s="29"/>
      <c r="C558" s="29"/>
      <c r="D558" s="33"/>
      <c r="E558" s="34" t="s">
        <v>1669</v>
      </c>
      <c r="F558" s="35">
        <v>1</v>
      </c>
      <c r="G558" s="36"/>
      <c r="H558" s="36"/>
      <c r="I558" s="36"/>
      <c r="J558" s="38">
        <f>ROUND(F558,3)</f>
        <v>1</v>
      </c>
      <c r="K558" s="41"/>
      <c r="L558" s="29"/>
      <c r="M558" s="29"/>
    </row>
    <row r="559" spans="1:13" ht="40.25" customHeight="1" thickBot="1" x14ac:dyDescent="0.35">
      <c r="A559" s="29"/>
      <c r="B559" s="29"/>
      <c r="C559" s="29"/>
      <c r="D559" s="33"/>
      <c r="E559" s="5" t="s">
        <v>1670</v>
      </c>
      <c r="F559" s="3">
        <v>2</v>
      </c>
      <c r="G559" s="20"/>
      <c r="H559" s="20"/>
      <c r="I559" s="20"/>
      <c r="J559" s="37">
        <f>ROUND(F559,3)</f>
        <v>2</v>
      </c>
      <c r="K559" s="39">
        <f>SUM(J558:J559)</f>
        <v>3</v>
      </c>
      <c r="L559" s="29"/>
      <c r="M559" s="29"/>
    </row>
    <row r="560" spans="1:13" ht="15.5" customHeight="1" thickBot="1" x14ac:dyDescent="0.35">
      <c r="A560" s="10" t="s">
        <v>1671</v>
      </c>
      <c r="B560" s="5" t="s">
        <v>1672</v>
      </c>
      <c r="C560" s="5" t="s">
        <v>1673</v>
      </c>
      <c r="D560" s="52" t="s">
        <v>1674</v>
      </c>
      <c r="E560" s="52"/>
      <c r="F560" s="52"/>
      <c r="G560" s="52"/>
      <c r="H560" s="52"/>
      <c r="I560" s="52"/>
      <c r="J560" s="52"/>
      <c r="K560" s="20">
        <f>ROUND(11,2)</f>
        <v>11</v>
      </c>
      <c r="L560" s="21">
        <f>ROUND(19.08*(1+M2/100),2)</f>
        <v>19.649999999999999</v>
      </c>
      <c r="M560" s="21">
        <f>ROUND(K560*L560,2)</f>
        <v>216.15</v>
      </c>
    </row>
    <row r="561" spans="1:13" ht="15.5" customHeight="1" thickBot="1" x14ac:dyDescent="0.35">
      <c r="A561" s="10" t="s">
        <v>1675</v>
      </c>
      <c r="B561" s="5" t="s">
        <v>1676</v>
      </c>
      <c r="C561" s="5" t="s">
        <v>1677</v>
      </c>
      <c r="D561" s="52" t="s">
        <v>1678</v>
      </c>
      <c r="E561" s="52"/>
      <c r="F561" s="52"/>
      <c r="G561" s="52"/>
      <c r="H561" s="52"/>
      <c r="I561" s="52"/>
      <c r="J561" s="52"/>
      <c r="K561" s="20">
        <f>SUM(K563:K563)</f>
        <v>2</v>
      </c>
      <c r="L561" s="21">
        <f>ROUND(22.93*(1+M2/100),2)</f>
        <v>23.62</v>
      </c>
      <c r="M561" s="21">
        <f>ROUND(K561*L561,2)</f>
        <v>47.24</v>
      </c>
    </row>
    <row r="562" spans="1:13" ht="15.25" customHeight="1" thickBot="1" x14ac:dyDescent="0.35">
      <c r="A562" s="29"/>
      <c r="B562" s="29"/>
      <c r="C562" s="29"/>
      <c r="D562" s="29"/>
      <c r="E562" s="30"/>
      <c r="F562" s="32" t="s">
        <v>1679</v>
      </c>
      <c r="G562" s="32" t="s">
        <v>1680</v>
      </c>
      <c r="H562" s="32" t="s">
        <v>1681</v>
      </c>
      <c r="I562" s="32" t="s">
        <v>1682</v>
      </c>
      <c r="J562" s="32" t="s">
        <v>1683</v>
      </c>
      <c r="K562" s="32" t="s">
        <v>1684</v>
      </c>
      <c r="L562" s="29"/>
      <c r="M562" s="29"/>
    </row>
    <row r="563" spans="1:13" ht="30.9" customHeight="1" thickBot="1" x14ac:dyDescent="0.35">
      <c r="A563" s="29"/>
      <c r="B563" s="29"/>
      <c r="C563" s="29"/>
      <c r="D563" s="33"/>
      <c r="E563" s="34" t="s">
        <v>1685</v>
      </c>
      <c r="F563" s="35">
        <v>2</v>
      </c>
      <c r="G563" s="36"/>
      <c r="H563" s="36"/>
      <c r="I563" s="36"/>
      <c r="J563" s="38">
        <f>ROUND(F563,3)</f>
        <v>2</v>
      </c>
      <c r="K563" s="40">
        <f>SUM(J563:J563)</f>
        <v>2</v>
      </c>
      <c r="L563" s="29"/>
      <c r="M563" s="29"/>
    </row>
    <row r="564" spans="1:13" ht="15.5" customHeight="1" thickBot="1" x14ac:dyDescent="0.35">
      <c r="A564" s="10" t="s">
        <v>1686</v>
      </c>
      <c r="B564" s="5" t="s">
        <v>1687</v>
      </c>
      <c r="C564" s="5" t="s">
        <v>1688</v>
      </c>
      <c r="D564" s="52" t="s">
        <v>1689</v>
      </c>
      <c r="E564" s="52"/>
      <c r="F564" s="52"/>
      <c r="G564" s="52"/>
      <c r="H564" s="52"/>
      <c r="I564" s="52"/>
      <c r="J564" s="52"/>
      <c r="K564" s="20">
        <f>ROUND(2,2)</f>
        <v>2</v>
      </c>
      <c r="L564" s="21">
        <f>ROUND(18.78*(1+M2/100),2)</f>
        <v>19.34</v>
      </c>
      <c r="M564" s="21">
        <f>ROUND(K564*L564,2)</f>
        <v>38.68</v>
      </c>
    </row>
    <row r="565" spans="1:13" ht="15.5" customHeight="1" thickBot="1" x14ac:dyDescent="0.35">
      <c r="A565" s="22"/>
      <c r="B565" s="22"/>
      <c r="C565" s="22"/>
      <c r="D565" s="23" t="s">
        <v>1690</v>
      </c>
      <c r="E565" s="24"/>
      <c r="F565" s="24"/>
      <c r="G565" s="24"/>
      <c r="H565" s="24"/>
      <c r="I565" s="24"/>
      <c r="J565" s="24"/>
      <c r="K565" s="24"/>
      <c r="L565" s="25">
        <f>M549+M553+M556+M560+M561+M564</f>
        <v>731.16</v>
      </c>
      <c r="M565" s="25">
        <f>ROUND(L565,2)</f>
        <v>731.16</v>
      </c>
    </row>
    <row r="566" spans="1:13" ht="15.5" customHeight="1" thickBot="1" x14ac:dyDescent="0.35">
      <c r="A566" s="26" t="s">
        <v>1691</v>
      </c>
      <c r="B566" s="26" t="s">
        <v>1692</v>
      </c>
      <c r="C566" s="27"/>
      <c r="D566" s="53" t="s">
        <v>1693</v>
      </c>
      <c r="E566" s="53"/>
      <c r="F566" s="53"/>
      <c r="G566" s="53"/>
      <c r="H566" s="53"/>
      <c r="I566" s="53"/>
      <c r="J566" s="53"/>
      <c r="K566" s="27"/>
      <c r="L566" s="28">
        <f>L569</f>
        <v>378.51</v>
      </c>
      <c r="M566" s="28">
        <f>ROUND(L566,2)</f>
        <v>378.51</v>
      </c>
    </row>
    <row r="567" spans="1:13" ht="15.5" customHeight="1" thickBot="1" x14ac:dyDescent="0.35">
      <c r="A567" s="10" t="s">
        <v>1694</v>
      </c>
      <c r="B567" s="5" t="s">
        <v>1695</v>
      </c>
      <c r="C567" s="5" t="s">
        <v>1696</v>
      </c>
      <c r="D567" s="52" t="s">
        <v>1697</v>
      </c>
      <c r="E567" s="52"/>
      <c r="F567" s="52"/>
      <c r="G567" s="52"/>
      <c r="H567" s="52"/>
      <c r="I567" s="52"/>
      <c r="J567" s="52"/>
      <c r="K567" s="20">
        <f>ROUND(13,2)</f>
        <v>13</v>
      </c>
      <c r="L567" s="21">
        <f>ROUND(20.48*(1+M2/100),2)</f>
        <v>21.09</v>
      </c>
      <c r="M567" s="21">
        <f>ROUND(K567*L567,2)</f>
        <v>274.17</v>
      </c>
    </row>
    <row r="568" spans="1:13" ht="15.5" customHeight="1" thickBot="1" x14ac:dyDescent="0.35">
      <c r="A568" s="10" t="s">
        <v>1698</v>
      </c>
      <c r="B568" s="5" t="s">
        <v>1699</v>
      </c>
      <c r="C568" s="5" t="s">
        <v>1700</v>
      </c>
      <c r="D568" s="52" t="s">
        <v>1701</v>
      </c>
      <c r="E568" s="52"/>
      <c r="F568" s="52"/>
      <c r="G568" s="52"/>
      <c r="H568" s="52"/>
      <c r="I568" s="52"/>
      <c r="J568" s="52"/>
      <c r="K568" s="20">
        <f>ROUND(6,2)</f>
        <v>6</v>
      </c>
      <c r="L568" s="21">
        <f>ROUND(16.88*(1+M2/100),2)</f>
        <v>17.39</v>
      </c>
      <c r="M568" s="21">
        <f>ROUND(K568*L568,2)</f>
        <v>104.34</v>
      </c>
    </row>
    <row r="569" spans="1:13" ht="15.5" customHeight="1" thickBot="1" x14ac:dyDescent="0.35">
      <c r="A569" s="22"/>
      <c r="B569" s="22"/>
      <c r="C569" s="22"/>
      <c r="D569" s="23" t="s">
        <v>1702</v>
      </c>
      <c r="E569" s="24"/>
      <c r="F569" s="24"/>
      <c r="G569" s="24"/>
      <c r="H569" s="24"/>
      <c r="I569" s="24"/>
      <c r="J569" s="24"/>
      <c r="K569" s="24"/>
      <c r="L569" s="25">
        <f>M567+M568</f>
        <v>378.51</v>
      </c>
      <c r="M569" s="25">
        <f>ROUND(L569,2)</f>
        <v>378.51</v>
      </c>
    </row>
    <row r="570" spans="1:13" ht="15.5" customHeight="1" thickBot="1" x14ac:dyDescent="0.35">
      <c r="A570" s="26" t="s">
        <v>1703</v>
      </c>
      <c r="B570" s="26" t="s">
        <v>1704</v>
      </c>
      <c r="C570" s="27"/>
      <c r="D570" s="53" t="s">
        <v>1705</v>
      </c>
      <c r="E570" s="53"/>
      <c r="F570" s="53"/>
      <c r="G570" s="53"/>
      <c r="H570" s="53"/>
      <c r="I570" s="53"/>
      <c r="J570" s="53"/>
      <c r="K570" s="27"/>
      <c r="L570" s="28">
        <f>L572</f>
        <v>123.6</v>
      </c>
      <c r="M570" s="28">
        <f>ROUND(L570,2)</f>
        <v>123.6</v>
      </c>
    </row>
    <row r="571" spans="1:13" ht="15.5" customHeight="1" thickBot="1" x14ac:dyDescent="0.35">
      <c r="A571" s="10" t="s">
        <v>1706</v>
      </c>
      <c r="B571" s="5" t="s">
        <v>1707</v>
      </c>
      <c r="C571" s="5" t="s">
        <v>1708</v>
      </c>
      <c r="D571" s="52" t="s">
        <v>1709</v>
      </c>
      <c r="E571" s="52"/>
      <c r="F571" s="52"/>
      <c r="G571" s="52"/>
      <c r="H571" s="52"/>
      <c r="I571" s="52"/>
      <c r="J571" s="52"/>
      <c r="K571" s="20">
        <f>ROUND(1,2)</f>
        <v>1</v>
      </c>
      <c r="L571" s="21">
        <f>ROUND(120*(1+M2/100),2)</f>
        <v>123.6</v>
      </c>
      <c r="M571" s="21">
        <f>ROUND(K571*L571,2)</f>
        <v>123.6</v>
      </c>
    </row>
    <row r="572" spans="1:13" ht="15.5" customHeight="1" thickBot="1" x14ac:dyDescent="0.35">
      <c r="A572" s="22"/>
      <c r="B572" s="22"/>
      <c r="C572" s="22"/>
      <c r="D572" s="23" t="s">
        <v>1710</v>
      </c>
      <c r="E572" s="24"/>
      <c r="F572" s="24"/>
      <c r="G572" s="24"/>
      <c r="H572" s="24"/>
      <c r="I572" s="24"/>
      <c r="J572" s="24"/>
      <c r="K572" s="24"/>
      <c r="L572" s="25">
        <f>M571</f>
        <v>123.6</v>
      </c>
      <c r="M572" s="25">
        <f>ROUND(L572,2)</f>
        <v>123.6</v>
      </c>
    </row>
    <row r="573" spans="1:13" ht="15.5" customHeight="1" thickBot="1" x14ac:dyDescent="0.35">
      <c r="A573" s="42"/>
      <c r="B573" s="42"/>
      <c r="C573" s="42"/>
      <c r="D573" s="43" t="s">
        <v>1711</v>
      </c>
      <c r="E573" s="44"/>
      <c r="F573" s="44"/>
      <c r="G573" s="44"/>
      <c r="H573" s="44"/>
      <c r="I573" s="44"/>
      <c r="J573" s="44"/>
      <c r="K573" s="44"/>
      <c r="L573" s="45">
        <f>M532+M535+M547+M565+M569+M572</f>
        <v>3528.8399999999997</v>
      </c>
      <c r="M573" s="45">
        <f>ROUND(L573,2)</f>
        <v>3528.84</v>
      </c>
    </row>
    <row r="574" spans="1:13" ht="15.5" customHeight="1" thickBot="1" x14ac:dyDescent="0.35">
      <c r="A574" s="46" t="s">
        <v>1712</v>
      </c>
      <c r="B574" s="46" t="s">
        <v>1713</v>
      </c>
      <c r="C574" s="47"/>
      <c r="D574" s="54" t="s">
        <v>1714</v>
      </c>
      <c r="E574" s="54"/>
      <c r="F574" s="54"/>
      <c r="G574" s="54"/>
      <c r="H574" s="54"/>
      <c r="I574" s="54"/>
      <c r="J574" s="54"/>
      <c r="K574" s="47"/>
      <c r="L574" s="48">
        <f>L628</f>
        <v>4728.21</v>
      </c>
      <c r="M574" s="48">
        <f>ROUND(L574,2)</f>
        <v>4728.21</v>
      </c>
    </row>
    <row r="575" spans="1:13" ht="15.5" customHeight="1" thickBot="1" x14ac:dyDescent="0.35">
      <c r="A575" s="17" t="s">
        <v>1715</v>
      </c>
      <c r="B575" s="17" t="s">
        <v>1716</v>
      </c>
      <c r="C575" s="18"/>
      <c r="D575" s="55" t="s">
        <v>1717</v>
      </c>
      <c r="E575" s="55"/>
      <c r="F575" s="55"/>
      <c r="G575" s="55"/>
      <c r="H575" s="55"/>
      <c r="I575" s="55"/>
      <c r="J575" s="55"/>
      <c r="K575" s="18"/>
      <c r="L575" s="19">
        <f>L579</f>
        <v>700</v>
      </c>
      <c r="M575" s="19">
        <f>ROUND(L575,2)</f>
        <v>700</v>
      </c>
    </row>
    <row r="576" spans="1:13" ht="15.5" customHeight="1" thickBot="1" x14ac:dyDescent="0.35">
      <c r="A576" s="10" t="s">
        <v>1718</v>
      </c>
      <c r="B576" s="5" t="s">
        <v>1719</v>
      </c>
      <c r="C576" s="5" t="s">
        <v>1720</v>
      </c>
      <c r="D576" s="52" t="s">
        <v>1721</v>
      </c>
      <c r="E576" s="52"/>
      <c r="F576" s="52"/>
      <c r="G576" s="52"/>
      <c r="H576" s="52"/>
      <c r="I576" s="52"/>
      <c r="J576" s="52"/>
      <c r="K576" s="20">
        <f>ROUND(1,2)</f>
        <v>1</v>
      </c>
      <c r="L576" s="21">
        <f>ROUND(242.718*(1+M2/100),2)</f>
        <v>250</v>
      </c>
      <c r="M576" s="21">
        <f>ROUND(K576*L576,2)</f>
        <v>250</v>
      </c>
    </row>
    <row r="577" spans="1:13" ht="15.5" customHeight="1" thickBot="1" x14ac:dyDescent="0.35">
      <c r="A577" s="10" t="s">
        <v>1722</v>
      </c>
      <c r="B577" s="5" t="s">
        <v>1723</v>
      </c>
      <c r="C577" s="5" t="s">
        <v>1724</v>
      </c>
      <c r="D577" s="52" t="s">
        <v>1725</v>
      </c>
      <c r="E577" s="52"/>
      <c r="F577" s="52"/>
      <c r="G577" s="52"/>
      <c r="H577" s="52"/>
      <c r="I577" s="52"/>
      <c r="J577" s="52"/>
      <c r="K577" s="20">
        <f>ROUND(1,2)</f>
        <v>1</v>
      </c>
      <c r="L577" s="21">
        <f>ROUND(242.718*(1+M2/100),2)</f>
        <v>250</v>
      </c>
      <c r="M577" s="21">
        <f>ROUND(K577*L577,2)</f>
        <v>250</v>
      </c>
    </row>
    <row r="578" spans="1:13" ht="15.5" customHeight="1" thickBot="1" x14ac:dyDescent="0.35">
      <c r="A578" s="10" t="s">
        <v>1726</v>
      </c>
      <c r="B578" s="5" t="s">
        <v>1727</v>
      </c>
      <c r="C578" s="5" t="s">
        <v>1728</v>
      </c>
      <c r="D578" s="52" t="s">
        <v>1729</v>
      </c>
      <c r="E578" s="52"/>
      <c r="F578" s="52"/>
      <c r="G578" s="52"/>
      <c r="H578" s="52"/>
      <c r="I578" s="52"/>
      <c r="J578" s="52"/>
      <c r="K578" s="20">
        <f>ROUND(1,2)</f>
        <v>1</v>
      </c>
      <c r="L578" s="21">
        <f>ROUND(194.175*(1+M2/100),2)</f>
        <v>200</v>
      </c>
      <c r="M578" s="21">
        <f>ROUND(K578*L578,2)</f>
        <v>200</v>
      </c>
    </row>
    <row r="579" spans="1:13" ht="15.5" customHeight="1" thickBot="1" x14ac:dyDescent="0.35">
      <c r="A579" s="22"/>
      <c r="B579" s="22"/>
      <c r="C579" s="22"/>
      <c r="D579" s="23" t="s">
        <v>1730</v>
      </c>
      <c r="E579" s="24"/>
      <c r="F579" s="24"/>
      <c r="G579" s="24"/>
      <c r="H579" s="24"/>
      <c r="I579" s="24"/>
      <c r="J579" s="24"/>
      <c r="K579" s="24"/>
      <c r="L579" s="25">
        <f>M576+M577+M578</f>
        <v>700</v>
      </c>
      <c r="M579" s="25">
        <f>ROUND(L579,2)</f>
        <v>700</v>
      </c>
    </row>
    <row r="580" spans="1:13" ht="15.5" customHeight="1" thickBot="1" x14ac:dyDescent="0.35">
      <c r="A580" s="26" t="s">
        <v>1731</v>
      </c>
      <c r="B580" s="26" t="s">
        <v>1732</v>
      </c>
      <c r="C580" s="27"/>
      <c r="D580" s="53" t="s">
        <v>1733</v>
      </c>
      <c r="E580" s="53"/>
      <c r="F580" s="53"/>
      <c r="G580" s="53"/>
      <c r="H580" s="53"/>
      <c r="I580" s="53"/>
      <c r="J580" s="53"/>
      <c r="K580" s="27"/>
      <c r="L580" s="28">
        <f>L583</f>
        <v>1006.63</v>
      </c>
      <c r="M580" s="28">
        <f>ROUND(L580,2)</f>
        <v>1006.63</v>
      </c>
    </row>
    <row r="581" spans="1:13" ht="15.5" customHeight="1" thickBot="1" x14ac:dyDescent="0.35">
      <c r="A581" s="10" t="s">
        <v>1734</v>
      </c>
      <c r="B581" s="5" t="s">
        <v>1735</v>
      </c>
      <c r="C581" s="5" t="s">
        <v>1736</v>
      </c>
      <c r="D581" s="52" t="s">
        <v>1737</v>
      </c>
      <c r="E581" s="52"/>
      <c r="F581" s="52"/>
      <c r="G581" s="52"/>
      <c r="H581" s="52"/>
      <c r="I581" s="52"/>
      <c r="J581" s="52"/>
      <c r="K581" s="20">
        <f>ROUND(1,2)</f>
        <v>1</v>
      </c>
      <c r="L581" s="21">
        <f>ROUND(792.81*(1+M2/100),2)</f>
        <v>816.59</v>
      </c>
      <c r="M581" s="21">
        <f>ROUND(K581*L581,2)</f>
        <v>816.59</v>
      </c>
    </row>
    <row r="582" spans="1:13" ht="15.5" customHeight="1" thickBot="1" x14ac:dyDescent="0.35">
      <c r="A582" s="10" t="s">
        <v>1738</v>
      </c>
      <c r="B582" s="5" t="s">
        <v>1739</v>
      </c>
      <c r="C582" s="5" t="s">
        <v>1740</v>
      </c>
      <c r="D582" s="52" t="s">
        <v>1741</v>
      </c>
      <c r="E582" s="52"/>
      <c r="F582" s="52"/>
      <c r="G582" s="52"/>
      <c r="H582" s="52"/>
      <c r="I582" s="52"/>
      <c r="J582" s="52"/>
      <c r="K582" s="20">
        <f>ROUND(1,2)</f>
        <v>1</v>
      </c>
      <c r="L582" s="21">
        <f>ROUND(184.5*(1+M2/100),2)</f>
        <v>190.04</v>
      </c>
      <c r="M582" s="21">
        <f>ROUND(K582*L582,2)</f>
        <v>190.04</v>
      </c>
    </row>
    <row r="583" spans="1:13" ht="15.5" customHeight="1" thickBot="1" x14ac:dyDescent="0.35">
      <c r="A583" s="22"/>
      <c r="B583" s="22"/>
      <c r="C583" s="22"/>
      <c r="D583" s="23" t="s">
        <v>1742</v>
      </c>
      <c r="E583" s="24"/>
      <c r="F583" s="24"/>
      <c r="G583" s="24"/>
      <c r="H583" s="24"/>
      <c r="I583" s="24"/>
      <c r="J583" s="24"/>
      <c r="K583" s="24"/>
      <c r="L583" s="25">
        <f>M581+M582</f>
        <v>1006.63</v>
      </c>
      <c r="M583" s="25">
        <f>ROUND(L583,2)</f>
        <v>1006.63</v>
      </c>
    </row>
    <row r="584" spans="1:13" ht="15.5" customHeight="1" thickBot="1" x14ac:dyDescent="0.35">
      <c r="A584" s="26" t="s">
        <v>1743</v>
      </c>
      <c r="B584" s="26" t="s">
        <v>1744</v>
      </c>
      <c r="C584" s="27"/>
      <c r="D584" s="53" t="s">
        <v>1745</v>
      </c>
      <c r="E584" s="53"/>
      <c r="F584" s="53"/>
      <c r="G584" s="53"/>
      <c r="H584" s="53"/>
      <c r="I584" s="53"/>
      <c r="J584" s="53"/>
      <c r="K584" s="27"/>
      <c r="L584" s="28">
        <f>L595</f>
        <v>648.9</v>
      </c>
      <c r="M584" s="28">
        <f>ROUND(L584,2)</f>
        <v>648.9</v>
      </c>
    </row>
    <row r="585" spans="1:13" ht="30.9" customHeight="1" thickBot="1" x14ac:dyDescent="0.35">
      <c r="A585" s="10" t="s">
        <v>1746</v>
      </c>
      <c r="B585" s="5" t="s">
        <v>1747</v>
      </c>
      <c r="C585" s="5" t="s">
        <v>1748</v>
      </c>
      <c r="D585" s="52" t="s">
        <v>1749</v>
      </c>
      <c r="E585" s="52"/>
      <c r="F585" s="52"/>
      <c r="G585" s="52"/>
      <c r="H585" s="52"/>
      <c r="I585" s="52"/>
      <c r="J585" s="52"/>
      <c r="K585" s="20">
        <f>SUM(K587:K587)</f>
        <v>120</v>
      </c>
      <c r="L585" s="21">
        <f>ROUND(1.08*(1+M2/100),2)</f>
        <v>1.1100000000000001</v>
      </c>
      <c r="M585" s="21">
        <f>ROUND(K585*L585,2)</f>
        <v>133.19999999999999</v>
      </c>
    </row>
    <row r="586" spans="1:13" ht="15.25" customHeight="1" thickBot="1" x14ac:dyDescent="0.35">
      <c r="A586" s="29"/>
      <c r="B586" s="29"/>
      <c r="C586" s="29"/>
      <c r="D586" s="29"/>
      <c r="E586" s="30"/>
      <c r="F586" s="32" t="s">
        <v>1750</v>
      </c>
      <c r="G586" s="32" t="s">
        <v>1751</v>
      </c>
      <c r="H586" s="32" t="s">
        <v>1752</v>
      </c>
      <c r="I586" s="32" t="s">
        <v>1753</v>
      </c>
      <c r="J586" s="32" t="s">
        <v>1754</v>
      </c>
      <c r="K586" s="32" t="s">
        <v>1755</v>
      </c>
      <c r="L586" s="29"/>
      <c r="M586" s="29"/>
    </row>
    <row r="587" spans="1:13" ht="30.9" customHeight="1" thickBot="1" x14ac:dyDescent="0.35">
      <c r="A587" s="29"/>
      <c r="B587" s="29"/>
      <c r="C587" s="29"/>
      <c r="D587" s="33"/>
      <c r="E587" s="34" t="s">
        <v>1756</v>
      </c>
      <c r="F587" s="35">
        <v>3</v>
      </c>
      <c r="G587" s="36">
        <v>40</v>
      </c>
      <c r="H587" s="36"/>
      <c r="I587" s="36"/>
      <c r="J587" s="38">
        <f>ROUND(F587*G587,3)</f>
        <v>120</v>
      </c>
      <c r="K587" s="40">
        <f>SUM(J587:J587)</f>
        <v>120</v>
      </c>
      <c r="L587" s="29"/>
      <c r="M587" s="29"/>
    </row>
    <row r="588" spans="1:13" ht="30.9" customHeight="1" thickBot="1" x14ac:dyDescent="0.35">
      <c r="A588" s="10" t="s">
        <v>1757</v>
      </c>
      <c r="B588" s="5" t="s">
        <v>1758</v>
      </c>
      <c r="C588" s="5" t="s">
        <v>1759</v>
      </c>
      <c r="D588" s="52" t="s">
        <v>1760</v>
      </c>
      <c r="E588" s="52"/>
      <c r="F588" s="52"/>
      <c r="G588" s="52"/>
      <c r="H588" s="52"/>
      <c r="I588" s="52"/>
      <c r="J588" s="52"/>
      <c r="K588" s="20">
        <f>SUM(K590:K590)</f>
        <v>150</v>
      </c>
      <c r="L588" s="21">
        <f>ROUND(1.25*(1+M2/100),2)</f>
        <v>1.29</v>
      </c>
      <c r="M588" s="21">
        <f>ROUND(K588*L588,2)</f>
        <v>193.5</v>
      </c>
    </row>
    <row r="589" spans="1:13" ht="15.25" customHeight="1" thickBot="1" x14ac:dyDescent="0.35">
      <c r="A589" s="29"/>
      <c r="B589" s="29"/>
      <c r="C589" s="29"/>
      <c r="D589" s="29"/>
      <c r="E589" s="30"/>
      <c r="F589" s="32" t="s">
        <v>1761</v>
      </c>
      <c r="G589" s="32" t="s">
        <v>1762</v>
      </c>
      <c r="H589" s="32" t="s">
        <v>1763</v>
      </c>
      <c r="I589" s="32" t="s">
        <v>1764</v>
      </c>
      <c r="J589" s="32" t="s">
        <v>1765</v>
      </c>
      <c r="K589" s="32" t="s">
        <v>1766</v>
      </c>
      <c r="L589" s="29"/>
      <c r="M589" s="29"/>
    </row>
    <row r="590" spans="1:13" ht="21.65" customHeight="1" thickBot="1" x14ac:dyDescent="0.35">
      <c r="A590" s="29"/>
      <c r="B590" s="29"/>
      <c r="C590" s="29"/>
      <c r="D590" s="33"/>
      <c r="E590" s="34" t="s">
        <v>1767</v>
      </c>
      <c r="F590" s="35">
        <v>3</v>
      </c>
      <c r="G590" s="36">
        <v>50</v>
      </c>
      <c r="H590" s="36"/>
      <c r="I590" s="36"/>
      <c r="J590" s="38">
        <f>ROUND(F590*G590,3)</f>
        <v>150</v>
      </c>
      <c r="K590" s="40">
        <f>SUM(J590:J590)</f>
        <v>150</v>
      </c>
      <c r="L590" s="29"/>
      <c r="M590" s="29"/>
    </row>
    <row r="591" spans="1:13" ht="15.5" customHeight="1" thickBot="1" x14ac:dyDescent="0.35">
      <c r="A591" s="10" t="s">
        <v>1768</v>
      </c>
      <c r="B591" s="5" t="s">
        <v>1769</v>
      </c>
      <c r="C591" s="5" t="s">
        <v>1770</v>
      </c>
      <c r="D591" s="52" t="s">
        <v>1771</v>
      </c>
      <c r="E591" s="52"/>
      <c r="F591" s="52"/>
      <c r="G591" s="52"/>
      <c r="H591" s="52"/>
      <c r="I591" s="52"/>
      <c r="J591" s="52"/>
      <c r="K591" s="20">
        <f>SUM(K593:K594)</f>
        <v>90</v>
      </c>
      <c r="L591" s="21">
        <f>ROUND(3.48*(1+M2/100),2)</f>
        <v>3.58</v>
      </c>
      <c r="M591" s="21">
        <f>ROUND(K591*L591,2)</f>
        <v>322.2</v>
      </c>
    </row>
    <row r="592" spans="1:13" ht="15.25" customHeight="1" thickBot="1" x14ac:dyDescent="0.35">
      <c r="A592" s="29"/>
      <c r="B592" s="29"/>
      <c r="C592" s="29"/>
      <c r="D592" s="29"/>
      <c r="E592" s="30"/>
      <c r="F592" s="32" t="s">
        <v>1772</v>
      </c>
      <c r="G592" s="32" t="s">
        <v>1773</v>
      </c>
      <c r="H592" s="32" t="s">
        <v>1774</v>
      </c>
      <c r="I592" s="32" t="s">
        <v>1775</v>
      </c>
      <c r="J592" s="32" t="s">
        <v>1776</v>
      </c>
      <c r="K592" s="32" t="s">
        <v>1777</v>
      </c>
      <c r="L592" s="29"/>
      <c r="M592" s="29"/>
    </row>
    <row r="593" spans="1:13" ht="21.65" customHeight="1" thickBot="1" x14ac:dyDescent="0.35">
      <c r="A593" s="29"/>
      <c r="B593" s="29"/>
      <c r="C593" s="29"/>
      <c r="D593" s="33"/>
      <c r="E593" s="34" t="s">
        <v>1778</v>
      </c>
      <c r="F593" s="35">
        <v>1</v>
      </c>
      <c r="G593" s="36">
        <v>50</v>
      </c>
      <c r="H593" s="36"/>
      <c r="I593" s="36"/>
      <c r="J593" s="38">
        <f>ROUND(F593*G593,3)</f>
        <v>50</v>
      </c>
      <c r="K593" s="41"/>
      <c r="L593" s="29"/>
      <c r="M593" s="29"/>
    </row>
    <row r="594" spans="1:13" ht="21.65" customHeight="1" thickBot="1" x14ac:dyDescent="0.35">
      <c r="A594" s="29"/>
      <c r="B594" s="29"/>
      <c r="C594" s="29"/>
      <c r="D594" s="33"/>
      <c r="E594" s="5" t="s">
        <v>1779</v>
      </c>
      <c r="F594" s="3">
        <v>1</v>
      </c>
      <c r="G594" s="20">
        <v>40</v>
      </c>
      <c r="H594" s="20"/>
      <c r="I594" s="20"/>
      <c r="J594" s="37">
        <f>ROUND(F594*G594,3)</f>
        <v>40</v>
      </c>
      <c r="K594" s="39">
        <f>SUM(J593:J594)</f>
        <v>90</v>
      </c>
      <c r="L594" s="29"/>
      <c r="M594" s="29"/>
    </row>
    <row r="595" spans="1:13" ht="15.5" customHeight="1" thickBot="1" x14ac:dyDescent="0.35">
      <c r="A595" s="22"/>
      <c r="B595" s="22"/>
      <c r="C595" s="22"/>
      <c r="D595" s="23" t="s">
        <v>1780</v>
      </c>
      <c r="E595" s="24"/>
      <c r="F595" s="24"/>
      <c r="G595" s="24"/>
      <c r="H595" s="24"/>
      <c r="I595" s="24"/>
      <c r="J595" s="24"/>
      <c r="K595" s="24"/>
      <c r="L595" s="25">
        <f>M585+M588+M591</f>
        <v>648.9</v>
      </c>
      <c r="M595" s="25">
        <f>ROUND(L595,2)</f>
        <v>648.9</v>
      </c>
    </row>
    <row r="596" spans="1:13" ht="15.5" customHeight="1" thickBot="1" x14ac:dyDescent="0.35">
      <c r="A596" s="26" t="s">
        <v>1781</v>
      </c>
      <c r="B596" s="26" t="s">
        <v>1782</v>
      </c>
      <c r="C596" s="27"/>
      <c r="D596" s="53" t="s">
        <v>1783</v>
      </c>
      <c r="E596" s="53"/>
      <c r="F596" s="53"/>
      <c r="G596" s="53"/>
      <c r="H596" s="53"/>
      <c r="I596" s="53"/>
      <c r="J596" s="53"/>
      <c r="K596" s="27"/>
      <c r="L596" s="28">
        <f>L606</f>
        <v>443.72</v>
      </c>
      <c r="M596" s="28">
        <f>ROUND(L596,2)</f>
        <v>443.72</v>
      </c>
    </row>
    <row r="597" spans="1:13" ht="15.5" customHeight="1" thickBot="1" x14ac:dyDescent="0.35">
      <c r="A597" s="10" t="s">
        <v>1784</v>
      </c>
      <c r="B597" s="5" t="s">
        <v>1785</v>
      </c>
      <c r="C597" s="5" t="s">
        <v>1786</v>
      </c>
      <c r="D597" s="52" t="s">
        <v>1787</v>
      </c>
      <c r="E597" s="52"/>
      <c r="F597" s="52"/>
      <c r="G597" s="52"/>
      <c r="H597" s="52"/>
      <c r="I597" s="52"/>
      <c r="J597" s="52"/>
      <c r="K597" s="20">
        <f>SUM(K599:K600)</f>
        <v>2</v>
      </c>
      <c r="L597" s="21">
        <f>ROUND(40.83*(1+M2/100),2)</f>
        <v>42.05</v>
      </c>
      <c r="M597" s="21">
        <f>ROUND(K597*L597,2)</f>
        <v>84.1</v>
      </c>
    </row>
    <row r="598" spans="1:13" ht="15.25" customHeight="1" thickBot="1" x14ac:dyDescent="0.35">
      <c r="A598" s="29"/>
      <c r="B598" s="29"/>
      <c r="C598" s="29"/>
      <c r="D598" s="29"/>
      <c r="E598" s="30"/>
      <c r="F598" s="32" t="s">
        <v>1788</v>
      </c>
      <c r="G598" s="32" t="s">
        <v>1789</v>
      </c>
      <c r="H598" s="32" t="s">
        <v>1790</v>
      </c>
      <c r="I598" s="32" t="s">
        <v>1791</v>
      </c>
      <c r="J598" s="32" t="s">
        <v>1792</v>
      </c>
      <c r="K598" s="32" t="s">
        <v>1793</v>
      </c>
      <c r="L598" s="29"/>
      <c r="M598" s="29"/>
    </row>
    <row r="599" spans="1:13" ht="15.25" customHeight="1" thickBot="1" x14ac:dyDescent="0.35">
      <c r="A599" s="29"/>
      <c r="B599" s="29"/>
      <c r="C599" s="29"/>
      <c r="D599" s="33"/>
      <c r="E599" s="34" t="s">
        <v>1794</v>
      </c>
      <c r="F599" s="35">
        <v>1</v>
      </c>
      <c r="G599" s="36"/>
      <c r="H599" s="36"/>
      <c r="I599" s="36"/>
      <c r="J599" s="38">
        <f>ROUND(F599,3)</f>
        <v>1</v>
      </c>
      <c r="K599" s="41"/>
      <c r="L599" s="29"/>
      <c r="M599" s="29"/>
    </row>
    <row r="600" spans="1:13" ht="21.65" customHeight="1" thickBot="1" x14ac:dyDescent="0.35">
      <c r="A600" s="29"/>
      <c r="B600" s="29"/>
      <c r="C600" s="29"/>
      <c r="D600" s="33"/>
      <c r="E600" s="5" t="s">
        <v>1795</v>
      </c>
      <c r="F600" s="3">
        <v>1</v>
      </c>
      <c r="G600" s="20"/>
      <c r="H600" s="20"/>
      <c r="I600" s="20"/>
      <c r="J600" s="37">
        <f>ROUND(F600,3)</f>
        <v>1</v>
      </c>
      <c r="K600" s="39">
        <f>SUM(J599:J600)</f>
        <v>2</v>
      </c>
      <c r="L600" s="29"/>
      <c r="M600" s="29"/>
    </row>
    <row r="601" spans="1:13" ht="15.5" customHeight="1" thickBot="1" x14ac:dyDescent="0.35">
      <c r="A601" s="10" t="s">
        <v>1796</v>
      </c>
      <c r="B601" s="5" t="s">
        <v>1797</v>
      </c>
      <c r="C601" s="5" t="s">
        <v>1798</v>
      </c>
      <c r="D601" s="52" t="s">
        <v>1799</v>
      </c>
      <c r="E601" s="52"/>
      <c r="F601" s="52"/>
      <c r="G601" s="52"/>
      <c r="H601" s="52"/>
      <c r="I601" s="52"/>
      <c r="J601" s="52"/>
      <c r="K601" s="20">
        <f>SUM(K603:K604)</f>
        <v>4</v>
      </c>
      <c r="L601" s="21">
        <f>ROUND(58.67*(1+M2/100),2)</f>
        <v>60.43</v>
      </c>
      <c r="M601" s="21">
        <f>ROUND(K601*L601,2)</f>
        <v>241.72</v>
      </c>
    </row>
    <row r="602" spans="1:13" ht="15.25" customHeight="1" thickBot="1" x14ac:dyDescent="0.35">
      <c r="A602" s="29"/>
      <c r="B602" s="29"/>
      <c r="C602" s="29"/>
      <c r="D602" s="29"/>
      <c r="E602" s="30"/>
      <c r="F602" s="32" t="s">
        <v>1800</v>
      </c>
      <c r="G602" s="32" t="s">
        <v>1801</v>
      </c>
      <c r="H602" s="32" t="s">
        <v>1802</v>
      </c>
      <c r="I602" s="32" t="s">
        <v>1803</v>
      </c>
      <c r="J602" s="32" t="s">
        <v>1804</v>
      </c>
      <c r="K602" s="32" t="s">
        <v>1805</v>
      </c>
      <c r="L602" s="29"/>
      <c r="M602" s="29"/>
    </row>
    <row r="603" spans="1:13" ht="21.65" customHeight="1" thickBot="1" x14ac:dyDescent="0.35">
      <c r="A603" s="29"/>
      <c r="B603" s="29"/>
      <c r="C603" s="29"/>
      <c r="D603" s="33"/>
      <c r="E603" s="34" t="s">
        <v>1806</v>
      </c>
      <c r="F603" s="35">
        <v>2</v>
      </c>
      <c r="G603" s="36"/>
      <c r="H603" s="36"/>
      <c r="I603" s="36"/>
      <c r="J603" s="38">
        <f>ROUND(F603,3)</f>
        <v>2</v>
      </c>
      <c r="K603" s="41"/>
      <c r="L603" s="29"/>
      <c r="M603" s="29"/>
    </row>
    <row r="604" spans="1:13" ht="15.25" customHeight="1" thickBot="1" x14ac:dyDescent="0.35">
      <c r="A604" s="29"/>
      <c r="B604" s="29"/>
      <c r="C604" s="29"/>
      <c r="D604" s="33"/>
      <c r="E604" s="5" t="s">
        <v>1807</v>
      </c>
      <c r="F604" s="3">
        <v>2</v>
      </c>
      <c r="G604" s="20"/>
      <c r="H604" s="20"/>
      <c r="I604" s="20"/>
      <c r="J604" s="37">
        <f>ROUND(F604,3)</f>
        <v>2</v>
      </c>
      <c r="K604" s="39">
        <f>SUM(J603:J604)</f>
        <v>4</v>
      </c>
      <c r="L604" s="29"/>
      <c r="M604" s="29"/>
    </row>
    <row r="605" spans="1:13" ht="15.5" customHeight="1" thickBot="1" x14ac:dyDescent="0.35">
      <c r="A605" s="10" t="s">
        <v>1808</v>
      </c>
      <c r="B605" s="5" t="s">
        <v>1809</v>
      </c>
      <c r="C605" s="5" t="s">
        <v>1810</v>
      </c>
      <c r="D605" s="52" t="s">
        <v>1811</v>
      </c>
      <c r="E605" s="52"/>
      <c r="F605" s="52"/>
      <c r="G605" s="52"/>
      <c r="H605" s="52"/>
      <c r="I605" s="52"/>
      <c r="J605" s="52"/>
      <c r="K605" s="20">
        <f>ROUND(6,2)</f>
        <v>6</v>
      </c>
      <c r="L605" s="21">
        <f>ROUND(19.08*(1+M2/100),2)</f>
        <v>19.649999999999999</v>
      </c>
      <c r="M605" s="21">
        <f>ROUND(K605*L605,2)</f>
        <v>117.9</v>
      </c>
    </row>
    <row r="606" spans="1:13" ht="15.5" customHeight="1" thickBot="1" x14ac:dyDescent="0.35">
      <c r="A606" s="22"/>
      <c r="B606" s="22"/>
      <c r="C606" s="22"/>
      <c r="D606" s="23" t="s">
        <v>1812</v>
      </c>
      <c r="E606" s="24"/>
      <c r="F606" s="24"/>
      <c r="G606" s="24"/>
      <c r="H606" s="24"/>
      <c r="I606" s="24"/>
      <c r="J606" s="24"/>
      <c r="K606" s="24"/>
      <c r="L606" s="25">
        <f>M597+M601+M605</f>
        <v>443.72</v>
      </c>
      <c r="M606" s="25">
        <f>ROUND(L606,2)</f>
        <v>443.72</v>
      </c>
    </row>
    <row r="607" spans="1:13" ht="15.5" customHeight="1" thickBot="1" x14ac:dyDescent="0.35">
      <c r="A607" s="26" t="s">
        <v>1813</v>
      </c>
      <c r="B607" s="26" t="s">
        <v>1814</v>
      </c>
      <c r="C607" s="27"/>
      <c r="D607" s="53" t="s">
        <v>1815</v>
      </c>
      <c r="E607" s="53"/>
      <c r="F607" s="53"/>
      <c r="G607" s="53"/>
      <c r="H607" s="53"/>
      <c r="I607" s="53"/>
      <c r="J607" s="53"/>
      <c r="K607" s="27"/>
      <c r="L607" s="28">
        <f>L624</f>
        <v>1805.3600000000001</v>
      </c>
      <c r="M607" s="28">
        <f>ROUND(L607,2)</f>
        <v>1805.36</v>
      </c>
    </row>
    <row r="608" spans="1:13" ht="30.9" customHeight="1" thickBot="1" x14ac:dyDescent="0.35">
      <c r="A608" s="10" t="s">
        <v>1816</v>
      </c>
      <c r="B608" s="5" t="s">
        <v>1817</v>
      </c>
      <c r="C608" s="5" t="s">
        <v>1818</v>
      </c>
      <c r="D608" s="52" t="s">
        <v>1819</v>
      </c>
      <c r="E608" s="52"/>
      <c r="F608" s="52"/>
      <c r="G608" s="52"/>
      <c r="H608" s="52"/>
      <c r="I608" s="52"/>
      <c r="J608" s="52"/>
      <c r="K608" s="20">
        <f>ROUND(3,2)</f>
        <v>3</v>
      </c>
      <c r="L608" s="21">
        <f>ROUND(146.14*(1+M2/100),2)</f>
        <v>150.52000000000001</v>
      </c>
      <c r="M608" s="21">
        <f>ROUND(K608*L608,2)</f>
        <v>451.56</v>
      </c>
    </row>
    <row r="609" spans="1:13" ht="15.5" customHeight="1" thickBot="1" x14ac:dyDescent="0.35">
      <c r="A609" s="10" t="s">
        <v>1820</v>
      </c>
      <c r="B609" s="5" t="s">
        <v>1821</v>
      </c>
      <c r="C609" s="5" t="s">
        <v>1822</v>
      </c>
      <c r="D609" s="52" t="s">
        <v>1823</v>
      </c>
      <c r="E609" s="52"/>
      <c r="F609" s="52"/>
      <c r="G609" s="52"/>
      <c r="H609" s="52"/>
      <c r="I609" s="52"/>
      <c r="J609" s="52"/>
      <c r="K609" s="20">
        <f>ROUND(4,2)</f>
        <v>4</v>
      </c>
      <c r="L609" s="21">
        <f>ROUND(44.59*(1+M2/100),2)</f>
        <v>45.93</v>
      </c>
      <c r="M609" s="21">
        <f>ROUND(K609*L609,2)</f>
        <v>183.72</v>
      </c>
    </row>
    <row r="610" spans="1:13" ht="15.5" customHeight="1" thickBot="1" x14ac:dyDescent="0.35">
      <c r="A610" s="10" t="s">
        <v>1824</v>
      </c>
      <c r="B610" s="5" t="s">
        <v>1825</v>
      </c>
      <c r="C610" s="5" t="s">
        <v>1826</v>
      </c>
      <c r="D610" s="52" t="s">
        <v>1827</v>
      </c>
      <c r="E610" s="52"/>
      <c r="F610" s="52"/>
      <c r="G610" s="52"/>
      <c r="H610" s="52"/>
      <c r="I610" s="52"/>
      <c r="J610" s="52"/>
      <c r="K610" s="20">
        <f>SUM(K612:K617)</f>
        <v>37</v>
      </c>
      <c r="L610" s="21">
        <f>ROUND(20.48*(1+M2/100),2)</f>
        <v>21.09</v>
      </c>
      <c r="M610" s="21">
        <f>ROUND(K610*L610,2)</f>
        <v>780.33</v>
      </c>
    </row>
    <row r="611" spans="1:13" ht="15.25" customHeight="1" thickBot="1" x14ac:dyDescent="0.35">
      <c r="A611" s="29"/>
      <c r="B611" s="29"/>
      <c r="C611" s="29"/>
      <c r="D611" s="29"/>
      <c r="E611" s="30"/>
      <c r="F611" s="32" t="s">
        <v>1828</v>
      </c>
      <c r="G611" s="32" t="s">
        <v>1829</v>
      </c>
      <c r="H611" s="32" t="s">
        <v>1830</v>
      </c>
      <c r="I611" s="32" t="s">
        <v>1831</v>
      </c>
      <c r="J611" s="32" t="s">
        <v>1832</v>
      </c>
      <c r="K611" s="32" t="s">
        <v>1833</v>
      </c>
      <c r="L611" s="29"/>
      <c r="M611" s="29"/>
    </row>
    <row r="612" spans="1:13" ht="15.25" customHeight="1" thickBot="1" x14ac:dyDescent="0.35">
      <c r="A612" s="29"/>
      <c r="B612" s="29"/>
      <c r="C612" s="29"/>
      <c r="D612" s="33"/>
      <c r="E612" s="34" t="s">
        <v>1834</v>
      </c>
      <c r="F612" s="35">
        <v>8</v>
      </c>
      <c r="G612" s="36"/>
      <c r="H612" s="36"/>
      <c r="I612" s="36"/>
      <c r="J612" s="38">
        <f t="shared" ref="J612:J617" si="2">ROUND(F612,3)</f>
        <v>8</v>
      </c>
      <c r="K612" s="41"/>
      <c r="L612" s="29"/>
      <c r="M612" s="29"/>
    </row>
    <row r="613" spans="1:13" ht="15.25" customHeight="1" thickBot="1" x14ac:dyDescent="0.35">
      <c r="A613" s="29"/>
      <c r="B613" s="29"/>
      <c r="C613" s="29"/>
      <c r="D613" s="33"/>
      <c r="E613" s="5" t="s">
        <v>1835</v>
      </c>
      <c r="F613" s="3">
        <v>12</v>
      </c>
      <c r="G613" s="20"/>
      <c r="H613" s="20"/>
      <c r="I613" s="20"/>
      <c r="J613" s="37">
        <f t="shared" si="2"/>
        <v>12</v>
      </c>
      <c r="K613" s="29"/>
      <c r="L613" s="29"/>
      <c r="M613" s="29"/>
    </row>
    <row r="614" spans="1:13" ht="15.25" customHeight="1" thickBot="1" x14ac:dyDescent="0.35">
      <c r="A614" s="29"/>
      <c r="B614" s="29"/>
      <c r="C614" s="29"/>
      <c r="D614" s="33"/>
      <c r="E614" s="5" t="s">
        <v>1836</v>
      </c>
      <c r="F614" s="3">
        <v>1</v>
      </c>
      <c r="G614" s="20"/>
      <c r="H614" s="20"/>
      <c r="I614" s="20"/>
      <c r="J614" s="37">
        <f t="shared" si="2"/>
        <v>1</v>
      </c>
      <c r="K614" s="29"/>
      <c r="L614" s="29"/>
      <c r="M614" s="29"/>
    </row>
    <row r="615" spans="1:13" ht="15.25" customHeight="1" thickBot="1" x14ac:dyDescent="0.35">
      <c r="A615" s="29"/>
      <c r="B615" s="29"/>
      <c r="C615" s="29"/>
      <c r="D615" s="33"/>
      <c r="E615" s="5" t="s">
        <v>1837</v>
      </c>
      <c r="F615" s="3">
        <v>5</v>
      </c>
      <c r="G615" s="20"/>
      <c r="H615" s="20"/>
      <c r="I615" s="20"/>
      <c r="J615" s="37">
        <f t="shared" si="2"/>
        <v>5</v>
      </c>
      <c r="K615" s="29"/>
      <c r="L615" s="29"/>
      <c r="M615" s="29"/>
    </row>
    <row r="616" spans="1:13" ht="15.25" customHeight="1" thickBot="1" x14ac:dyDescent="0.35">
      <c r="A616" s="29"/>
      <c r="B616" s="29"/>
      <c r="C616" s="29"/>
      <c r="D616" s="33"/>
      <c r="E616" s="5" t="s">
        <v>1838</v>
      </c>
      <c r="F616" s="3">
        <v>7</v>
      </c>
      <c r="G616" s="20"/>
      <c r="H616" s="20"/>
      <c r="I616" s="20"/>
      <c r="J616" s="37">
        <f t="shared" si="2"/>
        <v>7</v>
      </c>
      <c r="K616" s="29"/>
      <c r="L616" s="29"/>
      <c r="M616" s="29"/>
    </row>
    <row r="617" spans="1:13" ht="21.65" customHeight="1" thickBot="1" x14ac:dyDescent="0.35">
      <c r="A617" s="29"/>
      <c r="B617" s="29"/>
      <c r="C617" s="29"/>
      <c r="D617" s="33"/>
      <c r="E617" s="5" t="s">
        <v>1839</v>
      </c>
      <c r="F617" s="3">
        <v>4</v>
      </c>
      <c r="G617" s="20"/>
      <c r="H617" s="20"/>
      <c r="I617" s="20"/>
      <c r="J617" s="37">
        <f t="shared" si="2"/>
        <v>4</v>
      </c>
      <c r="K617" s="39">
        <f>SUM(J612:J617)</f>
        <v>37</v>
      </c>
      <c r="L617" s="29"/>
      <c r="M617" s="29"/>
    </row>
    <row r="618" spans="1:13" ht="15.5" customHeight="1" thickBot="1" x14ac:dyDescent="0.35">
      <c r="A618" s="10" t="s">
        <v>1840</v>
      </c>
      <c r="B618" s="5" t="s">
        <v>1841</v>
      </c>
      <c r="C618" s="5" t="s">
        <v>1842</v>
      </c>
      <c r="D618" s="52" t="s">
        <v>1843</v>
      </c>
      <c r="E618" s="52"/>
      <c r="F618" s="52"/>
      <c r="G618" s="52"/>
      <c r="H618" s="52"/>
      <c r="I618" s="52"/>
      <c r="J618" s="52"/>
      <c r="K618" s="20">
        <f>ROUND(1,2)</f>
        <v>1</v>
      </c>
      <c r="L618" s="21">
        <f>ROUND(16.88*(1+M2/100),2)</f>
        <v>17.39</v>
      </c>
      <c r="M618" s="21">
        <f>ROUND(K618*L618,2)</f>
        <v>17.39</v>
      </c>
    </row>
    <row r="619" spans="1:13" ht="15.5" customHeight="1" thickBot="1" x14ac:dyDescent="0.35">
      <c r="A619" s="10" t="s">
        <v>1844</v>
      </c>
      <c r="B619" s="5" t="s">
        <v>1845</v>
      </c>
      <c r="C619" s="5" t="s">
        <v>1846</v>
      </c>
      <c r="D619" s="52" t="s">
        <v>1847</v>
      </c>
      <c r="E619" s="52"/>
      <c r="F619" s="52"/>
      <c r="G619" s="52"/>
      <c r="H619" s="52"/>
      <c r="I619" s="52"/>
      <c r="J619" s="52"/>
      <c r="K619" s="20">
        <f>SUM(K621:K622)</f>
        <v>4</v>
      </c>
      <c r="L619" s="21">
        <f>ROUND(63.45*(1+M2/100),2)</f>
        <v>65.349999999999994</v>
      </c>
      <c r="M619" s="21">
        <f>ROUND(K619*L619,2)</f>
        <v>261.39999999999998</v>
      </c>
    </row>
    <row r="620" spans="1:13" ht="15.25" customHeight="1" thickBot="1" x14ac:dyDescent="0.35">
      <c r="A620" s="29"/>
      <c r="B620" s="29"/>
      <c r="C620" s="29"/>
      <c r="D620" s="29"/>
      <c r="E620" s="30"/>
      <c r="F620" s="32" t="s">
        <v>1848</v>
      </c>
      <c r="G620" s="32" t="s">
        <v>1849</v>
      </c>
      <c r="H620" s="32" t="s">
        <v>1850</v>
      </c>
      <c r="I620" s="32" t="s">
        <v>1851</v>
      </c>
      <c r="J620" s="32" t="s">
        <v>1852</v>
      </c>
      <c r="K620" s="32" t="s">
        <v>1853</v>
      </c>
      <c r="L620" s="29"/>
      <c r="M620" s="29"/>
    </row>
    <row r="621" spans="1:13" ht="30.9" customHeight="1" thickBot="1" x14ac:dyDescent="0.35">
      <c r="A621" s="29"/>
      <c r="B621" s="29"/>
      <c r="C621" s="29"/>
      <c r="D621" s="33"/>
      <c r="E621" s="34" t="s">
        <v>1854</v>
      </c>
      <c r="F621" s="35">
        <v>1</v>
      </c>
      <c r="G621" s="36"/>
      <c r="H621" s="36"/>
      <c r="I621" s="36"/>
      <c r="J621" s="38">
        <f>ROUND(F621,3)</f>
        <v>1</v>
      </c>
      <c r="K621" s="41"/>
      <c r="L621" s="29"/>
      <c r="M621" s="29"/>
    </row>
    <row r="622" spans="1:13" ht="21.65" customHeight="1" thickBot="1" x14ac:dyDescent="0.35">
      <c r="A622" s="29"/>
      <c r="B622" s="29"/>
      <c r="C622" s="29"/>
      <c r="D622" s="33"/>
      <c r="E622" s="5" t="s">
        <v>1855</v>
      </c>
      <c r="F622" s="3">
        <v>3</v>
      </c>
      <c r="G622" s="20"/>
      <c r="H622" s="20"/>
      <c r="I622" s="20"/>
      <c r="J622" s="37">
        <f>ROUND(F622,3)</f>
        <v>3</v>
      </c>
      <c r="K622" s="39">
        <f>SUM(J621:J622)</f>
        <v>4</v>
      </c>
      <c r="L622" s="29"/>
      <c r="M622" s="29"/>
    </row>
    <row r="623" spans="1:13" ht="15.5" customHeight="1" thickBot="1" x14ac:dyDescent="0.35">
      <c r="A623" s="10" t="s">
        <v>1856</v>
      </c>
      <c r="B623" s="5" t="s">
        <v>1857</v>
      </c>
      <c r="C623" s="5" t="s">
        <v>1858</v>
      </c>
      <c r="D623" s="52" t="s">
        <v>1859</v>
      </c>
      <c r="E623" s="52"/>
      <c r="F623" s="52"/>
      <c r="G623" s="52"/>
      <c r="H623" s="52"/>
      <c r="I623" s="52"/>
      <c r="J623" s="52"/>
      <c r="K623" s="20">
        <f>ROUND(1,2)</f>
        <v>1</v>
      </c>
      <c r="L623" s="21">
        <f>ROUND(107.73*(1+M2/100),2)</f>
        <v>110.96</v>
      </c>
      <c r="M623" s="21">
        <f>ROUND(K623*L623,2)</f>
        <v>110.96</v>
      </c>
    </row>
    <row r="624" spans="1:13" ht="15.5" customHeight="1" thickBot="1" x14ac:dyDescent="0.35">
      <c r="A624" s="22"/>
      <c r="B624" s="22"/>
      <c r="C624" s="22"/>
      <c r="D624" s="23" t="s">
        <v>1860</v>
      </c>
      <c r="E624" s="24"/>
      <c r="F624" s="24"/>
      <c r="G624" s="24"/>
      <c r="H624" s="24"/>
      <c r="I624" s="24"/>
      <c r="J624" s="24"/>
      <c r="K624" s="24"/>
      <c r="L624" s="25">
        <f>M608+M609+M610+M618+M619+M623</f>
        <v>1805.3600000000001</v>
      </c>
      <c r="M624" s="25">
        <f>ROUND(L624,2)</f>
        <v>1805.36</v>
      </c>
    </row>
    <row r="625" spans="1:13" ht="15.5" customHeight="1" thickBot="1" x14ac:dyDescent="0.35">
      <c r="A625" s="26" t="s">
        <v>1861</v>
      </c>
      <c r="B625" s="26" t="s">
        <v>1862</v>
      </c>
      <c r="C625" s="27"/>
      <c r="D625" s="53" t="s">
        <v>1863</v>
      </c>
      <c r="E625" s="53"/>
      <c r="F625" s="53"/>
      <c r="G625" s="53"/>
      <c r="H625" s="53"/>
      <c r="I625" s="53"/>
      <c r="J625" s="53"/>
      <c r="K625" s="27"/>
      <c r="L625" s="28">
        <f>L627</f>
        <v>123.6</v>
      </c>
      <c r="M625" s="28">
        <f>ROUND(L625,2)</f>
        <v>123.6</v>
      </c>
    </row>
    <row r="626" spans="1:13" ht="15.5" customHeight="1" thickBot="1" x14ac:dyDescent="0.35">
      <c r="A626" s="10" t="s">
        <v>1864</v>
      </c>
      <c r="B626" s="5" t="s">
        <v>1865</v>
      </c>
      <c r="C626" s="5" t="s">
        <v>1866</v>
      </c>
      <c r="D626" s="52" t="s">
        <v>1867</v>
      </c>
      <c r="E626" s="52"/>
      <c r="F626" s="52"/>
      <c r="G626" s="52"/>
      <c r="H626" s="52"/>
      <c r="I626" s="52"/>
      <c r="J626" s="52"/>
      <c r="K626" s="20">
        <f>ROUND(1,2)</f>
        <v>1</v>
      </c>
      <c r="L626" s="21">
        <f>ROUND(120*(1+M2/100),2)</f>
        <v>123.6</v>
      </c>
      <c r="M626" s="21">
        <f>ROUND(K626*L626,2)</f>
        <v>123.6</v>
      </c>
    </row>
    <row r="627" spans="1:13" ht="15.5" customHeight="1" thickBot="1" x14ac:dyDescent="0.35">
      <c r="A627" s="22"/>
      <c r="B627" s="22"/>
      <c r="C627" s="22"/>
      <c r="D627" s="23" t="s">
        <v>1868</v>
      </c>
      <c r="E627" s="24"/>
      <c r="F627" s="24"/>
      <c r="G627" s="24"/>
      <c r="H627" s="24"/>
      <c r="I627" s="24"/>
      <c r="J627" s="24"/>
      <c r="K627" s="24"/>
      <c r="L627" s="25">
        <f>M626</f>
        <v>123.6</v>
      </c>
      <c r="M627" s="25">
        <f>ROUND(L627,2)</f>
        <v>123.6</v>
      </c>
    </row>
    <row r="628" spans="1:13" ht="15.5" customHeight="1" thickBot="1" x14ac:dyDescent="0.35">
      <c r="A628" s="42"/>
      <c r="B628" s="42"/>
      <c r="C628" s="42"/>
      <c r="D628" s="43" t="s">
        <v>1869</v>
      </c>
      <c r="E628" s="44"/>
      <c r="F628" s="44"/>
      <c r="G628" s="44"/>
      <c r="H628" s="44"/>
      <c r="I628" s="44"/>
      <c r="J628" s="44"/>
      <c r="K628" s="44"/>
      <c r="L628" s="45">
        <f>M579+M583+M595+M606+M624+M627</f>
        <v>4728.21</v>
      </c>
      <c r="M628" s="45">
        <f>ROUND(L628,2)</f>
        <v>4728.21</v>
      </c>
    </row>
    <row r="629" spans="1:13" ht="15.5" customHeight="1" thickBot="1" x14ac:dyDescent="0.35">
      <c r="A629" s="46" t="s">
        <v>1870</v>
      </c>
      <c r="B629" s="46" t="s">
        <v>1871</v>
      </c>
      <c r="C629" s="47"/>
      <c r="D629" s="54" t="s">
        <v>1872</v>
      </c>
      <c r="E629" s="54"/>
      <c r="F629" s="54"/>
      <c r="G629" s="54"/>
      <c r="H629" s="54"/>
      <c r="I629" s="54"/>
      <c r="J629" s="54"/>
      <c r="K629" s="47"/>
      <c r="L629" s="48">
        <f>L673</f>
        <v>3725.1</v>
      </c>
      <c r="M629" s="48">
        <f>ROUND(L629,2)</f>
        <v>3725.1</v>
      </c>
    </row>
    <row r="630" spans="1:13" ht="15.5" customHeight="1" thickBot="1" x14ac:dyDescent="0.35">
      <c r="A630" s="17" t="s">
        <v>1873</v>
      </c>
      <c r="B630" s="17" t="s">
        <v>1874</v>
      </c>
      <c r="C630" s="18"/>
      <c r="D630" s="55" t="s">
        <v>1875</v>
      </c>
      <c r="E630" s="55"/>
      <c r="F630" s="55"/>
      <c r="G630" s="55"/>
      <c r="H630" s="55"/>
      <c r="I630" s="55"/>
      <c r="J630" s="55"/>
      <c r="K630" s="18"/>
      <c r="L630" s="19">
        <f>L633</f>
        <v>450</v>
      </c>
      <c r="M630" s="19">
        <f>ROUND(L630,2)</f>
        <v>450</v>
      </c>
    </row>
    <row r="631" spans="1:13" ht="15.5" customHeight="1" thickBot="1" x14ac:dyDescent="0.35">
      <c r="A631" s="10" t="s">
        <v>1876</v>
      </c>
      <c r="B631" s="5" t="s">
        <v>1877</v>
      </c>
      <c r="C631" s="5" t="s">
        <v>1878</v>
      </c>
      <c r="D631" s="52" t="s">
        <v>1879</v>
      </c>
      <c r="E631" s="52"/>
      <c r="F631" s="52"/>
      <c r="G631" s="52"/>
      <c r="H631" s="52"/>
      <c r="I631" s="52"/>
      <c r="J631" s="52"/>
      <c r="K631" s="20">
        <f>ROUND(1,2)</f>
        <v>1</v>
      </c>
      <c r="L631" s="21">
        <f>ROUND(242.718*(1+M2/100),2)</f>
        <v>250</v>
      </c>
      <c r="M631" s="21">
        <f>ROUND(K631*L631,2)</f>
        <v>250</v>
      </c>
    </row>
    <row r="632" spans="1:13" ht="15.5" customHeight="1" thickBot="1" x14ac:dyDescent="0.35">
      <c r="A632" s="10" t="s">
        <v>1880</v>
      </c>
      <c r="B632" s="5" t="s">
        <v>1881</v>
      </c>
      <c r="C632" s="5" t="s">
        <v>1882</v>
      </c>
      <c r="D632" s="52" t="s">
        <v>1883</v>
      </c>
      <c r="E632" s="52"/>
      <c r="F632" s="52"/>
      <c r="G632" s="52"/>
      <c r="H632" s="52"/>
      <c r="I632" s="52"/>
      <c r="J632" s="52"/>
      <c r="K632" s="20">
        <f>ROUND(1,2)</f>
        <v>1</v>
      </c>
      <c r="L632" s="21">
        <f>ROUND(194.175*(1+M2/100),2)</f>
        <v>200</v>
      </c>
      <c r="M632" s="21">
        <f>ROUND(K632*L632,2)</f>
        <v>200</v>
      </c>
    </row>
    <row r="633" spans="1:13" ht="15.5" customHeight="1" thickBot="1" x14ac:dyDescent="0.35">
      <c r="A633" s="22"/>
      <c r="B633" s="22"/>
      <c r="C633" s="22"/>
      <c r="D633" s="23" t="s">
        <v>1884</v>
      </c>
      <c r="E633" s="24"/>
      <c r="F633" s="24"/>
      <c r="G633" s="24"/>
      <c r="H633" s="24"/>
      <c r="I633" s="24"/>
      <c r="J633" s="24"/>
      <c r="K633" s="24"/>
      <c r="L633" s="25">
        <f>M631+M632</f>
        <v>450</v>
      </c>
      <c r="M633" s="25">
        <f>ROUND(L633,2)</f>
        <v>450</v>
      </c>
    </row>
    <row r="634" spans="1:13" ht="15.5" customHeight="1" thickBot="1" x14ac:dyDescent="0.35">
      <c r="A634" s="26" t="s">
        <v>1885</v>
      </c>
      <c r="B634" s="26" t="s">
        <v>1886</v>
      </c>
      <c r="C634" s="27"/>
      <c r="D634" s="53" t="s">
        <v>1887</v>
      </c>
      <c r="E634" s="53"/>
      <c r="F634" s="53"/>
      <c r="G634" s="53"/>
      <c r="H634" s="53"/>
      <c r="I634" s="53"/>
      <c r="J634" s="53"/>
      <c r="K634" s="27"/>
      <c r="L634" s="28">
        <f>L637</f>
        <v>913.72</v>
      </c>
      <c r="M634" s="28">
        <f>ROUND(L634,2)</f>
        <v>913.72</v>
      </c>
    </row>
    <row r="635" spans="1:13" ht="15.5" customHeight="1" thickBot="1" x14ac:dyDescent="0.35">
      <c r="A635" s="10" t="s">
        <v>1888</v>
      </c>
      <c r="B635" s="5" t="s">
        <v>1889</v>
      </c>
      <c r="C635" s="5" t="s">
        <v>1890</v>
      </c>
      <c r="D635" s="52" t="s">
        <v>1891</v>
      </c>
      <c r="E635" s="52"/>
      <c r="F635" s="52"/>
      <c r="G635" s="52"/>
      <c r="H635" s="52"/>
      <c r="I635" s="52"/>
      <c r="J635" s="52"/>
      <c r="K635" s="20">
        <f>ROUND(1,2)</f>
        <v>1</v>
      </c>
      <c r="L635" s="21">
        <f>ROUND(464.49*(1+M2/100),2)</f>
        <v>478.42</v>
      </c>
      <c r="M635" s="21">
        <f>ROUND(K635*L635,2)</f>
        <v>478.42</v>
      </c>
    </row>
    <row r="636" spans="1:13" ht="15.5" customHeight="1" thickBot="1" x14ac:dyDescent="0.35">
      <c r="A636" s="10" t="s">
        <v>1892</v>
      </c>
      <c r="B636" s="5" t="s">
        <v>1893</v>
      </c>
      <c r="C636" s="5" t="s">
        <v>1894</v>
      </c>
      <c r="D636" s="52" t="s">
        <v>1895</v>
      </c>
      <c r="E636" s="52"/>
      <c r="F636" s="52"/>
      <c r="G636" s="52"/>
      <c r="H636" s="52"/>
      <c r="I636" s="52"/>
      <c r="J636" s="52"/>
      <c r="K636" s="20">
        <f>ROUND(1,2)</f>
        <v>1</v>
      </c>
      <c r="L636" s="21">
        <f>ROUND(422.62*(1+M2/100),2)</f>
        <v>435.3</v>
      </c>
      <c r="M636" s="21">
        <f>ROUND(K636*L636,2)</f>
        <v>435.3</v>
      </c>
    </row>
    <row r="637" spans="1:13" ht="15.5" customHeight="1" thickBot="1" x14ac:dyDescent="0.35">
      <c r="A637" s="22"/>
      <c r="B637" s="22"/>
      <c r="C637" s="22"/>
      <c r="D637" s="23" t="s">
        <v>1896</v>
      </c>
      <c r="E637" s="24"/>
      <c r="F637" s="24"/>
      <c r="G637" s="24"/>
      <c r="H637" s="24"/>
      <c r="I637" s="24"/>
      <c r="J637" s="24"/>
      <c r="K637" s="24"/>
      <c r="L637" s="25">
        <f>M635+M636</f>
        <v>913.72</v>
      </c>
      <c r="M637" s="25">
        <f>ROUND(L637,2)</f>
        <v>913.72</v>
      </c>
    </row>
    <row r="638" spans="1:13" ht="15.5" customHeight="1" thickBot="1" x14ac:dyDescent="0.35">
      <c r="A638" s="26" t="s">
        <v>1897</v>
      </c>
      <c r="B638" s="26" t="s">
        <v>1898</v>
      </c>
      <c r="C638" s="27"/>
      <c r="D638" s="53" t="s">
        <v>1899</v>
      </c>
      <c r="E638" s="53"/>
      <c r="F638" s="53"/>
      <c r="G638" s="53"/>
      <c r="H638" s="53"/>
      <c r="I638" s="53"/>
      <c r="J638" s="53"/>
      <c r="K638" s="27"/>
      <c r="L638" s="28">
        <f>L653</f>
        <v>792.9</v>
      </c>
      <c r="M638" s="28">
        <f>ROUND(L638,2)</f>
        <v>792.9</v>
      </c>
    </row>
    <row r="639" spans="1:13" ht="30.9" customHeight="1" thickBot="1" x14ac:dyDescent="0.35">
      <c r="A639" s="10" t="s">
        <v>1900</v>
      </c>
      <c r="B639" s="5" t="s">
        <v>1901</v>
      </c>
      <c r="C639" s="5" t="s">
        <v>1902</v>
      </c>
      <c r="D639" s="52" t="s">
        <v>1903</v>
      </c>
      <c r="E639" s="52"/>
      <c r="F639" s="52"/>
      <c r="G639" s="52"/>
      <c r="H639" s="52"/>
      <c r="I639" s="52"/>
      <c r="J639" s="52"/>
      <c r="K639" s="20">
        <f>SUM(K641:K643)</f>
        <v>270</v>
      </c>
      <c r="L639" s="21">
        <f>ROUND(1.25*(1+M2/100),2)</f>
        <v>1.29</v>
      </c>
      <c r="M639" s="21">
        <f>ROUND(K639*L639,2)</f>
        <v>348.3</v>
      </c>
    </row>
    <row r="640" spans="1:13" ht="15.25" customHeight="1" thickBot="1" x14ac:dyDescent="0.35">
      <c r="A640" s="29"/>
      <c r="B640" s="29"/>
      <c r="C640" s="29"/>
      <c r="D640" s="29"/>
      <c r="E640" s="30"/>
      <c r="F640" s="32" t="s">
        <v>1904</v>
      </c>
      <c r="G640" s="32" t="s">
        <v>1905</v>
      </c>
      <c r="H640" s="32" t="s">
        <v>1906</v>
      </c>
      <c r="I640" s="32" t="s">
        <v>1907</v>
      </c>
      <c r="J640" s="32" t="s">
        <v>1908</v>
      </c>
      <c r="K640" s="32" t="s">
        <v>1909</v>
      </c>
      <c r="L640" s="29"/>
      <c r="M640" s="29"/>
    </row>
    <row r="641" spans="1:13" ht="15.25" customHeight="1" thickBot="1" x14ac:dyDescent="0.35">
      <c r="A641" s="29"/>
      <c r="B641" s="29"/>
      <c r="C641" s="29"/>
      <c r="D641" s="33"/>
      <c r="E641" s="34" t="s">
        <v>1910</v>
      </c>
      <c r="F641" s="35">
        <v>3</v>
      </c>
      <c r="G641" s="36">
        <v>25</v>
      </c>
      <c r="H641" s="36"/>
      <c r="I641" s="36"/>
      <c r="J641" s="38">
        <f>ROUND(F641*G641,3)</f>
        <v>75</v>
      </c>
      <c r="K641" s="41"/>
      <c r="L641" s="29"/>
      <c r="M641" s="29"/>
    </row>
    <row r="642" spans="1:13" ht="15.25" customHeight="1" thickBot="1" x14ac:dyDescent="0.35">
      <c r="A642" s="29"/>
      <c r="B642" s="29"/>
      <c r="C642" s="29"/>
      <c r="D642" s="33"/>
      <c r="E642" s="5" t="s">
        <v>1911</v>
      </c>
      <c r="F642" s="3">
        <v>3</v>
      </c>
      <c r="G642" s="20">
        <v>60</v>
      </c>
      <c r="H642" s="20"/>
      <c r="I642" s="20"/>
      <c r="J642" s="37">
        <f>ROUND(F642*G642,3)</f>
        <v>180</v>
      </c>
      <c r="K642" s="29"/>
      <c r="L642" s="29"/>
      <c r="M642" s="29"/>
    </row>
    <row r="643" spans="1:13" ht="15.25" customHeight="1" thickBot="1" x14ac:dyDescent="0.35">
      <c r="A643" s="29"/>
      <c r="B643" s="29"/>
      <c r="C643" s="29"/>
      <c r="D643" s="33"/>
      <c r="E643" s="5" t="s">
        <v>1912</v>
      </c>
      <c r="F643" s="3">
        <v>3</v>
      </c>
      <c r="G643" s="20">
        <v>5</v>
      </c>
      <c r="H643" s="20"/>
      <c r="I643" s="20"/>
      <c r="J643" s="37">
        <f>ROUND(F643*G643,3)</f>
        <v>15</v>
      </c>
      <c r="K643" s="39">
        <f>SUM(J641:J643)</f>
        <v>270</v>
      </c>
      <c r="L643" s="29"/>
      <c r="M643" s="29"/>
    </row>
    <row r="644" spans="1:13" ht="30.9" customHeight="1" thickBot="1" x14ac:dyDescent="0.35">
      <c r="A644" s="10" t="s">
        <v>1913</v>
      </c>
      <c r="B644" s="5" t="s">
        <v>1914</v>
      </c>
      <c r="C644" s="5" t="s">
        <v>1915</v>
      </c>
      <c r="D644" s="52" t="s">
        <v>1916</v>
      </c>
      <c r="E644" s="52"/>
      <c r="F644" s="52"/>
      <c r="G644" s="52"/>
      <c r="H644" s="52"/>
      <c r="I644" s="52"/>
      <c r="J644" s="52"/>
      <c r="K644" s="20">
        <f>SUM(K646:K646)</f>
        <v>45</v>
      </c>
      <c r="L644" s="21">
        <f>ROUND(1.29*(1+M2/100),2)</f>
        <v>1.33</v>
      </c>
      <c r="M644" s="21">
        <f>ROUND(K644*L644,2)</f>
        <v>59.85</v>
      </c>
    </row>
    <row r="645" spans="1:13" ht="15.25" customHeight="1" thickBot="1" x14ac:dyDescent="0.35">
      <c r="A645" s="29"/>
      <c r="B645" s="29"/>
      <c r="C645" s="29"/>
      <c r="D645" s="29"/>
      <c r="E645" s="30"/>
      <c r="F645" s="32" t="s">
        <v>1917</v>
      </c>
      <c r="G645" s="32" t="s">
        <v>1918</v>
      </c>
      <c r="H645" s="32" t="s">
        <v>1919</v>
      </c>
      <c r="I645" s="32" t="s">
        <v>1920</v>
      </c>
      <c r="J645" s="32" t="s">
        <v>1921</v>
      </c>
      <c r="K645" s="32" t="s">
        <v>1922</v>
      </c>
      <c r="L645" s="29"/>
      <c r="M645" s="29"/>
    </row>
    <row r="646" spans="1:13" ht="15.25" customHeight="1" thickBot="1" x14ac:dyDescent="0.35">
      <c r="A646" s="29"/>
      <c r="B646" s="29"/>
      <c r="C646" s="29"/>
      <c r="D646" s="33"/>
      <c r="E646" s="34" t="s">
        <v>1923</v>
      </c>
      <c r="F646" s="35">
        <v>3</v>
      </c>
      <c r="G646" s="36">
        <v>15</v>
      </c>
      <c r="H646" s="36"/>
      <c r="I646" s="36"/>
      <c r="J646" s="38">
        <f>ROUND(F646*G646,3)</f>
        <v>45</v>
      </c>
      <c r="K646" s="40">
        <f>SUM(J646:J646)</f>
        <v>45</v>
      </c>
      <c r="L646" s="29"/>
      <c r="M646" s="29"/>
    </row>
    <row r="647" spans="1:13" ht="15.5" customHeight="1" thickBot="1" x14ac:dyDescent="0.35">
      <c r="A647" s="10" t="s">
        <v>1924</v>
      </c>
      <c r="B647" s="5" t="s">
        <v>1925</v>
      </c>
      <c r="C647" s="5" t="s">
        <v>1926</v>
      </c>
      <c r="D647" s="52" t="s">
        <v>1927</v>
      </c>
      <c r="E647" s="52"/>
      <c r="F647" s="52"/>
      <c r="G647" s="52"/>
      <c r="H647" s="52"/>
      <c r="I647" s="52"/>
      <c r="J647" s="52"/>
      <c r="K647" s="20">
        <f>SUM(K649:K651)</f>
        <v>90</v>
      </c>
      <c r="L647" s="21">
        <f>ROUND(3.48*(1+M2/100),2)</f>
        <v>3.58</v>
      </c>
      <c r="M647" s="21">
        <f>ROUND(K647*L647,2)</f>
        <v>322.2</v>
      </c>
    </row>
    <row r="648" spans="1:13" ht="15.25" customHeight="1" thickBot="1" x14ac:dyDescent="0.35">
      <c r="A648" s="29"/>
      <c r="B648" s="29"/>
      <c r="C648" s="29"/>
      <c r="D648" s="29"/>
      <c r="E648" s="30"/>
      <c r="F648" s="32" t="s">
        <v>1928</v>
      </c>
      <c r="G648" s="32" t="s">
        <v>1929</v>
      </c>
      <c r="H648" s="32" t="s">
        <v>1930</v>
      </c>
      <c r="I648" s="32" t="s">
        <v>1931</v>
      </c>
      <c r="J648" s="32" t="s">
        <v>1932</v>
      </c>
      <c r="K648" s="32" t="s">
        <v>1933</v>
      </c>
      <c r="L648" s="29"/>
      <c r="M648" s="29"/>
    </row>
    <row r="649" spans="1:13" ht="15.25" customHeight="1" thickBot="1" x14ac:dyDescent="0.35">
      <c r="A649" s="29"/>
      <c r="B649" s="29"/>
      <c r="C649" s="29"/>
      <c r="D649" s="33"/>
      <c r="E649" s="34" t="s">
        <v>1934</v>
      </c>
      <c r="F649" s="35"/>
      <c r="G649" s="36">
        <v>25</v>
      </c>
      <c r="H649" s="36"/>
      <c r="I649" s="36"/>
      <c r="J649" s="38">
        <f>ROUND(G649,3)</f>
        <v>25</v>
      </c>
      <c r="K649" s="41"/>
      <c r="L649" s="29"/>
      <c r="M649" s="29"/>
    </row>
    <row r="650" spans="1:13" ht="15.25" customHeight="1" thickBot="1" x14ac:dyDescent="0.35">
      <c r="A650" s="29"/>
      <c r="B650" s="29"/>
      <c r="C650" s="29"/>
      <c r="D650" s="33"/>
      <c r="E650" s="5" t="s">
        <v>1935</v>
      </c>
      <c r="F650" s="3"/>
      <c r="G650" s="20">
        <v>60</v>
      </c>
      <c r="H650" s="20"/>
      <c r="I650" s="20"/>
      <c r="J650" s="37">
        <f>ROUND(G650,3)</f>
        <v>60</v>
      </c>
      <c r="K650" s="29"/>
      <c r="L650" s="29"/>
      <c r="M650" s="29"/>
    </row>
    <row r="651" spans="1:13" ht="15.25" customHeight="1" thickBot="1" x14ac:dyDescent="0.35">
      <c r="A651" s="29"/>
      <c r="B651" s="29"/>
      <c r="C651" s="29"/>
      <c r="D651" s="33"/>
      <c r="E651" s="5" t="s">
        <v>1936</v>
      </c>
      <c r="F651" s="3"/>
      <c r="G651" s="20">
        <v>5</v>
      </c>
      <c r="H651" s="20"/>
      <c r="I651" s="20"/>
      <c r="J651" s="37">
        <f>ROUND(G651,3)</f>
        <v>5</v>
      </c>
      <c r="K651" s="39">
        <f>SUM(J649:J651)</f>
        <v>90</v>
      </c>
      <c r="L651" s="29"/>
      <c r="M651" s="29"/>
    </row>
    <row r="652" spans="1:13" ht="15.5" customHeight="1" thickBot="1" x14ac:dyDescent="0.35">
      <c r="A652" s="10" t="s">
        <v>1937</v>
      </c>
      <c r="B652" s="5" t="s">
        <v>1938</v>
      </c>
      <c r="C652" s="5" t="s">
        <v>1939</v>
      </c>
      <c r="D652" s="52" t="s">
        <v>1940</v>
      </c>
      <c r="E652" s="52"/>
      <c r="F652" s="52"/>
      <c r="G652" s="52"/>
      <c r="H652" s="52"/>
      <c r="I652" s="52"/>
      <c r="J652" s="52"/>
      <c r="K652" s="20">
        <f>ROUND(15,2)</f>
        <v>15</v>
      </c>
      <c r="L652" s="21">
        <f>ROUND(4.05*(1+M2/100),2)</f>
        <v>4.17</v>
      </c>
      <c r="M652" s="21">
        <f>ROUND(K652*L652,2)</f>
        <v>62.55</v>
      </c>
    </row>
    <row r="653" spans="1:13" ht="15.5" customHeight="1" thickBot="1" x14ac:dyDescent="0.35">
      <c r="A653" s="22"/>
      <c r="B653" s="22"/>
      <c r="C653" s="22"/>
      <c r="D653" s="23" t="s">
        <v>1941</v>
      </c>
      <c r="E653" s="24"/>
      <c r="F653" s="24"/>
      <c r="G653" s="24"/>
      <c r="H653" s="24"/>
      <c r="I653" s="24"/>
      <c r="J653" s="24"/>
      <c r="K653" s="24"/>
      <c r="L653" s="25">
        <f>M639+M644+M647+M652</f>
        <v>792.9</v>
      </c>
      <c r="M653" s="25">
        <f>ROUND(L653,2)</f>
        <v>792.9</v>
      </c>
    </row>
    <row r="654" spans="1:13" ht="15.5" customHeight="1" thickBot="1" x14ac:dyDescent="0.35">
      <c r="A654" s="26" t="s">
        <v>1942</v>
      </c>
      <c r="B654" s="26" t="s">
        <v>1943</v>
      </c>
      <c r="C654" s="27"/>
      <c r="D654" s="53" t="s">
        <v>1944</v>
      </c>
      <c r="E654" s="53"/>
      <c r="F654" s="53"/>
      <c r="G654" s="53"/>
      <c r="H654" s="53"/>
      <c r="I654" s="53"/>
      <c r="J654" s="53"/>
      <c r="K654" s="27"/>
      <c r="L654" s="28">
        <f>L664</f>
        <v>488.35999999999996</v>
      </c>
      <c r="M654" s="28">
        <f>ROUND(L654,2)</f>
        <v>488.36</v>
      </c>
    </row>
    <row r="655" spans="1:13" ht="15.5" customHeight="1" thickBot="1" x14ac:dyDescent="0.35">
      <c r="A655" s="10" t="s">
        <v>1945</v>
      </c>
      <c r="B655" s="5" t="s">
        <v>1946</v>
      </c>
      <c r="C655" s="5" t="s">
        <v>1947</v>
      </c>
      <c r="D655" s="52" t="s">
        <v>1948</v>
      </c>
      <c r="E655" s="52"/>
      <c r="F655" s="52"/>
      <c r="G655" s="52"/>
      <c r="H655" s="52"/>
      <c r="I655" s="52"/>
      <c r="J655" s="52"/>
      <c r="K655" s="20">
        <f>SUM(K657:K658)</f>
        <v>2</v>
      </c>
      <c r="L655" s="21">
        <f>ROUND(23.62*(1+M2/100),2)</f>
        <v>24.33</v>
      </c>
      <c r="M655" s="21">
        <f>ROUND(K655*L655,2)</f>
        <v>48.66</v>
      </c>
    </row>
    <row r="656" spans="1:13" ht="15.25" customHeight="1" thickBot="1" x14ac:dyDescent="0.35">
      <c r="A656" s="29"/>
      <c r="B656" s="29"/>
      <c r="C656" s="29"/>
      <c r="D656" s="29"/>
      <c r="E656" s="30"/>
      <c r="F656" s="32" t="s">
        <v>1949</v>
      </c>
      <c r="G656" s="32" t="s">
        <v>1950</v>
      </c>
      <c r="H656" s="32" t="s">
        <v>1951</v>
      </c>
      <c r="I656" s="32" t="s">
        <v>1952</v>
      </c>
      <c r="J656" s="32" t="s">
        <v>1953</v>
      </c>
      <c r="K656" s="32" t="s">
        <v>1954</v>
      </c>
      <c r="L656" s="29"/>
      <c r="M656" s="29"/>
    </row>
    <row r="657" spans="1:13" ht="21.65" customHeight="1" thickBot="1" x14ac:dyDescent="0.35">
      <c r="A657" s="29"/>
      <c r="B657" s="29"/>
      <c r="C657" s="29"/>
      <c r="D657" s="33"/>
      <c r="E657" s="34" t="s">
        <v>1955</v>
      </c>
      <c r="F657" s="35">
        <v>1</v>
      </c>
      <c r="G657" s="36"/>
      <c r="H657" s="36"/>
      <c r="I657" s="36"/>
      <c r="J657" s="38">
        <f>ROUND(F657,3)</f>
        <v>1</v>
      </c>
      <c r="K657" s="41"/>
      <c r="L657" s="29"/>
      <c r="M657" s="29"/>
    </row>
    <row r="658" spans="1:13" ht="21.65" customHeight="1" thickBot="1" x14ac:dyDescent="0.35">
      <c r="A658" s="29"/>
      <c r="B658" s="29"/>
      <c r="C658" s="29"/>
      <c r="D658" s="33"/>
      <c r="E658" s="5" t="s">
        <v>1956</v>
      </c>
      <c r="F658" s="3">
        <v>1</v>
      </c>
      <c r="G658" s="20"/>
      <c r="H658" s="20"/>
      <c r="I658" s="20"/>
      <c r="J658" s="37">
        <f>ROUND(F658,3)</f>
        <v>1</v>
      </c>
      <c r="K658" s="39">
        <f>SUM(J657:J658)</f>
        <v>2</v>
      </c>
      <c r="L658" s="29"/>
      <c r="M658" s="29"/>
    </row>
    <row r="659" spans="1:13" ht="15.5" customHeight="1" thickBot="1" x14ac:dyDescent="0.35">
      <c r="A659" s="10" t="s">
        <v>1957</v>
      </c>
      <c r="B659" s="5" t="s">
        <v>1958</v>
      </c>
      <c r="C659" s="5" t="s">
        <v>1959</v>
      </c>
      <c r="D659" s="52" t="s">
        <v>1960</v>
      </c>
      <c r="E659" s="52"/>
      <c r="F659" s="52"/>
      <c r="G659" s="52"/>
      <c r="H659" s="52"/>
      <c r="I659" s="52"/>
      <c r="J659" s="52"/>
      <c r="K659" s="20">
        <f>SUM(K661:K662)</f>
        <v>5</v>
      </c>
      <c r="L659" s="21">
        <f>ROUND(58.67*(1+M2/100),2)</f>
        <v>60.43</v>
      </c>
      <c r="M659" s="21">
        <f>ROUND(K659*L659,2)</f>
        <v>302.14999999999998</v>
      </c>
    </row>
    <row r="660" spans="1:13" ht="15.25" customHeight="1" thickBot="1" x14ac:dyDescent="0.35">
      <c r="A660" s="29"/>
      <c r="B660" s="29"/>
      <c r="C660" s="29"/>
      <c r="D660" s="29"/>
      <c r="E660" s="30"/>
      <c r="F660" s="32" t="s">
        <v>1961</v>
      </c>
      <c r="G660" s="32" t="s">
        <v>1962</v>
      </c>
      <c r="H660" s="32" t="s">
        <v>1963</v>
      </c>
      <c r="I660" s="32" t="s">
        <v>1964</v>
      </c>
      <c r="J660" s="32" t="s">
        <v>1965</v>
      </c>
      <c r="K660" s="32" t="s">
        <v>1966</v>
      </c>
      <c r="L660" s="29"/>
      <c r="M660" s="29"/>
    </row>
    <row r="661" spans="1:13" ht="21.65" customHeight="1" thickBot="1" x14ac:dyDescent="0.35">
      <c r="A661" s="29"/>
      <c r="B661" s="29"/>
      <c r="C661" s="29"/>
      <c r="D661" s="33"/>
      <c r="E661" s="34" t="s">
        <v>1967</v>
      </c>
      <c r="F661" s="35">
        <v>3</v>
      </c>
      <c r="G661" s="36"/>
      <c r="H661" s="36"/>
      <c r="I661" s="36"/>
      <c r="J661" s="38">
        <f>ROUND(F661,3)</f>
        <v>3</v>
      </c>
      <c r="K661" s="41"/>
      <c r="L661" s="29"/>
      <c r="M661" s="29"/>
    </row>
    <row r="662" spans="1:13" ht="21.65" customHeight="1" thickBot="1" x14ac:dyDescent="0.35">
      <c r="A662" s="29"/>
      <c r="B662" s="29"/>
      <c r="C662" s="29"/>
      <c r="D662" s="33"/>
      <c r="E662" s="5" t="s">
        <v>1968</v>
      </c>
      <c r="F662" s="3">
        <v>2</v>
      </c>
      <c r="G662" s="20"/>
      <c r="H662" s="20"/>
      <c r="I662" s="20"/>
      <c r="J662" s="37">
        <f>ROUND(F662,3)</f>
        <v>2</v>
      </c>
      <c r="K662" s="39">
        <f>SUM(J661:J662)</f>
        <v>5</v>
      </c>
      <c r="L662" s="29"/>
      <c r="M662" s="29"/>
    </row>
    <row r="663" spans="1:13" ht="15.5" customHeight="1" thickBot="1" x14ac:dyDescent="0.35">
      <c r="A663" s="10" t="s">
        <v>1969</v>
      </c>
      <c r="B663" s="5" t="s">
        <v>1970</v>
      </c>
      <c r="C663" s="5" t="s">
        <v>1971</v>
      </c>
      <c r="D663" s="52" t="s">
        <v>1972</v>
      </c>
      <c r="E663" s="52"/>
      <c r="F663" s="52"/>
      <c r="G663" s="52"/>
      <c r="H663" s="52"/>
      <c r="I663" s="52"/>
      <c r="J663" s="52"/>
      <c r="K663" s="20">
        <f>ROUND(7,2)</f>
        <v>7</v>
      </c>
      <c r="L663" s="21">
        <f>ROUND(19.08*(1+M2/100),2)</f>
        <v>19.649999999999999</v>
      </c>
      <c r="M663" s="21">
        <f>ROUND(K663*L663,2)</f>
        <v>137.55000000000001</v>
      </c>
    </row>
    <row r="664" spans="1:13" ht="15.5" customHeight="1" thickBot="1" x14ac:dyDescent="0.35">
      <c r="A664" s="22"/>
      <c r="B664" s="22"/>
      <c r="C664" s="22"/>
      <c r="D664" s="23" t="s">
        <v>1973</v>
      </c>
      <c r="E664" s="24"/>
      <c r="F664" s="24"/>
      <c r="G664" s="24"/>
      <c r="H664" s="24"/>
      <c r="I664" s="24"/>
      <c r="J664" s="24"/>
      <c r="K664" s="24"/>
      <c r="L664" s="25">
        <f>M655+M659+M663</f>
        <v>488.35999999999996</v>
      </c>
      <c r="M664" s="25">
        <f>ROUND(L664,2)</f>
        <v>488.36</v>
      </c>
    </row>
    <row r="665" spans="1:13" ht="15.5" customHeight="1" thickBot="1" x14ac:dyDescent="0.35">
      <c r="A665" s="26" t="s">
        <v>1974</v>
      </c>
      <c r="B665" s="26" t="s">
        <v>1975</v>
      </c>
      <c r="C665" s="27"/>
      <c r="D665" s="53" t="s">
        <v>1976</v>
      </c>
      <c r="E665" s="53"/>
      <c r="F665" s="53"/>
      <c r="G665" s="53"/>
      <c r="H665" s="53"/>
      <c r="I665" s="53"/>
      <c r="J665" s="53"/>
      <c r="K665" s="27"/>
      <c r="L665" s="28">
        <f>L669</f>
        <v>956.52</v>
      </c>
      <c r="M665" s="28">
        <f>ROUND(L665,2)</f>
        <v>956.52</v>
      </c>
    </row>
    <row r="666" spans="1:13" ht="15.5" customHeight="1" thickBot="1" x14ac:dyDescent="0.35">
      <c r="A666" s="10" t="s">
        <v>1977</v>
      </c>
      <c r="B666" s="5" t="s">
        <v>1978</v>
      </c>
      <c r="C666" s="5" t="s">
        <v>1979</v>
      </c>
      <c r="D666" s="52" t="s">
        <v>1980</v>
      </c>
      <c r="E666" s="52"/>
      <c r="F666" s="52"/>
      <c r="G666" s="52"/>
      <c r="H666" s="52"/>
      <c r="I666" s="52"/>
      <c r="J666" s="52"/>
      <c r="K666" s="20">
        <f>ROUND(5,2)</f>
        <v>5</v>
      </c>
      <c r="L666" s="21">
        <f>ROUND(51.31*(1+M2/100),2)</f>
        <v>52.85</v>
      </c>
      <c r="M666" s="21">
        <f>ROUND(K666*L666,2)</f>
        <v>264.25</v>
      </c>
    </row>
    <row r="667" spans="1:13" ht="15.5" customHeight="1" thickBot="1" x14ac:dyDescent="0.35">
      <c r="A667" s="10" t="s">
        <v>1981</v>
      </c>
      <c r="B667" s="5" t="s">
        <v>1982</v>
      </c>
      <c r="C667" s="5" t="s">
        <v>1983</v>
      </c>
      <c r="D667" s="52" t="s">
        <v>1984</v>
      </c>
      <c r="E667" s="52"/>
      <c r="F667" s="52"/>
      <c r="G667" s="52"/>
      <c r="H667" s="52"/>
      <c r="I667" s="52"/>
      <c r="J667" s="52"/>
      <c r="K667" s="20">
        <f>ROUND(32,2)</f>
        <v>32</v>
      </c>
      <c r="L667" s="21">
        <f>ROUND(20.48*(1+M2/100),2)</f>
        <v>21.09</v>
      </c>
      <c r="M667" s="21">
        <f>ROUND(K667*L667,2)</f>
        <v>674.88</v>
      </c>
    </row>
    <row r="668" spans="1:13" ht="15.5" customHeight="1" thickBot="1" x14ac:dyDescent="0.35">
      <c r="A668" s="10" t="s">
        <v>1985</v>
      </c>
      <c r="B668" s="5" t="s">
        <v>1986</v>
      </c>
      <c r="C668" s="5" t="s">
        <v>1987</v>
      </c>
      <c r="D668" s="52" t="s">
        <v>1988</v>
      </c>
      <c r="E668" s="52"/>
      <c r="F668" s="52"/>
      <c r="G668" s="52"/>
      <c r="H668" s="52"/>
      <c r="I668" s="52"/>
      <c r="J668" s="52"/>
      <c r="K668" s="20">
        <f>ROUND(1,2)</f>
        <v>1</v>
      </c>
      <c r="L668" s="21">
        <f>ROUND(16.88*(1+M2/100),2)</f>
        <v>17.39</v>
      </c>
      <c r="M668" s="21">
        <f>ROUND(K668*L668,2)</f>
        <v>17.39</v>
      </c>
    </row>
    <row r="669" spans="1:13" ht="15.5" customHeight="1" thickBot="1" x14ac:dyDescent="0.35">
      <c r="A669" s="22"/>
      <c r="B669" s="22"/>
      <c r="C669" s="22"/>
      <c r="D669" s="23" t="s">
        <v>1989</v>
      </c>
      <c r="E669" s="24"/>
      <c r="F669" s="24"/>
      <c r="G669" s="24"/>
      <c r="H669" s="24"/>
      <c r="I669" s="24"/>
      <c r="J669" s="24"/>
      <c r="K669" s="24"/>
      <c r="L669" s="25">
        <f>M666+M667+M668</f>
        <v>956.52</v>
      </c>
      <c r="M669" s="25">
        <f>ROUND(L669,2)</f>
        <v>956.52</v>
      </c>
    </row>
    <row r="670" spans="1:13" ht="15.5" customHeight="1" thickBot="1" x14ac:dyDescent="0.35">
      <c r="A670" s="26" t="s">
        <v>1990</v>
      </c>
      <c r="B670" s="26" t="s">
        <v>1991</v>
      </c>
      <c r="C670" s="27"/>
      <c r="D670" s="53" t="s">
        <v>1992</v>
      </c>
      <c r="E670" s="53"/>
      <c r="F670" s="53"/>
      <c r="G670" s="53"/>
      <c r="H670" s="53"/>
      <c r="I670" s="53"/>
      <c r="J670" s="53"/>
      <c r="K670" s="27"/>
      <c r="L670" s="28">
        <f>L672</f>
        <v>123.6</v>
      </c>
      <c r="M670" s="28">
        <f>ROUND(L670,2)</f>
        <v>123.6</v>
      </c>
    </row>
    <row r="671" spans="1:13" ht="15.5" customHeight="1" thickBot="1" x14ac:dyDescent="0.35">
      <c r="A671" s="10" t="s">
        <v>1993</v>
      </c>
      <c r="B671" s="5" t="s">
        <v>1994</v>
      </c>
      <c r="C671" s="5" t="s">
        <v>1995</v>
      </c>
      <c r="D671" s="52" t="s">
        <v>1996</v>
      </c>
      <c r="E671" s="52"/>
      <c r="F671" s="52"/>
      <c r="G671" s="52"/>
      <c r="H671" s="52"/>
      <c r="I671" s="52"/>
      <c r="J671" s="52"/>
      <c r="K671" s="20">
        <f>ROUND(1,2)</f>
        <v>1</v>
      </c>
      <c r="L671" s="21">
        <f>ROUND(120*(1+M2/100),2)</f>
        <v>123.6</v>
      </c>
      <c r="M671" s="21">
        <f>ROUND(K671*L671,2)</f>
        <v>123.6</v>
      </c>
    </row>
    <row r="672" spans="1:13" ht="15.5" customHeight="1" thickBot="1" x14ac:dyDescent="0.35">
      <c r="A672" s="22"/>
      <c r="B672" s="22"/>
      <c r="C672" s="22"/>
      <c r="D672" s="23" t="s">
        <v>1997</v>
      </c>
      <c r="E672" s="24"/>
      <c r="F672" s="24"/>
      <c r="G672" s="24"/>
      <c r="H672" s="24"/>
      <c r="I672" s="24"/>
      <c r="J672" s="24"/>
      <c r="K672" s="24"/>
      <c r="L672" s="25">
        <f>M671</f>
        <v>123.6</v>
      </c>
      <c r="M672" s="25">
        <f>ROUND(L672,2)</f>
        <v>123.6</v>
      </c>
    </row>
    <row r="673" spans="1:13" ht="15.5" customHeight="1" thickBot="1" x14ac:dyDescent="0.35">
      <c r="A673" s="42"/>
      <c r="B673" s="42"/>
      <c r="C673" s="42"/>
      <c r="D673" s="43" t="s">
        <v>1998</v>
      </c>
      <c r="E673" s="44"/>
      <c r="F673" s="44"/>
      <c r="G673" s="44"/>
      <c r="H673" s="44"/>
      <c r="I673" s="44"/>
      <c r="J673" s="44"/>
      <c r="K673" s="44"/>
      <c r="L673" s="45">
        <f>M633+M637+M653+M664+M669+M672</f>
        <v>3725.1</v>
      </c>
      <c r="M673" s="45">
        <f>ROUND(L673,2)</f>
        <v>3725.1</v>
      </c>
    </row>
    <row r="674" spans="1:13" ht="15.5" customHeight="1" thickBot="1" x14ac:dyDescent="0.35">
      <c r="A674" s="46" t="s">
        <v>1999</v>
      </c>
      <c r="B674" s="46" t="s">
        <v>2000</v>
      </c>
      <c r="C674" s="47"/>
      <c r="D674" s="54" t="s">
        <v>2001</v>
      </c>
      <c r="E674" s="54"/>
      <c r="F674" s="54"/>
      <c r="G674" s="54"/>
      <c r="H674" s="54"/>
      <c r="I674" s="54"/>
      <c r="J674" s="54"/>
      <c r="K674" s="47"/>
      <c r="L674" s="48">
        <f>L698</f>
        <v>4720.6000000000004</v>
      </c>
      <c r="M674" s="48">
        <f>ROUND(L674,2)</f>
        <v>4720.6000000000004</v>
      </c>
    </row>
    <row r="675" spans="1:13" ht="15.5" customHeight="1" thickBot="1" x14ac:dyDescent="0.35">
      <c r="A675" s="17" t="s">
        <v>2002</v>
      </c>
      <c r="B675" s="17" t="s">
        <v>2003</v>
      </c>
      <c r="C675" s="18"/>
      <c r="D675" s="55" t="s">
        <v>2004</v>
      </c>
      <c r="E675" s="55"/>
      <c r="F675" s="55"/>
      <c r="G675" s="55"/>
      <c r="H675" s="55"/>
      <c r="I675" s="55"/>
      <c r="J675" s="55"/>
      <c r="K675" s="18"/>
      <c r="L675" s="19">
        <f>L679</f>
        <v>1700</v>
      </c>
      <c r="M675" s="19">
        <f>ROUND(L675,2)</f>
        <v>1700</v>
      </c>
    </row>
    <row r="676" spans="1:13" ht="15.5" customHeight="1" thickBot="1" x14ac:dyDescent="0.35">
      <c r="A676" s="10" t="s">
        <v>2005</v>
      </c>
      <c r="B676" s="5" t="s">
        <v>2006</v>
      </c>
      <c r="C676" s="5" t="s">
        <v>2007</v>
      </c>
      <c r="D676" s="52" t="s">
        <v>2008</v>
      </c>
      <c r="E676" s="52"/>
      <c r="F676" s="52"/>
      <c r="G676" s="52"/>
      <c r="H676" s="52"/>
      <c r="I676" s="52"/>
      <c r="J676" s="52"/>
      <c r="K676" s="20">
        <f>ROUND(3,2)</f>
        <v>3</v>
      </c>
      <c r="L676" s="21">
        <f>ROUND(242.718*(1+M2/100),2)</f>
        <v>250</v>
      </c>
      <c r="M676" s="21">
        <f>ROUND(K676*L676,2)</f>
        <v>750</v>
      </c>
    </row>
    <row r="677" spans="1:13" ht="15.5" customHeight="1" thickBot="1" x14ac:dyDescent="0.35">
      <c r="A677" s="10" t="s">
        <v>2009</v>
      </c>
      <c r="B677" s="5" t="s">
        <v>2010</v>
      </c>
      <c r="C677" s="5" t="s">
        <v>2011</v>
      </c>
      <c r="D677" s="52" t="s">
        <v>2012</v>
      </c>
      <c r="E677" s="52"/>
      <c r="F677" s="52"/>
      <c r="G677" s="52"/>
      <c r="H677" s="52"/>
      <c r="I677" s="52"/>
      <c r="J677" s="52"/>
      <c r="K677" s="20">
        <f>ROUND(3,2)</f>
        <v>3</v>
      </c>
      <c r="L677" s="21">
        <f>ROUND(242.718*(1+M2/100),2)</f>
        <v>250</v>
      </c>
      <c r="M677" s="21">
        <f>ROUND(K677*L677,2)</f>
        <v>750</v>
      </c>
    </row>
    <row r="678" spans="1:13" ht="15.5" customHeight="1" thickBot="1" x14ac:dyDescent="0.35">
      <c r="A678" s="10" t="s">
        <v>2013</v>
      </c>
      <c r="B678" s="5" t="s">
        <v>2014</v>
      </c>
      <c r="C678" s="5" t="s">
        <v>2015</v>
      </c>
      <c r="D678" s="52" t="s">
        <v>2016</v>
      </c>
      <c r="E678" s="52"/>
      <c r="F678" s="52"/>
      <c r="G678" s="52"/>
      <c r="H678" s="52"/>
      <c r="I678" s="52"/>
      <c r="J678" s="52"/>
      <c r="K678" s="20">
        <f>ROUND(1,2)</f>
        <v>1</v>
      </c>
      <c r="L678" s="21">
        <f>ROUND(194.175*(1+M2/100),2)</f>
        <v>200</v>
      </c>
      <c r="M678" s="21">
        <f>ROUND(K678*L678,2)</f>
        <v>200</v>
      </c>
    </row>
    <row r="679" spans="1:13" ht="15.5" customHeight="1" thickBot="1" x14ac:dyDescent="0.35">
      <c r="A679" s="22"/>
      <c r="B679" s="22"/>
      <c r="C679" s="22"/>
      <c r="D679" s="23" t="s">
        <v>2017</v>
      </c>
      <c r="E679" s="24"/>
      <c r="F679" s="24"/>
      <c r="G679" s="24"/>
      <c r="H679" s="24"/>
      <c r="I679" s="24"/>
      <c r="J679" s="24"/>
      <c r="K679" s="24"/>
      <c r="L679" s="25">
        <f>M676+M677+M678</f>
        <v>1700</v>
      </c>
      <c r="M679" s="25">
        <f>ROUND(L679,2)</f>
        <v>1700</v>
      </c>
    </row>
    <row r="680" spans="1:13" ht="15.5" customHeight="1" thickBot="1" x14ac:dyDescent="0.35">
      <c r="A680" s="26" t="s">
        <v>2018</v>
      </c>
      <c r="B680" s="26" t="s">
        <v>2019</v>
      </c>
      <c r="C680" s="27"/>
      <c r="D680" s="53" t="s">
        <v>2020</v>
      </c>
      <c r="E680" s="53"/>
      <c r="F680" s="53"/>
      <c r="G680" s="53"/>
      <c r="H680" s="53"/>
      <c r="I680" s="53"/>
      <c r="J680" s="53"/>
      <c r="K680" s="27"/>
      <c r="L680" s="28">
        <f>L683</f>
        <v>2222.59</v>
      </c>
      <c r="M680" s="28">
        <f>ROUND(L680,2)</f>
        <v>2222.59</v>
      </c>
    </row>
    <row r="681" spans="1:13" ht="15.5" customHeight="1" thickBot="1" x14ac:dyDescent="0.35">
      <c r="A681" s="10" t="s">
        <v>2021</v>
      </c>
      <c r="B681" s="5" t="s">
        <v>2022</v>
      </c>
      <c r="C681" s="5" t="s">
        <v>2023</v>
      </c>
      <c r="D681" s="52" t="s">
        <v>2024</v>
      </c>
      <c r="E681" s="52"/>
      <c r="F681" s="52"/>
      <c r="G681" s="52"/>
      <c r="H681" s="52"/>
      <c r="I681" s="52"/>
      <c r="J681" s="52"/>
      <c r="K681" s="20">
        <f>ROUND(1,2)</f>
        <v>1</v>
      </c>
      <c r="L681" s="21">
        <f>ROUND(1055.51*(1+M2/100),2)</f>
        <v>1087.18</v>
      </c>
      <c r="M681" s="21">
        <f>ROUND(K681*L681,2)</f>
        <v>1087.18</v>
      </c>
    </row>
    <row r="682" spans="1:13" ht="15.5" customHeight="1" thickBot="1" x14ac:dyDescent="0.35">
      <c r="A682" s="10" t="s">
        <v>2025</v>
      </c>
      <c r="B682" s="5" t="s">
        <v>2026</v>
      </c>
      <c r="C682" s="5" t="s">
        <v>2027</v>
      </c>
      <c r="D682" s="52" t="s">
        <v>2028</v>
      </c>
      <c r="E682" s="52"/>
      <c r="F682" s="52"/>
      <c r="G682" s="52"/>
      <c r="H682" s="52"/>
      <c r="I682" s="52"/>
      <c r="J682" s="52"/>
      <c r="K682" s="20">
        <f>ROUND(1,2)</f>
        <v>1</v>
      </c>
      <c r="L682" s="21">
        <f>ROUND(1102.34*(1+M2/100),2)</f>
        <v>1135.4100000000001</v>
      </c>
      <c r="M682" s="21">
        <f>ROUND(K682*L682,2)</f>
        <v>1135.4100000000001</v>
      </c>
    </row>
    <row r="683" spans="1:13" ht="15.5" customHeight="1" thickBot="1" x14ac:dyDescent="0.35">
      <c r="A683" s="22"/>
      <c r="B683" s="22"/>
      <c r="C683" s="22"/>
      <c r="D683" s="23" t="s">
        <v>2029</v>
      </c>
      <c r="E683" s="24"/>
      <c r="F683" s="24"/>
      <c r="G683" s="24"/>
      <c r="H683" s="24"/>
      <c r="I683" s="24"/>
      <c r="J683" s="24"/>
      <c r="K683" s="24"/>
      <c r="L683" s="25">
        <f>M681+M682</f>
        <v>2222.59</v>
      </c>
      <c r="M683" s="25">
        <f>ROUND(L683,2)</f>
        <v>2222.59</v>
      </c>
    </row>
    <row r="684" spans="1:13" ht="15.5" customHeight="1" thickBot="1" x14ac:dyDescent="0.35">
      <c r="A684" s="26" t="s">
        <v>2030</v>
      </c>
      <c r="B684" s="26" t="s">
        <v>2031</v>
      </c>
      <c r="C684" s="27"/>
      <c r="D684" s="53" t="s">
        <v>2032</v>
      </c>
      <c r="E684" s="53"/>
      <c r="F684" s="53"/>
      <c r="G684" s="53"/>
      <c r="H684" s="53"/>
      <c r="I684" s="53"/>
      <c r="J684" s="53"/>
      <c r="K684" s="27"/>
      <c r="L684" s="28">
        <f>L690</f>
        <v>204.14</v>
      </c>
      <c r="M684" s="28">
        <f>ROUND(L684,2)</f>
        <v>204.14</v>
      </c>
    </row>
    <row r="685" spans="1:13" ht="15.5" customHeight="1" thickBot="1" x14ac:dyDescent="0.35">
      <c r="A685" s="10" t="s">
        <v>2033</v>
      </c>
      <c r="B685" s="5" t="s">
        <v>2034</v>
      </c>
      <c r="C685" s="5" t="s">
        <v>2035</v>
      </c>
      <c r="D685" s="52" t="s">
        <v>2036</v>
      </c>
      <c r="E685" s="52"/>
      <c r="F685" s="52"/>
      <c r="G685" s="52"/>
      <c r="H685" s="52"/>
      <c r="I685" s="52"/>
      <c r="J685" s="52"/>
      <c r="K685" s="20">
        <f>ROUND(1,2)</f>
        <v>1</v>
      </c>
      <c r="L685" s="21">
        <f>ROUND(23.62*(1+M2/100),2)</f>
        <v>24.33</v>
      </c>
      <c r="M685" s="21">
        <f>ROUND(K685*L685,2)</f>
        <v>24.33</v>
      </c>
    </row>
    <row r="686" spans="1:13" ht="15.5" customHeight="1" thickBot="1" x14ac:dyDescent="0.35">
      <c r="A686" s="10" t="s">
        <v>2037</v>
      </c>
      <c r="B686" s="5" t="s">
        <v>2038</v>
      </c>
      <c r="C686" s="5" t="s">
        <v>2039</v>
      </c>
      <c r="D686" s="52" t="s">
        <v>2040</v>
      </c>
      <c r="E686" s="52"/>
      <c r="F686" s="52"/>
      <c r="G686" s="52"/>
      <c r="H686" s="52"/>
      <c r="I686" s="52"/>
      <c r="J686" s="52"/>
      <c r="K686" s="20">
        <f>SUM(K688:K688)</f>
        <v>2</v>
      </c>
      <c r="L686" s="21">
        <f>ROUND(58.67*(1+M2/100),2)</f>
        <v>60.43</v>
      </c>
      <c r="M686" s="21">
        <f>ROUND(K686*L686,2)</f>
        <v>120.86</v>
      </c>
    </row>
    <row r="687" spans="1:13" ht="15.25" customHeight="1" thickBot="1" x14ac:dyDescent="0.35">
      <c r="A687" s="29"/>
      <c r="B687" s="29"/>
      <c r="C687" s="29"/>
      <c r="D687" s="29"/>
      <c r="E687" s="30"/>
      <c r="F687" s="32" t="s">
        <v>2041</v>
      </c>
      <c r="G687" s="32" t="s">
        <v>2042</v>
      </c>
      <c r="H687" s="32" t="s">
        <v>2043</v>
      </c>
      <c r="I687" s="32" t="s">
        <v>2044</v>
      </c>
      <c r="J687" s="32" t="s">
        <v>2045</v>
      </c>
      <c r="K687" s="32" t="s">
        <v>2046</v>
      </c>
      <c r="L687" s="29"/>
      <c r="M687" s="29"/>
    </row>
    <row r="688" spans="1:13" ht="15.25" customHeight="1" thickBot="1" x14ac:dyDescent="0.35">
      <c r="A688" s="29"/>
      <c r="B688" s="29"/>
      <c r="C688" s="29"/>
      <c r="D688" s="33"/>
      <c r="E688" s="34" t="s">
        <v>2047</v>
      </c>
      <c r="F688" s="35">
        <v>2</v>
      </c>
      <c r="G688" s="36"/>
      <c r="H688" s="36"/>
      <c r="I688" s="36"/>
      <c r="J688" s="38">
        <f>ROUND(F688,3)</f>
        <v>2</v>
      </c>
      <c r="K688" s="40">
        <f>SUM(J688:J688)</f>
        <v>2</v>
      </c>
      <c r="L688" s="29"/>
      <c r="M688" s="29"/>
    </row>
    <row r="689" spans="1:13" ht="15.5" customHeight="1" thickBot="1" x14ac:dyDescent="0.35">
      <c r="A689" s="10" t="s">
        <v>2048</v>
      </c>
      <c r="B689" s="5" t="s">
        <v>2049</v>
      </c>
      <c r="C689" s="5" t="s">
        <v>2050</v>
      </c>
      <c r="D689" s="52" t="s">
        <v>2051</v>
      </c>
      <c r="E689" s="52"/>
      <c r="F689" s="52"/>
      <c r="G689" s="52"/>
      <c r="H689" s="52"/>
      <c r="I689" s="52"/>
      <c r="J689" s="52"/>
      <c r="K689" s="20">
        <f>ROUND(3,2)</f>
        <v>3</v>
      </c>
      <c r="L689" s="21">
        <f>ROUND(19.08*(1+M2/100),2)</f>
        <v>19.649999999999999</v>
      </c>
      <c r="M689" s="21">
        <f>ROUND(K689*L689,2)</f>
        <v>58.95</v>
      </c>
    </row>
    <row r="690" spans="1:13" ht="15.5" customHeight="1" thickBot="1" x14ac:dyDescent="0.35">
      <c r="A690" s="22"/>
      <c r="B690" s="22"/>
      <c r="C690" s="22"/>
      <c r="D690" s="23" t="s">
        <v>2052</v>
      </c>
      <c r="E690" s="24"/>
      <c r="F690" s="24"/>
      <c r="G690" s="24"/>
      <c r="H690" s="24"/>
      <c r="I690" s="24"/>
      <c r="J690" s="24"/>
      <c r="K690" s="24"/>
      <c r="L690" s="25">
        <f>M685+M686+M689</f>
        <v>204.14</v>
      </c>
      <c r="M690" s="25">
        <f>ROUND(L690,2)</f>
        <v>204.14</v>
      </c>
    </row>
    <row r="691" spans="1:13" ht="15.5" customHeight="1" thickBot="1" x14ac:dyDescent="0.35">
      <c r="A691" s="26" t="s">
        <v>2053</v>
      </c>
      <c r="B691" s="26" t="s">
        <v>2054</v>
      </c>
      <c r="C691" s="27"/>
      <c r="D691" s="53" t="s">
        <v>2055</v>
      </c>
      <c r="E691" s="53"/>
      <c r="F691" s="53"/>
      <c r="G691" s="53"/>
      <c r="H691" s="53"/>
      <c r="I691" s="53"/>
      <c r="J691" s="53"/>
      <c r="K691" s="27"/>
      <c r="L691" s="28">
        <f>L694</f>
        <v>470.27</v>
      </c>
      <c r="M691" s="28">
        <f>ROUND(L691,2)</f>
        <v>470.27</v>
      </c>
    </row>
    <row r="692" spans="1:13" ht="15.5" customHeight="1" thickBot="1" x14ac:dyDescent="0.35">
      <c r="A692" s="10" t="s">
        <v>2056</v>
      </c>
      <c r="B692" s="5" t="s">
        <v>2057</v>
      </c>
      <c r="C692" s="5" t="s">
        <v>2058</v>
      </c>
      <c r="D692" s="52" t="s">
        <v>2059</v>
      </c>
      <c r="E692" s="52"/>
      <c r="F692" s="52"/>
      <c r="G692" s="52"/>
      <c r="H692" s="52"/>
      <c r="I692" s="52"/>
      <c r="J692" s="52"/>
      <c r="K692" s="20">
        <f>ROUND(19,2)</f>
        <v>19</v>
      </c>
      <c r="L692" s="21">
        <f>ROUND(20.48*(1+M2/100),2)</f>
        <v>21.09</v>
      </c>
      <c r="M692" s="21">
        <f>ROUND(K692*L692,2)</f>
        <v>400.71</v>
      </c>
    </row>
    <row r="693" spans="1:13" ht="15.5" customHeight="1" thickBot="1" x14ac:dyDescent="0.35">
      <c r="A693" s="10" t="s">
        <v>2060</v>
      </c>
      <c r="B693" s="5" t="s">
        <v>2061</v>
      </c>
      <c r="C693" s="5" t="s">
        <v>2062</v>
      </c>
      <c r="D693" s="52" t="s">
        <v>2063</v>
      </c>
      <c r="E693" s="52"/>
      <c r="F693" s="52"/>
      <c r="G693" s="52"/>
      <c r="H693" s="52"/>
      <c r="I693" s="52"/>
      <c r="J693" s="52"/>
      <c r="K693" s="20">
        <f>ROUND(4,2)</f>
        <v>4</v>
      </c>
      <c r="L693" s="21">
        <f>ROUND(16.88*(1+M2/100),2)</f>
        <v>17.39</v>
      </c>
      <c r="M693" s="21">
        <f>ROUND(K693*L693,2)</f>
        <v>69.56</v>
      </c>
    </row>
    <row r="694" spans="1:13" ht="15.5" customHeight="1" thickBot="1" x14ac:dyDescent="0.35">
      <c r="A694" s="22"/>
      <c r="B694" s="22"/>
      <c r="C694" s="22"/>
      <c r="D694" s="23" t="s">
        <v>2064</v>
      </c>
      <c r="E694" s="24"/>
      <c r="F694" s="24"/>
      <c r="G694" s="24"/>
      <c r="H694" s="24"/>
      <c r="I694" s="24"/>
      <c r="J694" s="24"/>
      <c r="K694" s="24"/>
      <c r="L694" s="25">
        <f>M692+M693</f>
        <v>470.27</v>
      </c>
      <c r="M694" s="25">
        <f>ROUND(L694,2)</f>
        <v>470.27</v>
      </c>
    </row>
    <row r="695" spans="1:13" ht="15.5" customHeight="1" thickBot="1" x14ac:dyDescent="0.35">
      <c r="A695" s="26" t="s">
        <v>2065</v>
      </c>
      <c r="B695" s="26" t="s">
        <v>2066</v>
      </c>
      <c r="C695" s="27"/>
      <c r="D695" s="53" t="s">
        <v>2067</v>
      </c>
      <c r="E695" s="53"/>
      <c r="F695" s="53"/>
      <c r="G695" s="53"/>
      <c r="H695" s="53"/>
      <c r="I695" s="53"/>
      <c r="J695" s="53"/>
      <c r="K695" s="27"/>
      <c r="L695" s="28">
        <f>L697</f>
        <v>123.6</v>
      </c>
      <c r="M695" s="28">
        <f>ROUND(L695,2)</f>
        <v>123.6</v>
      </c>
    </row>
    <row r="696" spans="1:13" ht="15.5" customHeight="1" thickBot="1" x14ac:dyDescent="0.35">
      <c r="A696" s="10" t="s">
        <v>2068</v>
      </c>
      <c r="B696" s="5" t="s">
        <v>2069</v>
      </c>
      <c r="C696" s="5" t="s">
        <v>2070</v>
      </c>
      <c r="D696" s="52" t="s">
        <v>2071</v>
      </c>
      <c r="E696" s="52"/>
      <c r="F696" s="52"/>
      <c r="G696" s="52"/>
      <c r="H696" s="52"/>
      <c r="I696" s="52"/>
      <c r="J696" s="52"/>
      <c r="K696" s="20">
        <f>ROUND(1,2)</f>
        <v>1</v>
      </c>
      <c r="L696" s="21">
        <f>ROUND(120*(1+M2/100),2)</f>
        <v>123.6</v>
      </c>
      <c r="M696" s="21">
        <f>ROUND(K696*L696,2)</f>
        <v>123.6</v>
      </c>
    </row>
    <row r="697" spans="1:13" ht="15.5" customHeight="1" thickBot="1" x14ac:dyDescent="0.35">
      <c r="A697" s="22"/>
      <c r="B697" s="22"/>
      <c r="C697" s="22"/>
      <c r="D697" s="23" t="s">
        <v>2072</v>
      </c>
      <c r="E697" s="24"/>
      <c r="F697" s="24"/>
      <c r="G697" s="24"/>
      <c r="H697" s="24"/>
      <c r="I697" s="24"/>
      <c r="J697" s="24"/>
      <c r="K697" s="24"/>
      <c r="L697" s="25">
        <f>M696</f>
        <v>123.6</v>
      </c>
      <c r="M697" s="25">
        <f>ROUND(L697,2)</f>
        <v>123.6</v>
      </c>
    </row>
    <row r="698" spans="1:13" ht="15.5" customHeight="1" thickBot="1" x14ac:dyDescent="0.35">
      <c r="A698" s="42"/>
      <c r="B698" s="42"/>
      <c r="C698" s="42"/>
      <c r="D698" s="43" t="s">
        <v>2073</v>
      </c>
      <c r="E698" s="44"/>
      <c r="F698" s="44"/>
      <c r="G698" s="44"/>
      <c r="H698" s="44"/>
      <c r="I698" s="44"/>
      <c r="J698" s="44"/>
      <c r="K698" s="44"/>
      <c r="L698" s="45">
        <f>M679+M683+M690+M694+M697</f>
        <v>4720.6000000000004</v>
      </c>
      <c r="M698" s="45">
        <f>ROUND(L698,2)</f>
        <v>4720.6000000000004</v>
      </c>
    </row>
    <row r="699" spans="1:13" ht="15.5" customHeight="1" thickBot="1" x14ac:dyDescent="0.35">
      <c r="A699" s="46" t="s">
        <v>2074</v>
      </c>
      <c r="B699" s="46" t="s">
        <v>2075</v>
      </c>
      <c r="C699" s="47"/>
      <c r="D699" s="54" t="s">
        <v>2076</v>
      </c>
      <c r="E699" s="54"/>
      <c r="F699" s="54"/>
      <c r="G699" s="54"/>
      <c r="H699" s="54"/>
      <c r="I699" s="54"/>
      <c r="J699" s="54"/>
      <c r="K699" s="47"/>
      <c r="L699" s="48">
        <f>L732</f>
        <v>1762.42</v>
      </c>
      <c r="M699" s="48">
        <f>ROUND(L699,2)</f>
        <v>1762.42</v>
      </c>
    </row>
    <row r="700" spans="1:13" ht="15.5" customHeight="1" thickBot="1" x14ac:dyDescent="0.35">
      <c r="A700" s="17" t="s">
        <v>2077</v>
      </c>
      <c r="B700" s="17" t="s">
        <v>2078</v>
      </c>
      <c r="C700" s="18"/>
      <c r="D700" s="55" t="s">
        <v>2079</v>
      </c>
      <c r="E700" s="55"/>
      <c r="F700" s="55"/>
      <c r="G700" s="55"/>
      <c r="H700" s="55"/>
      <c r="I700" s="55"/>
      <c r="J700" s="55"/>
      <c r="K700" s="18"/>
      <c r="L700" s="19">
        <f>L703</f>
        <v>450</v>
      </c>
      <c r="M700" s="19">
        <f>ROUND(L700,2)</f>
        <v>450</v>
      </c>
    </row>
    <row r="701" spans="1:13" ht="15.5" customHeight="1" thickBot="1" x14ac:dyDescent="0.35">
      <c r="A701" s="10" t="s">
        <v>2080</v>
      </c>
      <c r="B701" s="5" t="s">
        <v>2081</v>
      </c>
      <c r="C701" s="5" t="s">
        <v>2082</v>
      </c>
      <c r="D701" s="52" t="s">
        <v>2083</v>
      </c>
      <c r="E701" s="52"/>
      <c r="F701" s="52"/>
      <c r="G701" s="52"/>
      <c r="H701" s="52"/>
      <c r="I701" s="52"/>
      <c r="J701" s="52"/>
      <c r="K701" s="20">
        <f>ROUND(1,2)</f>
        <v>1</v>
      </c>
      <c r="L701" s="21">
        <f>ROUND(242.718*(1+M2/100),2)</f>
        <v>250</v>
      </c>
      <c r="M701" s="21">
        <f>ROUND(K701*L701,2)</f>
        <v>250</v>
      </c>
    </row>
    <row r="702" spans="1:13" ht="15.5" customHeight="1" thickBot="1" x14ac:dyDescent="0.35">
      <c r="A702" s="10" t="s">
        <v>2084</v>
      </c>
      <c r="B702" s="5" t="s">
        <v>2085</v>
      </c>
      <c r="C702" s="5" t="s">
        <v>2086</v>
      </c>
      <c r="D702" s="52" t="s">
        <v>2087</v>
      </c>
      <c r="E702" s="52"/>
      <c r="F702" s="52"/>
      <c r="G702" s="52"/>
      <c r="H702" s="52"/>
      <c r="I702" s="52"/>
      <c r="J702" s="52"/>
      <c r="K702" s="20">
        <f>ROUND(1,2)</f>
        <v>1</v>
      </c>
      <c r="L702" s="21">
        <f>ROUND(194.175*(1+M2/100),2)</f>
        <v>200</v>
      </c>
      <c r="M702" s="21">
        <f>ROUND(K702*L702,2)</f>
        <v>200</v>
      </c>
    </row>
    <row r="703" spans="1:13" ht="15.5" customHeight="1" thickBot="1" x14ac:dyDescent="0.35">
      <c r="A703" s="22"/>
      <c r="B703" s="22"/>
      <c r="C703" s="22"/>
      <c r="D703" s="23" t="s">
        <v>2088</v>
      </c>
      <c r="E703" s="24"/>
      <c r="F703" s="24"/>
      <c r="G703" s="24"/>
      <c r="H703" s="24"/>
      <c r="I703" s="24"/>
      <c r="J703" s="24"/>
      <c r="K703" s="24"/>
      <c r="L703" s="25">
        <f>M701+M702</f>
        <v>450</v>
      </c>
      <c r="M703" s="25">
        <f>ROUND(L703,2)</f>
        <v>450</v>
      </c>
    </row>
    <row r="704" spans="1:13" ht="15.5" customHeight="1" thickBot="1" x14ac:dyDescent="0.35">
      <c r="A704" s="26" t="s">
        <v>2089</v>
      </c>
      <c r="B704" s="26" t="s">
        <v>2090</v>
      </c>
      <c r="C704" s="27"/>
      <c r="D704" s="53" t="s">
        <v>2091</v>
      </c>
      <c r="E704" s="53"/>
      <c r="F704" s="53"/>
      <c r="G704" s="53"/>
      <c r="H704" s="53"/>
      <c r="I704" s="53"/>
      <c r="J704" s="53"/>
      <c r="K704" s="27"/>
      <c r="L704" s="28">
        <f>L706</f>
        <v>531.29999999999995</v>
      </c>
      <c r="M704" s="28">
        <f>ROUND(L704,2)</f>
        <v>531.29999999999995</v>
      </c>
    </row>
    <row r="705" spans="1:13" ht="15.5" customHeight="1" thickBot="1" x14ac:dyDescent="0.35">
      <c r="A705" s="10" t="s">
        <v>2092</v>
      </c>
      <c r="B705" s="5" t="s">
        <v>2093</v>
      </c>
      <c r="C705" s="5" t="s">
        <v>2094</v>
      </c>
      <c r="D705" s="52" t="s">
        <v>2095</v>
      </c>
      <c r="E705" s="52"/>
      <c r="F705" s="52"/>
      <c r="G705" s="52"/>
      <c r="H705" s="52"/>
      <c r="I705" s="52"/>
      <c r="J705" s="52"/>
      <c r="K705" s="20">
        <f>ROUND(1,2)</f>
        <v>1</v>
      </c>
      <c r="L705" s="21">
        <f>ROUND(515.83*(1+M2/100),2)</f>
        <v>531.29999999999995</v>
      </c>
      <c r="M705" s="21">
        <f>ROUND(K705*L705,2)</f>
        <v>531.29999999999995</v>
      </c>
    </row>
    <row r="706" spans="1:13" ht="15.5" customHeight="1" thickBot="1" x14ac:dyDescent="0.35">
      <c r="A706" s="22"/>
      <c r="B706" s="22"/>
      <c r="C706" s="22"/>
      <c r="D706" s="23" t="s">
        <v>2096</v>
      </c>
      <c r="E706" s="24"/>
      <c r="F706" s="24"/>
      <c r="G706" s="24"/>
      <c r="H706" s="24"/>
      <c r="I706" s="24"/>
      <c r="J706" s="24"/>
      <c r="K706" s="24"/>
      <c r="L706" s="25">
        <f>M705</f>
        <v>531.29999999999995</v>
      </c>
      <c r="M706" s="25">
        <f>ROUND(L706,2)</f>
        <v>531.29999999999995</v>
      </c>
    </row>
    <row r="707" spans="1:13" ht="15.5" customHeight="1" thickBot="1" x14ac:dyDescent="0.35">
      <c r="A707" s="26" t="s">
        <v>2097</v>
      </c>
      <c r="B707" s="26" t="s">
        <v>2098</v>
      </c>
      <c r="C707" s="27"/>
      <c r="D707" s="53" t="s">
        <v>2099</v>
      </c>
      <c r="E707" s="53"/>
      <c r="F707" s="53"/>
      <c r="G707" s="53"/>
      <c r="H707" s="53"/>
      <c r="I707" s="53"/>
      <c r="J707" s="53"/>
      <c r="K707" s="27"/>
      <c r="L707" s="28">
        <f>L715</f>
        <v>190.65</v>
      </c>
      <c r="M707" s="28">
        <f>ROUND(L707,2)</f>
        <v>190.65</v>
      </c>
    </row>
    <row r="708" spans="1:13" ht="30.9" customHeight="1" thickBot="1" x14ac:dyDescent="0.35">
      <c r="A708" s="10" t="s">
        <v>2100</v>
      </c>
      <c r="B708" s="5" t="s">
        <v>2101</v>
      </c>
      <c r="C708" s="5" t="s">
        <v>2102</v>
      </c>
      <c r="D708" s="52" t="s">
        <v>2103</v>
      </c>
      <c r="E708" s="52"/>
      <c r="F708" s="52"/>
      <c r="G708" s="52"/>
      <c r="H708" s="52"/>
      <c r="I708" s="52"/>
      <c r="J708" s="52"/>
      <c r="K708" s="20">
        <f>SUM(K710:K710)</f>
        <v>75</v>
      </c>
      <c r="L708" s="21">
        <f>ROUND(1.08*(1+M2/100),2)</f>
        <v>1.1100000000000001</v>
      </c>
      <c r="M708" s="21">
        <f>ROUND(K708*L708,2)</f>
        <v>83.25</v>
      </c>
    </row>
    <row r="709" spans="1:13" ht="15.25" customHeight="1" thickBot="1" x14ac:dyDescent="0.35">
      <c r="A709" s="29"/>
      <c r="B709" s="29"/>
      <c r="C709" s="29"/>
      <c r="D709" s="29"/>
      <c r="E709" s="30"/>
      <c r="F709" s="32" t="s">
        <v>2104</v>
      </c>
      <c r="G709" s="32" t="s">
        <v>2105</v>
      </c>
      <c r="H709" s="32" t="s">
        <v>2106</v>
      </c>
      <c r="I709" s="32" t="s">
        <v>2107</v>
      </c>
      <c r="J709" s="32" t="s">
        <v>2108</v>
      </c>
      <c r="K709" s="32" t="s">
        <v>2109</v>
      </c>
      <c r="L709" s="29"/>
      <c r="M709" s="29"/>
    </row>
    <row r="710" spans="1:13" ht="15.25" customHeight="1" thickBot="1" x14ac:dyDescent="0.35">
      <c r="A710" s="29"/>
      <c r="B710" s="29"/>
      <c r="C710" s="29"/>
      <c r="D710" s="33"/>
      <c r="E710" s="34" t="s">
        <v>2110</v>
      </c>
      <c r="F710" s="35">
        <v>3</v>
      </c>
      <c r="G710" s="36">
        <v>25</v>
      </c>
      <c r="H710" s="36"/>
      <c r="I710" s="36"/>
      <c r="J710" s="38">
        <f>ROUND(F710*G710,3)</f>
        <v>75</v>
      </c>
      <c r="K710" s="40">
        <f>SUM(J710:J710)</f>
        <v>75</v>
      </c>
      <c r="L710" s="29"/>
      <c r="M710" s="29"/>
    </row>
    <row r="711" spans="1:13" ht="15.5" customHeight="1" thickBot="1" x14ac:dyDescent="0.35">
      <c r="A711" s="10" t="s">
        <v>2111</v>
      </c>
      <c r="B711" s="5" t="s">
        <v>2112</v>
      </c>
      <c r="C711" s="5" t="s">
        <v>2113</v>
      </c>
      <c r="D711" s="52" t="s">
        <v>2114</v>
      </c>
      <c r="E711" s="52"/>
      <c r="F711" s="52"/>
      <c r="G711" s="52"/>
      <c r="H711" s="52"/>
      <c r="I711" s="52"/>
      <c r="J711" s="52"/>
      <c r="K711" s="20">
        <f>SUM(K713:K714)</f>
        <v>30</v>
      </c>
      <c r="L711" s="21">
        <f>ROUND(3.48*(1+M2/100),2)</f>
        <v>3.58</v>
      </c>
      <c r="M711" s="21">
        <f>ROUND(K711*L711,2)</f>
        <v>107.4</v>
      </c>
    </row>
    <row r="712" spans="1:13" ht="15.25" customHeight="1" thickBot="1" x14ac:dyDescent="0.35">
      <c r="A712" s="29"/>
      <c r="B712" s="29"/>
      <c r="C712" s="29"/>
      <c r="D712" s="29"/>
      <c r="E712" s="30"/>
      <c r="F712" s="32" t="s">
        <v>2115</v>
      </c>
      <c r="G712" s="32" t="s">
        <v>2116</v>
      </c>
      <c r="H712" s="32" t="s">
        <v>2117</v>
      </c>
      <c r="I712" s="32" t="s">
        <v>2118</v>
      </c>
      <c r="J712" s="32" t="s">
        <v>2119</v>
      </c>
      <c r="K712" s="32" t="s">
        <v>2120</v>
      </c>
      <c r="L712" s="29"/>
      <c r="M712" s="29"/>
    </row>
    <row r="713" spans="1:13" ht="15.25" customHeight="1" thickBot="1" x14ac:dyDescent="0.35">
      <c r="A713" s="29"/>
      <c r="B713" s="29"/>
      <c r="C713" s="29"/>
      <c r="D713" s="33"/>
      <c r="E713" s="34" t="s">
        <v>2121</v>
      </c>
      <c r="F713" s="35"/>
      <c r="G713" s="36">
        <v>25</v>
      </c>
      <c r="H713" s="36"/>
      <c r="I713" s="36"/>
      <c r="J713" s="38">
        <f>ROUND(G713,3)</f>
        <v>25</v>
      </c>
      <c r="K713" s="41"/>
      <c r="L713" s="29"/>
      <c r="M713" s="29"/>
    </row>
    <row r="714" spans="1:13" ht="30.9" customHeight="1" thickBot="1" x14ac:dyDescent="0.35">
      <c r="A714" s="29"/>
      <c r="B714" s="29"/>
      <c r="C714" s="29"/>
      <c r="D714" s="33"/>
      <c r="E714" s="5" t="s">
        <v>2122</v>
      </c>
      <c r="F714" s="3"/>
      <c r="G714" s="20">
        <v>5</v>
      </c>
      <c r="H714" s="20"/>
      <c r="I714" s="20"/>
      <c r="J714" s="37">
        <f>ROUND(G714,3)</f>
        <v>5</v>
      </c>
      <c r="K714" s="39">
        <f>SUM(J713:J714)</f>
        <v>30</v>
      </c>
      <c r="L714" s="29"/>
      <c r="M714" s="29"/>
    </row>
    <row r="715" spans="1:13" ht="15.5" customHeight="1" thickBot="1" x14ac:dyDescent="0.35">
      <c r="A715" s="22"/>
      <c r="B715" s="22"/>
      <c r="C715" s="22"/>
      <c r="D715" s="23" t="s">
        <v>2123</v>
      </c>
      <c r="E715" s="24"/>
      <c r="F715" s="24"/>
      <c r="G715" s="24"/>
      <c r="H715" s="24"/>
      <c r="I715" s="24"/>
      <c r="J715" s="24"/>
      <c r="K715" s="24"/>
      <c r="L715" s="25">
        <f>M708+M711</f>
        <v>190.65</v>
      </c>
      <c r="M715" s="25">
        <f>ROUND(L715,2)</f>
        <v>190.65</v>
      </c>
    </row>
    <row r="716" spans="1:13" ht="15.5" customHeight="1" thickBot="1" x14ac:dyDescent="0.35">
      <c r="A716" s="26" t="s">
        <v>2124</v>
      </c>
      <c r="B716" s="26" t="s">
        <v>2125</v>
      </c>
      <c r="C716" s="27"/>
      <c r="D716" s="53" t="s">
        <v>2126</v>
      </c>
      <c r="E716" s="53"/>
      <c r="F716" s="53"/>
      <c r="G716" s="53"/>
      <c r="H716" s="53"/>
      <c r="I716" s="53"/>
      <c r="J716" s="53"/>
      <c r="K716" s="27"/>
      <c r="L716" s="28">
        <f>L722</f>
        <v>149.66</v>
      </c>
      <c r="M716" s="28">
        <f>ROUND(L716,2)</f>
        <v>149.66</v>
      </c>
    </row>
    <row r="717" spans="1:13" ht="15.5" customHeight="1" thickBot="1" x14ac:dyDescent="0.35">
      <c r="A717" s="10" t="s">
        <v>2127</v>
      </c>
      <c r="B717" s="5" t="s">
        <v>2128</v>
      </c>
      <c r="C717" s="5" t="s">
        <v>2129</v>
      </c>
      <c r="D717" s="52" t="s">
        <v>2130</v>
      </c>
      <c r="E717" s="52"/>
      <c r="F717" s="52"/>
      <c r="G717" s="52"/>
      <c r="H717" s="52"/>
      <c r="I717" s="52"/>
      <c r="J717" s="52"/>
      <c r="K717" s="20">
        <f>SUM(K719:K719)</f>
        <v>2</v>
      </c>
      <c r="L717" s="21">
        <f>ROUND(23.62*(1+M2/100),2)</f>
        <v>24.33</v>
      </c>
      <c r="M717" s="21">
        <f>ROUND(K717*L717,2)</f>
        <v>48.66</v>
      </c>
    </row>
    <row r="718" spans="1:13" ht="15.25" customHeight="1" thickBot="1" x14ac:dyDescent="0.35">
      <c r="A718" s="29"/>
      <c r="B718" s="29"/>
      <c r="C718" s="29"/>
      <c r="D718" s="29"/>
      <c r="E718" s="30"/>
      <c r="F718" s="32" t="s">
        <v>2131</v>
      </c>
      <c r="G718" s="32" t="s">
        <v>2132</v>
      </c>
      <c r="H718" s="32" t="s">
        <v>2133</v>
      </c>
      <c r="I718" s="32" t="s">
        <v>2134</v>
      </c>
      <c r="J718" s="32" t="s">
        <v>2135</v>
      </c>
      <c r="K718" s="32" t="s">
        <v>2136</v>
      </c>
      <c r="L718" s="29"/>
      <c r="M718" s="29"/>
    </row>
    <row r="719" spans="1:13" ht="15.25" customHeight="1" thickBot="1" x14ac:dyDescent="0.35">
      <c r="A719" s="29"/>
      <c r="B719" s="29"/>
      <c r="C719" s="29"/>
      <c r="D719" s="33"/>
      <c r="E719" s="34" t="s">
        <v>2137</v>
      </c>
      <c r="F719" s="35">
        <v>2</v>
      </c>
      <c r="G719" s="36"/>
      <c r="H719" s="36"/>
      <c r="I719" s="36"/>
      <c r="J719" s="38">
        <f>ROUND(F719,3)</f>
        <v>2</v>
      </c>
      <c r="K719" s="40">
        <f>SUM(J719:J719)</f>
        <v>2</v>
      </c>
      <c r="L719" s="29"/>
      <c r="M719" s="29"/>
    </row>
    <row r="720" spans="1:13" ht="15.5" customHeight="1" thickBot="1" x14ac:dyDescent="0.35">
      <c r="A720" s="10" t="s">
        <v>2138</v>
      </c>
      <c r="B720" s="5" t="s">
        <v>2139</v>
      </c>
      <c r="C720" s="5" t="s">
        <v>2140</v>
      </c>
      <c r="D720" s="52" t="s">
        <v>2141</v>
      </c>
      <c r="E720" s="52"/>
      <c r="F720" s="52"/>
      <c r="G720" s="52"/>
      <c r="H720" s="52"/>
      <c r="I720" s="52"/>
      <c r="J720" s="52"/>
      <c r="K720" s="20">
        <f>ROUND(1,2)</f>
        <v>1</v>
      </c>
      <c r="L720" s="21">
        <f>ROUND(40.83*(1+M2/100),2)</f>
        <v>42.05</v>
      </c>
      <c r="M720" s="21">
        <f>ROUND(K720*L720,2)</f>
        <v>42.05</v>
      </c>
    </row>
    <row r="721" spans="1:13" ht="15.5" customHeight="1" thickBot="1" x14ac:dyDescent="0.35">
      <c r="A721" s="10" t="s">
        <v>2142</v>
      </c>
      <c r="B721" s="5" t="s">
        <v>2143</v>
      </c>
      <c r="C721" s="5" t="s">
        <v>2144</v>
      </c>
      <c r="D721" s="52" t="s">
        <v>2145</v>
      </c>
      <c r="E721" s="52"/>
      <c r="F721" s="52"/>
      <c r="G721" s="52"/>
      <c r="H721" s="52"/>
      <c r="I721" s="52"/>
      <c r="J721" s="52"/>
      <c r="K721" s="20">
        <f>ROUND(3,2)</f>
        <v>3</v>
      </c>
      <c r="L721" s="21">
        <f>ROUND(19.08*(1+M2/100),2)</f>
        <v>19.649999999999999</v>
      </c>
      <c r="M721" s="21">
        <f>ROUND(K721*L721,2)</f>
        <v>58.95</v>
      </c>
    </row>
    <row r="722" spans="1:13" ht="15.5" customHeight="1" thickBot="1" x14ac:dyDescent="0.35">
      <c r="A722" s="22"/>
      <c r="B722" s="22"/>
      <c r="C722" s="22"/>
      <c r="D722" s="23" t="s">
        <v>2146</v>
      </c>
      <c r="E722" s="24"/>
      <c r="F722" s="24"/>
      <c r="G722" s="24"/>
      <c r="H722" s="24"/>
      <c r="I722" s="24"/>
      <c r="J722" s="24"/>
      <c r="K722" s="24"/>
      <c r="L722" s="25">
        <f>M717+M720+M721</f>
        <v>149.66</v>
      </c>
      <c r="M722" s="25">
        <f>ROUND(L722,2)</f>
        <v>149.66</v>
      </c>
    </row>
    <row r="723" spans="1:13" ht="15.5" customHeight="1" thickBot="1" x14ac:dyDescent="0.35">
      <c r="A723" s="26" t="s">
        <v>2147</v>
      </c>
      <c r="B723" s="26" t="s">
        <v>2148</v>
      </c>
      <c r="C723" s="27"/>
      <c r="D723" s="53" t="s">
        <v>2149</v>
      </c>
      <c r="E723" s="53"/>
      <c r="F723" s="53"/>
      <c r="G723" s="53"/>
      <c r="H723" s="53"/>
      <c r="I723" s="53"/>
      <c r="J723" s="53"/>
      <c r="K723" s="27"/>
      <c r="L723" s="28">
        <f>L728</f>
        <v>317.21000000000004</v>
      </c>
      <c r="M723" s="28">
        <f>ROUND(L723,2)</f>
        <v>317.20999999999998</v>
      </c>
    </row>
    <row r="724" spans="1:13" ht="15.5" customHeight="1" thickBot="1" x14ac:dyDescent="0.35">
      <c r="A724" s="10" t="s">
        <v>2150</v>
      </c>
      <c r="B724" s="5" t="s">
        <v>2151</v>
      </c>
      <c r="C724" s="5" t="s">
        <v>2152</v>
      </c>
      <c r="D724" s="52" t="s">
        <v>2153</v>
      </c>
      <c r="E724" s="52"/>
      <c r="F724" s="52"/>
      <c r="G724" s="52"/>
      <c r="H724" s="52"/>
      <c r="I724" s="52"/>
      <c r="J724" s="52"/>
      <c r="K724" s="20">
        <f>ROUND(8,2)</f>
        <v>8</v>
      </c>
      <c r="L724" s="21">
        <f>ROUND(20.48*(1+M2/100),2)</f>
        <v>21.09</v>
      </c>
      <c r="M724" s="21">
        <f>ROUND(K724*L724,2)</f>
        <v>168.72</v>
      </c>
    </row>
    <row r="725" spans="1:13" ht="15.5" customHeight="1" thickBot="1" x14ac:dyDescent="0.35">
      <c r="A725" s="10" t="s">
        <v>2154</v>
      </c>
      <c r="B725" s="5" t="s">
        <v>2155</v>
      </c>
      <c r="C725" s="5" t="s">
        <v>2156</v>
      </c>
      <c r="D725" s="52" t="s">
        <v>2157</v>
      </c>
      <c r="E725" s="52"/>
      <c r="F725" s="52"/>
      <c r="G725" s="52"/>
      <c r="H725" s="52"/>
      <c r="I725" s="52"/>
      <c r="J725" s="52"/>
      <c r="K725" s="20">
        <f>ROUND(2,2)</f>
        <v>2</v>
      </c>
      <c r="L725" s="21">
        <f>ROUND(16.88*(1+M2/100),2)</f>
        <v>17.39</v>
      </c>
      <c r="M725" s="21">
        <f>ROUND(K725*L725,2)</f>
        <v>34.78</v>
      </c>
    </row>
    <row r="726" spans="1:13" ht="15.5" customHeight="1" thickBot="1" x14ac:dyDescent="0.35">
      <c r="A726" s="10" t="s">
        <v>2158</v>
      </c>
      <c r="B726" s="5" t="s">
        <v>2159</v>
      </c>
      <c r="C726" s="5" t="s">
        <v>2160</v>
      </c>
      <c r="D726" s="52" t="s">
        <v>2161</v>
      </c>
      <c r="E726" s="52"/>
      <c r="F726" s="52"/>
      <c r="G726" s="52"/>
      <c r="H726" s="52"/>
      <c r="I726" s="52"/>
      <c r="J726" s="52"/>
      <c r="K726" s="20">
        <f>ROUND(1,2)</f>
        <v>1</v>
      </c>
      <c r="L726" s="21">
        <f>ROUND(63.45*(1+M2/100),2)</f>
        <v>65.349999999999994</v>
      </c>
      <c r="M726" s="21">
        <f>ROUND(K726*L726,2)</f>
        <v>65.349999999999994</v>
      </c>
    </row>
    <row r="727" spans="1:13" ht="15.5" customHeight="1" thickBot="1" x14ac:dyDescent="0.35">
      <c r="A727" s="10" t="s">
        <v>2162</v>
      </c>
      <c r="B727" s="5" t="s">
        <v>2163</v>
      </c>
      <c r="C727" s="5" t="s">
        <v>2164</v>
      </c>
      <c r="D727" s="52" t="s">
        <v>2165</v>
      </c>
      <c r="E727" s="52"/>
      <c r="F727" s="52"/>
      <c r="G727" s="52"/>
      <c r="H727" s="52"/>
      <c r="I727" s="52"/>
      <c r="J727" s="52"/>
      <c r="K727" s="20">
        <f>ROUND(1,2)</f>
        <v>1</v>
      </c>
      <c r="L727" s="21">
        <f>ROUND(46.95*(1+M2/100),2)</f>
        <v>48.36</v>
      </c>
      <c r="M727" s="21">
        <f>ROUND(K727*L727,2)</f>
        <v>48.36</v>
      </c>
    </row>
    <row r="728" spans="1:13" ht="15.5" customHeight="1" thickBot="1" x14ac:dyDescent="0.35">
      <c r="A728" s="22"/>
      <c r="B728" s="22"/>
      <c r="C728" s="22"/>
      <c r="D728" s="23" t="s">
        <v>2166</v>
      </c>
      <c r="E728" s="24"/>
      <c r="F728" s="24"/>
      <c r="G728" s="24"/>
      <c r="H728" s="24"/>
      <c r="I728" s="24"/>
      <c r="J728" s="24"/>
      <c r="K728" s="24"/>
      <c r="L728" s="25">
        <f>M724+M725+M726+M727</f>
        <v>317.21000000000004</v>
      </c>
      <c r="M728" s="25">
        <f>ROUND(L728,2)</f>
        <v>317.20999999999998</v>
      </c>
    </row>
    <row r="729" spans="1:13" ht="15.5" customHeight="1" thickBot="1" x14ac:dyDescent="0.35">
      <c r="A729" s="26" t="s">
        <v>2167</v>
      </c>
      <c r="B729" s="26" t="s">
        <v>2168</v>
      </c>
      <c r="C729" s="27"/>
      <c r="D729" s="53" t="s">
        <v>2169</v>
      </c>
      <c r="E729" s="53"/>
      <c r="F729" s="53"/>
      <c r="G729" s="53"/>
      <c r="H729" s="53"/>
      <c r="I729" s="53"/>
      <c r="J729" s="53"/>
      <c r="K729" s="27"/>
      <c r="L729" s="28">
        <f>L731</f>
        <v>123.6</v>
      </c>
      <c r="M729" s="28">
        <f>ROUND(L729,2)</f>
        <v>123.6</v>
      </c>
    </row>
    <row r="730" spans="1:13" ht="15.5" customHeight="1" thickBot="1" x14ac:dyDescent="0.35">
      <c r="A730" s="10" t="s">
        <v>2170</v>
      </c>
      <c r="B730" s="5" t="s">
        <v>2171</v>
      </c>
      <c r="C730" s="5" t="s">
        <v>2172</v>
      </c>
      <c r="D730" s="52" t="s">
        <v>2173</v>
      </c>
      <c r="E730" s="52"/>
      <c r="F730" s="52"/>
      <c r="G730" s="52"/>
      <c r="H730" s="52"/>
      <c r="I730" s="52"/>
      <c r="J730" s="52"/>
      <c r="K730" s="20">
        <f>ROUND(1,2)</f>
        <v>1</v>
      </c>
      <c r="L730" s="21">
        <f>ROUND(120*(1+M2/100),2)</f>
        <v>123.6</v>
      </c>
      <c r="M730" s="21">
        <f>ROUND(K730*L730,2)</f>
        <v>123.6</v>
      </c>
    </row>
    <row r="731" spans="1:13" ht="15.5" customHeight="1" thickBot="1" x14ac:dyDescent="0.35">
      <c r="A731" s="22"/>
      <c r="B731" s="22"/>
      <c r="C731" s="22"/>
      <c r="D731" s="23" t="s">
        <v>2174</v>
      </c>
      <c r="E731" s="24"/>
      <c r="F731" s="24"/>
      <c r="G731" s="24"/>
      <c r="H731" s="24"/>
      <c r="I731" s="24"/>
      <c r="J731" s="24"/>
      <c r="K731" s="24"/>
      <c r="L731" s="25">
        <f>M730</f>
        <v>123.6</v>
      </c>
      <c r="M731" s="25">
        <f>ROUND(L731,2)</f>
        <v>123.6</v>
      </c>
    </row>
    <row r="732" spans="1:13" ht="15.5" customHeight="1" thickBot="1" x14ac:dyDescent="0.35">
      <c r="A732" s="42"/>
      <c r="B732" s="42"/>
      <c r="C732" s="42"/>
      <c r="D732" s="43" t="s">
        <v>2175</v>
      </c>
      <c r="E732" s="44"/>
      <c r="F732" s="44"/>
      <c r="G732" s="44"/>
      <c r="H732" s="44"/>
      <c r="I732" s="44"/>
      <c r="J732" s="44"/>
      <c r="K732" s="44"/>
      <c r="L732" s="45">
        <f>M703+M706+M715+M722+M728+M731</f>
        <v>1762.42</v>
      </c>
      <c r="M732" s="45">
        <f>ROUND(L732,2)</f>
        <v>1762.42</v>
      </c>
    </row>
    <row r="733" spans="1:13" ht="15.5" customHeight="1" thickBot="1" x14ac:dyDescent="0.35">
      <c r="A733" s="46" t="s">
        <v>2176</v>
      </c>
      <c r="B733" s="46" t="s">
        <v>2177</v>
      </c>
      <c r="C733" s="47"/>
      <c r="D733" s="54" t="s">
        <v>2178</v>
      </c>
      <c r="E733" s="54"/>
      <c r="F733" s="54"/>
      <c r="G733" s="54"/>
      <c r="H733" s="54"/>
      <c r="I733" s="54"/>
      <c r="J733" s="54"/>
      <c r="K733" s="47"/>
      <c r="L733" s="48">
        <f>L773</f>
        <v>2406.6999999999998</v>
      </c>
      <c r="M733" s="48">
        <f>ROUND(L733,2)</f>
        <v>2406.6999999999998</v>
      </c>
    </row>
    <row r="734" spans="1:13" ht="15.5" customHeight="1" thickBot="1" x14ac:dyDescent="0.35">
      <c r="A734" s="17" t="s">
        <v>2179</v>
      </c>
      <c r="B734" s="17" t="s">
        <v>2180</v>
      </c>
      <c r="C734" s="18"/>
      <c r="D734" s="55" t="s">
        <v>2181</v>
      </c>
      <c r="E734" s="55"/>
      <c r="F734" s="55"/>
      <c r="G734" s="55"/>
      <c r="H734" s="55"/>
      <c r="I734" s="55"/>
      <c r="J734" s="55"/>
      <c r="K734" s="18"/>
      <c r="L734" s="19">
        <f>L738</f>
        <v>650</v>
      </c>
      <c r="M734" s="19">
        <f>ROUND(L734,2)</f>
        <v>650</v>
      </c>
    </row>
    <row r="735" spans="1:13" ht="15.5" customHeight="1" thickBot="1" x14ac:dyDescent="0.35">
      <c r="A735" s="10" t="s">
        <v>2182</v>
      </c>
      <c r="B735" s="5" t="s">
        <v>2183</v>
      </c>
      <c r="C735" s="5" t="s">
        <v>2184</v>
      </c>
      <c r="D735" s="52" t="s">
        <v>2185</v>
      </c>
      <c r="E735" s="52"/>
      <c r="F735" s="52"/>
      <c r="G735" s="52"/>
      <c r="H735" s="52"/>
      <c r="I735" s="52"/>
      <c r="J735" s="52"/>
      <c r="K735" s="20">
        <f>ROUND(1,2)</f>
        <v>1</v>
      </c>
      <c r="L735" s="21">
        <f>ROUND(97.087*(1+M2/100),2)</f>
        <v>100</v>
      </c>
      <c r="M735" s="21">
        <f>ROUND(K735*L735,2)</f>
        <v>100</v>
      </c>
    </row>
    <row r="736" spans="1:13" ht="21.65" customHeight="1" thickBot="1" x14ac:dyDescent="0.35">
      <c r="A736" s="10" t="s">
        <v>2186</v>
      </c>
      <c r="B736" s="5" t="s">
        <v>2187</v>
      </c>
      <c r="C736" s="5" t="s">
        <v>2188</v>
      </c>
      <c r="D736" s="52" t="s">
        <v>2189</v>
      </c>
      <c r="E736" s="52"/>
      <c r="F736" s="52"/>
      <c r="G736" s="52"/>
      <c r="H736" s="52"/>
      <c r="I736" s="52"/>
      <c r="J736" s="52"/>
      <c r="K736" s="20">
        <f>ROUND(1,2)</f>
        <v>1</v>
      </c>
      <c r="L736" s="21">
        <f>ROUND(339.806*(1+M2/100),2)</f>
        <v>350</v>
      </c>
      <c r="M736" s="21">
        <f>ROUND(K736*L736,2)</f>
        <v>350</v>
      </c>
    </row>
    <row r="737" spans="1:13" ht="15.5" customHeight="1" thickBot="1" x14ac:dyDescent="0.35">
      <c r="A737" s="10" t="s">
        <v>2190</v>
      </c>
      <c r="B737" s="5" t="s">
        <v>2191</v>
      </c>
      <c r="C737" s="5" t="s">
        <v>2192</v>
      </c>
      <c r="D737" s="52" t="s">
        <v>2193</v>
      </c>
      <c r="E737" s="52"/>
      <c r="F737" s="52"/>
      <c r="G737" s="52"/>
      <c r="H737" s="52"/>
      <c r="I737" s="52"/>
      <c r="J737" s="52"/>
      <c r="K737" s="20">
        <f>ROUND(1,2)</f>
        <v>1</v>
      </c>
      <c r="L737" s="21">
        <f>ROUND(194.175*(1+M2/100),2)</f>
        <v>200</v>
      </c>
      <c r="M737" s="21">
        <f>ROUND(K737*L737,2)</f>
        <v>200</v>
      </c>
    </row>
    <row r="738" spans="1:13" ht="15.5" customHeight="1" thickBot="1" x14ac:dyDescent="0.35">
      <c r="A738" s="22"/>
      <c r="B738" s="22"/>
      <c r="C738" s="22"/>
      <c r="D738" s="23" t="s">
        <v>2194</v>
      </c>
      <c r="E738" s="24"/>
      <c r="F738" s="24"/>
      <c r="G738" s="24"/>
      <c r="H738" s="24"/>
      <c r="I738" s="24"/>
      <c r="J738" s="24"/>
      <c r="K738" s="24"/>
      <c r="L738" s="25">
        <f>M735+M736+M737</f>
        <v>650</v>
      </c>
      <c r="M738" s="25">
        <f>ROUND(L738,2)</f>
        <v>650</v>
      </c>
    </row>
    <row r="739" spans="1:13" ht="15.5" customHeight="1" thickBot="1" x14ac:dyDescent="0.35">
      <c r="A739" s="26" t="s">
        <v>2195</v>
      </c>
      <c r="B739" s="26" t="s">
        <v>2196</v>
      </c>
      <c r="C739" s="27"/>
      <c r="D739" s="53" t="s">
        <v>2197</v>
      </c>
      <c r="E739" s="53"/>
      <c r="F739" s="53"/>
      <c r="G739" s="53"/>
      <c r="H739" s="53"/>
      <c r="I739" s="53"/>
      <c r="J739" s="53"/>
      <c r="K739" s="27"/>
      <c r="L739" s="28">
        <f>L741</f>
        <v>762.55</v>
      </c>
      <c r="M739" s="28">
        <f>ROUND(L739,2)</f>
        <v>762.55</v>
      </c>
    </row>
    <row r="740" spans="1:13" ht="15.5" customHeight="1" thickBot="1" x14ac:dyDescent="0.35">
      <c r="A740" s="10" t="s">
        <v>2198</v>
      </c>
      <c r="B740" s="5" t="s">
        <v>2199</v>
      </c>
      <c r="C740" s="5" t="s">
        <v>2200</v>
      </c>
      <c r="D740" s="52" t="s">
        <v>2201</v>
      </c>
      <c r="E740" s="52"/>
      <c r="F740" s="52"/>
      <c r="G740" s="52"/>
      <c r="H740" s="52"/>
      <c r="I740" s="52"/>
      <c r="J740" s="52"/>
      <c r="K740" s="20">
        <f>ROUND(1,2)</f>
        <v>1</v>
      </c>
      <c r="L740" s="21">
        <f>ROUND(740.34*(1+M2/100),2)</f>
        <v>762.55</v>
      </c>
      <c r="M740" s="21">
        <f>ROUND(K740*L740,2)</f>
        <v>762.55</v>
      </c>
    </row>
    <row r="741" spans="1:13" ht="15.5" customHeight="1" thickBot="1" x14ac:dyDescent="0.35">
      <c r="A741" s="22"/>
      <c r="B741" s="22"/>
      <c r="C741" s="22"/>
      <c r="D741" s="23" t="s">
        <v>2202</v>
      </c>
      <c r="E741" s="24"/>
      <c r="F741" s="24"/>
      <c r="G741" s="24"/>
      <c r="H741" s="24"/>
      <c r="I741" s="24"/>
      <c r="J741" s="24"/>
      <c r="K741" s="24"/>
      <c r="L741" s="25">
        <f>M740</f>
        <v>762.55</v>
      </c>
      <c r="M741" s="25">
        <f>ROUND(L741,2)</f>
        <v>762.55</v>
      </c>
    </row>
    <row r="742" spans="1:13" ht="15.5" customHeight="1" thickBot="1" x14ac:dyDescent="0.35">
      <c r="A742" s="26" t="s">
        <v>2203</v>
      </c>
      <c r="B742" s="26" t="s">
        <v>2204</v>
      </c>
      <c r="C742" s="27"/>
      <c r="D742" s="53" t="s">
        <v>2205</v>
      </c>
      <c r="E742" s="53"/>
      <c r="F742" s="53"/>
      <c r="G742" s="53"/>
      <c r="H742" s="53"/>
      <c r="I742" s="53"/>
      <c r="J742" s="53"/>
      <c r="K742" s="27"/>
      <c r="L742" s="28">
        <f>L751</f>
        <v>260.75</v>
      </c>
      <c r="M742" s="28">
        <f>ROUND(L742,2)</f>
        <v>260.75</v>
      </c>
    </row>
    <row r="743" spans="1:13" ht="30.9" customHeight="1" thickBot="1" x14ac:dyDescent="0.35">
      <c r="A743" s="10" t="s">
        <v>2206</v>
      </c>
      <c r="B743" s="5" t="s">
        <v>2207</v>
      </c>
      <c r="C743" s="5" t="s">
        <v>2208</v>
      </c>
      <c r="D743" s="52" t="s">
        <v>2209</v>
      </c>
      <c r="E743" s="52"/>
      <c r="F743" s="52"/>
      <c r="G743" s="52"/>
      <c r="H743" s="52"/>
      <c r="I743" s="52"/>
      <c r="J743" s="52"/>
      <c r="K743" s="20">
        <f>SUM(K745:K746)</f>
        <v>105</v>
      </c>
      <c r="L743" s="21">
        <f>ROUND(1.25*(1+M2/100),2)</f>
        <v>1.29</v>
      </c>
      <c r="M743" s="21">
        <f>ROUND(K743*L743,2)</f>
        <v>135.44999999999999</v>
      </c>
    </row>
    <row r="744" spans="1:13" ht="15.25" customHeight="1" thickBot="1" x14ac:dyDescent="0.35">
      <c r="A744" s="29"/>
      <c r="B744" s="29"/>
      <c r="C744" s="29"/>
      <c r="D744" s="29"/>
      <c r="E744" s="30"/>
      <c r="F744" s="32" t="s">
        <v>2210</v>
      </c>
      <c r="G744" s="32" t="s">
        <v>2211</v>
      </c>
      <c r="H744" s="32" t="s">
        <v>2212</v>
      </c>
      <c r="I744" s="32" t="s">
        <v>2213</v>
      </c>
      <c r="J744" s="32" t="s">
        <v>2214</v>
      </c>
      <c r="K744" s="32" t="s">
        <v>2215</v>
      </c>
      <c r="L744" s="29"/>
      <c r="M744" s="29"/>
    </row>
    <row r="745" spans="1:13" ht="15.25" customHeight="1" thickBot="1" x14ac:dyDescent="0.35">
      <c r="A745" s="29"/>
      <c r="B745" s="29"/>
      <c r="C745" s="29"/>
      <c r="D745" s="33"/>
      <c r="E745" s="34" t="s">
        <v>2216</v>
      </c>
      <c r="F745" s="35">
        <v>3</v>
      </c>
      <c r="G745" s="36">
        <v>15</v>
      </c>
      <c r="H745" s="36"/>
      <c r="I745" s="36"/>
      <c r="J745" s="38">
        <f>ROUND(F745*G745,3)</f>
        <v>45</v>
      </c>
      <c r="K745" s="41"/>
      <c r="L745" s="29"/>
      <c r="M745" s="29"/>
    </row>
    <row r="746" spans="1:13" ht="30.9" customHeight="1" thickBot="1" x14ac:dyDescent="0.35">
      <c r="A746" s="29"/>
      <c r="B746" s="29"/>
      <c r="C746" s="29"/>
      <c r="D746" s="33"/>
      <c r="E746" s="5" t="s">
        <v>2217</v>
      </c>
      <c r="F746" s="3">
        <v>3</v>
      </c>
      <c r="G746" s="20">
        <v>20</v>
      </c>
      <c r="H746" s="20"/>
      <c r="I746" s="20"/>
      <c r="J746" s="37">
        <f>ROUND(F746*G746,3)</f>
        <v>60</v>
      </c>
      <c r="K746" s="39">
        <f>SUM(J745:J746)</f>
        <v>105</v>
      </c>
      <c r="L746" s="29"/>
      <c r="M746" s="29"/>
    </row>
    <row r="747" spans="1:13" ht="15.5" customHeight="1" thickBot="1" x14ac:dyDescent="0.35">
      <c r="A747" s="10" t="s">
        <v>2218</v>
      </c>
      <c r="B747" s="5" t="s">
        <v>2219</v>
      </c>
      <c r="C747" s="5" t="s">
        <v>2220</v>
      </c>
      <c r="D747" s="52" t="s">
        <v>2221</v>
      </c>
      <c r="E747" s="52"/>
      <c r="F747" s="52"/>
      <c r="G747" s="52"/>
      <c r="H747" s="52"/>
      <c r="I747" s="52"/>
      <c r="J747" s="52"/>
      <c r="K747" s="20">
        <f>SUM(K749:K750)</f>
        <v>35</v>
      </c>
      <c r="L747" s="21">
        <f>ROUND(3.48*(1+M2/100),2)</f>
        <v>3.58</v>
      </c>
      <c r="M747" s="21">
        <f>ROUND(K747*L747,2)</f>
        <v>125.3</v>
      </c>
    </row>
    <row r="748" spans="1:13" ht="15.25" customHeight="1" thickBot="1" x14ac:dyDescent="0.35">
      <c r="A748" s="29"/>
      <c r="B748" s="29"/>
      <c r="C748" s="29"/>
      <c r="D748" s="29"/>
      <c r="E748" s="30"/>
      <c r="F748" s="32" t="s">
        <v>2222</v>
      </c>
      <c r="G748" s="32" t="s">
        <v>2223</v>
      </c>
      <c r="H748" s="32" t="s">
        <v>2224</v>
      </c>
      <c r="I748" s="32" t="s">
        <v>2225</v>
      </c>
      <c r="J748" s="32" t="s">
        <v>2226</v>
      </c>
      <c r="K748" s="32" t="s">
        <v>2227</v>
      </c>
      <c r="L748" s="29"/>
      <c r="M748" s="29"/>
    </row>
    <row r="749" spans="1:13" ht="15.25" customHeight="1" thickBot="1" x14ac:dyDescent="0.35">
      <c r="A749" s="29"/>
      <c r="B749" s="29"/>
      <c r="C749" s="29"/>
      <c r="D749" s="33"/>
      <c r="E749" s="34" t="s">
        <v>2228</v>
      </c>
      <c r="F749" s="35">
        <v>1</v>
      </c>
      <c r="G749" s="36">
        <v>15</v>
      </c>
      <c r="H749" s="36"/>
      <c r="I749" s="36"/>
      <c r="J749" s="38">
        <f>ROUND(F749*G749,3)</f>
        <v>15</v>
      </c>
      <c r="K749" s="41"/>
      <c r="L749" s="29"/>
      <c r="M749" s="29"/>
    </row>
    <row r="750" spans="1:13" ht="30.9" customHeight="1" thickBot="1" x14ac:dyDescent="0.35">
      <c r="A750" s="29"/>
      <c r="B750" s="29"/>
      <c r="C750" s="29"/>
      <c r="D750" s="33"/>
      <c r="E750" s="5" t="s">
        <v>2229</v>
      </c>
      <c r="F750" s="3">
        <v>1</v>
      </c>
      <c r="G750" s="20">
        <v>20</v>
      </c>
      <c r="H750" s="20"/>
      <c r="I750" s="20"/>
      <c r="J750" s="37">
        <f>ROUND(F750*G750,3)</f>
        <v>20</v>
      </c>
      <c r="K750" s="39">
        <f>SUM(J749:J750)</f>
        <v>35</v>
      </c>
      <c r="L750" s="29"/>
      <c r="M750" s="29"/>
    </row>
    <row r="751" spans="1:13" ht="15.5" customHeight="1" thickBot="1" x14ac:dyDescent="0.35">
      <c r="A751" s="22"/>
      <c r="B751" s="22"/>
      <c r="C751" s="22"/>
      <c r="D751" s="23" t="s">
        <v>2230</v>
      </c>
      <c r="E751" s="24"/>
      <c r="F751" s="24"/>
      <c r="G751" s="24"/>
      <c r="H751" s="24"/>
      <c r="I751" s="24"/>
      <c r="J751" s="24"/>
      <c r="K751" s="24"/>
      <c r="L751" s="25">
        <f>M743+M747</f>
        <v>260.75</v>
      </c>
      <c r="M751" s="25">
        <f>ROUND(L751,2)</f>
        <v>260.75</v>
      </c>
    </row>
    <row r="752" spans="1:13" ht="15.5" customHeight="1" thickBot="1" x14ac:dyDescent="0.35">
      <c r="A752" s="26" t="s">
        <v>2231</v>
      </c>
      <c r="B752" s="26" t="s">
        <v>2232</v>
      </c>
      <c r="C752" s="27"/>
      <c r="D752" s="53" t="s">
        <v>2233</v>
      </c>
      <c r="E752" s="53"/>
      <c r="F752" s="53"/>
      <c r="G752" s="53"/>
      <c r="H752" s="53"/>
      <c r="I752" s="53"/>
      <c r="J752" s="53"/>
      <c r="K752" s="27"/>
      <c r="L752" s="28">
        <f>L765</f>
        <v>371.52</v>
      </c>
      <c r="M752" s="28">
        <f>ROUND(L752,2)</f>
        <v>371.52</v>
      </c>
    </row>
    <row r="753" spans="1:13" ht="15.5" customHeight="1" thickBot="1" x14ac:dyDescent="0.35">
      <c r="A753" s="10" t="s">
        <v>2234</v>
      </c>
      <c r="B753" s="5" t="s">
        <v>2235</v>
      </c>
      <c r="C753" s="5" t="s">
        <v>2236</v>
      </c>
      <c r="D753" s="52" t="s">
        <v>2237</v>
      </c>
      <c r="E753" s="52"/>
      <c r="F753" s="52"/>
      <c r="G753" s="52"/>
      <c r="H753" s="52"/>
      <c r="I753" s="52"/>
      <c r="J753" s="52"/>
      <c r="K753" s="20">
        <f>SUM(K755:K756)</f>
        <v>2</v>
      </c>
      <c r="L753" s="21">
        <f>ROUND(23.62*(1+M2/100),2)</f>
        <v>24.33</v>
      </c>
      <c r="M753" s="21">
        <f>ROUND(K753*L753,2)</f>
        <v>48.66</v>
      </c>
    </row>
    <row r="754" spans="1:13" ht="15.25" customHeight="1" thickBot="1" x14ac:dyDescent="0.35">
      <c r="A754" s="29"/>
      <c r="B754" s="29"/>
      <c r="C754" s="29"/>
      <c r="D754" s="29"/>
      <c r="E754" s="30"/>
      <c r="F754" s="32" t="s">
        <v>2238</v>
      </c>
      <c r="G754" s="32" t="s">
        <v>2239</v>
      </c>
      <c r="H754" s="32" t="s">
        <v>2240</v>
      </c>
      <c r="I754" s="32" t="s">
        <v>2241</v>
      </c>
      <c r="J754" s="32" t="s">
        <v>2242</v>
      </c>
      <c r="K754" s="32" t="s">
        <v>2243</v>
      </c>
      <c r="L754" s="29"/>
      <c r="M754" s="29"/>
    </row>
    <row r="755" spans="1:13" ht="15.25" customHeight="1" thickBot="1" x14ac:dyDescent="0.35">
      <c r="A755" s="29"/>
      <c r="B755" s="29"/>
      <c r="C755" s="29"/>
      <c r="D755" s="33"/>
      <c r="E755" s="34" t="s">
        <v>2244</v>
      </c>
      <c r="F755" s="35">
        <v>1</v>
      </c>
      <c r="G755" s="36"/>
      <c r="H755" s="36"/>
      <c r="I755" s="36"/>
      <c r="J755" s="38">
        <f>ROUND(F755,3)</f>
        <v>1</v>
      </c>
      <c r="K755" s="41"/>
      <c r="L755" s="29"/>
      <c r="M755" s="29"/>
    </row>
    <row r="756" spans="1:13" ht="15.25" customHeight="1" thickBot="1" x14ac:dyDescent="0.35">
      <c r="A756" s="29"/>
      <c r="B756" s="29"/>
      <c r="C756" s="29"/>
      <c r="D756" s="33"/>
      <c r="E756" s="5" t="s">
        <v>2245</v>
      </c>
      <c r="F756" s="3">
        <v>1</v>
      </c>
      <c r="G756" s="20"/>
      <c r="H756" s="20"/>
      <c r="I756" s="20"/>
      <c r="J756" s="37">
        <f>ROUND(F756,3)</f>
        <v>1</v>
      </c>
      <c r="K756" s="39">
        <f>SUM(J755:J756)</f>
        <v>2</v>
      </c>
      <c r="L756" s="29"/>
      <c r="M756" s="29"/>
    </row>
    <row r="757" spans="1:13" ht="15.5" customHeight="1" thickBot="1" x14ac:dyDescent="0.35">
      <c r="A757" s="10" t="s">
        <v>2246</v>
      </c>
      <c r="B757" s="5" t="s">
        <v>2247</v>
      </c>
      <c r="C757" s="5" t="s">
        <v>2248</v>
      </c>
      <c r="D757" s="52" t="s">
        <v>2249</v>
      </c>
      <c r="E757" s="52"/>
      <c r="F757" s="52"/>
      <c r="G757" s="52"/>
      <c r="H757" s="52"/>
      <c r="I757" s="52"/>
      <c r="J757" s="52"/>
      <c r="K757" s="20">
        <f>SUM(K759:K760)</f>
        <v>2</v>
      </c>
      <c r="L757" s="21">
        <f>ROUND(40.83*(1+M2/100),2)</f>
        <v>42.05</v>
      </c>
      <c r="M757" s="21">
        <f>ROUND(K757*L757,2)</f>
        <v>84.1</v>
      </c>
    </row>
    <row r="758" spans="1:13" ht="15.25" customHeight="1" thickBot="1" x14ac:dyDescent="0.35">
      <c r="A758" s="29"/>
      <c r="B758" s="29"/>
      <c r="C758" s="29"/>
      <c r="D758" s="29"/>
      <c r="E758" s="30"/>
      <c r="F758" s="32" t="s">
        <v>2250</v>
      </c>
      <c r="G758" s="32" t="s">
        <v>2251</v>
      </c>
      <c r="H758" s="32" t="s">
        <v>2252</v>
      </c>
      <c r="I758" s="32" t="s">
        <v>2253</v>
      </c>
      <c r="J758" s="32" t="s">
        <v>2254</v>
      </c>
      <c r="K758" s="32" t="s">
        <v>2255</v>
      </c>
      <c r="L758" s="29"/>
      <c r="M758" s="29"/>
    </row>
    <row r="759" spans="1:13" ht="15.25" customHeight="1" thickBot="1" x14ac:dyDescent="0.35">
      <c r="A759" s="29"/>
      <c r="B759" s="29"/>
      <c r="C759" s="29"/>
      <c r="D759" s="33"/>
      <c r="E759" s="34" t="s">
        <v>2256</v>
      </c>
      <c r="F759" s="35">
        <v>1</v>
      </c>
      <c r="G759" s="36"/>
      <c r="H759" s="36"/>
      <c r="I759" s="36"/>
      <c r="J759" s="38">
        <f>ROUND(F759,3)</f>
        <v>1</v>
      </c>
      <c r="K759" s="41"/>
      <c r="L759" s="29"/>
      <c r="M759" s="29"/>
    </row>
    <row r="760" spans="1:13" ht="15.25" customHeight="1" thickBot="1" x14ac:dyDescent="0.35">
      <c r="A760" s="29"/>
      <c r="B760" s="29"/>
      <c r="C760" s="29"/>
      <c r="D760" s="33"/>
      <c r="E760" s="5" t="s">
        <v>2257</v>
      </c>
      <c r="F760" s="3">
        <v>1</v>
      </c>
      <c r="G760" s="20"/>
      <c r="H760" s="20"/>
      <c r="I760" s="20"/>
      <c r="J760" s="37">
        <f>ROUND(F760,3)</f>
        <v>1</v>
      </c>
      <c r="K760" s="39">
        <f>SUM(J759:J760)</f>
        <v>2</v>
      </c>
      <c r="L760" s="29"/>
      <c r="M760" s="29"/>
    </row>
    <row r="761" spans="1:13" ht="15.5" customHeight="1" thickBot="1" x14ac:dyDescent="0.35">
      <c r="A761" s="10" t="s">
        <v>2258</v>
      </c>
      <c r="B761" s="5" t="s">
        <v>2259</v>
      </c>
      <c r="C761" s="5" t="s">
        <v>2260</v>
      </c>
      <c r="D761" s="52" t="s">
        <v>2261</v>
      </c>
      <c r="E761" s="52"/>
      <c r="F761" s="52"/>
      <c r="G761" s="52"/>
      <c r="H761" s="52"/>
      <c r="I761" s="52"/>
      <c r="J761" s="52"/>
      <c r="K761" s="20">
        <f>SUM(K763:K763)</f>
        <v>2</v>
      </c>
      <c r="L761" s="21">
        <f>ROUND(58.67*(1+M2/100),2)</f>
        <v>60.43</v>
      </c>
      <c r="M761" s="21">
        <f>ROUND(K761*L761,2)</f>
        <v>120.86</v>
      </c>
    </row>
    <row r="762" spans="1:13" ht="15.25" customHeight="1" thickBot="1" x14ac:dyDescent="0.35">
      <c r="A762" s="29"/>
      <c r="B762" s="29"/>
      <c r="C762" s="29"/>
      <c r="D762" s="29"/>
      <c r="E762" s="30"/>
      <c r="F762" s="32" t="s">
        <v>2262</v>
      </c>
      <c r="G762" s="32" t="s">
        <v>2263</v>
      </c>
      <c r="H762" s="32" t="s">
        <v>2264</v>
      </c>
      <c r="I762" s="32" t="s">
        <v>2265</v>
      </c>
      <c r="J762" s="32" t="s">
        <v>2266</v>
      </c>
      <c r="K762" s="32" t="s">
        <v>2267</v>
      </c>
      <c r="L762" s="29"/>
      <c r="M762" s="29"/>
    </row>
    <row r="763" spans="1:13" ht="21.65" customHeight="1" thickBot="1" x14ac:dyDescent="0.35">
      <c r="A763" s="29"/>
      <c r="B763" s="29"/>
      <c r="C763" s="29"/>
      <c r="D763" s="33"/>
      <c r="E763" s="34" t="s">
        <v>2268</v>
      </c>
      <c r="F763" s="35">
        <v>2</v>
      </c>
      <c r="G763" s="36"/>
      <c r="H763" s="36"/>
      <c r="I763" s="36"/>
      <c r="J763" s="38">
        <f>ROUND(F763,3)</f>
        <v>2</v>
      </c>
      <c r="K763" s="40">
        <f>SUM(J763:J763)</f>
        <v>2</v>
      </c>
      <c r="L763" s="29"/>
      <c r="M763" s="29"/>
    </row>
    <row r="764" spans="1:13" ht="15.5" customHeight="1" thickBot="1" x14ac:dyDescent="0.35">
      <c r="A764" s="10" t="s">
        <v>2269</v>
      </c>
      <c r="B764" s="5" t="s">
        <v>2270</v>
      </c>
      <c r="C764" s="5" t="s">
        <v>2271</v>
      </c>
      <c r="D764" s="52" t="s">
        <v>2272</v>
      </c>
      <c r="E764" s="52"/>
      <c r="F764" s="52"/>
      <c r="G764" s="52"/>
      <c r="H764" s="52"/>
      <c r="I764" s="52"/>
      <c r="J764" s="52"/>
      <c r="K764" s="20">
        <f>ROUND(6,2)</f>
        <v>6</v>
      </c>
      <c r="L764" s="21">
        <f>ROUND(19.08*(1+M2/100),2)</f>
        <v>19.649999999999999</v>
      </c>
      <c r="M764" s="21">
        <f>ROUND(K764*L764,2)</f>
        <v>117.9</v>
      </c>
    </row>
    <row r="765" spans="1:13" ht="15.5" customHeight="1" thickBot="1" x14ac:dyDescent="0.35">
      <c r="A765" s="22"/>
      <c r="B765" s="22"/>
      <c r="C765" s="22"/>
      <c r="D765" s="23" t="s">
        <v>2273</v>
      </c>
      <c r="E765" s="24"/>
      <c r="F765" s="24"/>
      <c r="G765" s="24"/>
      <c r="H765" s="24"/>
      <c r="I765" s="24"/>
      <c r="J765" s="24"/>
      <c r="K765" s="24"/>
      <c r="L765" s="25">
        <f>M753+M757+M761+M764</f>
        <v>371.52</v>
      </c>
      <c r="M765" s="25">
        <f>ROUND(L765,2)</f>
        <v>371.52</v>
      </c>
    </row>
    <row r="766" spans="1:13" ht="15.5" customHeight="1" thickBot="1" x14ac:dyDescent="0.35">
      <c r="A766" s="26" t="s">
        <v>2274</v>
      </c>
      <c r="B766" s="26" t="s">
        <v>2275</v>
      </c>
      <c r="C766" s="27"/>
      <c r="D766" s="53" t="s">
        <v>2276</v>
      </c>
      <c r="E766" s="53"/>
      <c r="F766" s="53"/>
      <c r="G766" s="53"/>
      <c r="H766" s="53"/>
      <c r="I766" s="53"/>
      <c r="J766" s="53"/>
      <c r="K766" s="27"/>
      <c r="L766" s="28">
        <f>L769</f>
        <v>238.28</v>
      </c>
      <c r="M766" s="28">
        <f>ROUND(L766,2)</f>
        <v>238.28</v>
      </c>
    </row>
    <row r="767" spans="1:13" ht="15.5" customHeight="1" thickBot="1" x14ac:dyDescent="0.35">
      <c r="A767" s="10" t="s">
        <v>2277</v>
      </c>
      <c r="B767" s="5" t="s">
        <v>2278</v>
      </c>
      <c r="C767" s="5" t="s">
        <v>2279</v>
      </c>
      <c r="D767" s="52" t="s">
        <v>2280</v>
      </c>
      <c r="E767" s="52"/>
      <c r="F767" s="52"/>
      <c r="G767" s="52"/>
      <c r="H767" s="52"/>
      <c r="I767" s="52"/>
      <c r="J767" s="52"/>
      <c r="K767" s="20">
        <f>ROUND(8,2)</f>
        <v>8</v>
      </c>
      <c r="L767" s="21">
        <f>ROUND(20.48*(1+M2/100),2)</f>
        <v>21.09</v>
      </c>
      <c r="M767" s="21">
        <f>ROUND(K767*L767,2)</f>
        <v>168.72</v>
      </c>
    </row>
    <row r="768" spans="1:13" ht="15.5" customHeight="1" thickBot="1" x14ac:dyDescent="0.35">
      <c r="A768" s="10" t="s">
        <v>2281</v>
      </c>
      <c r="B768" s="5" t="s">
        <v>2282</v>
      </c>
      <c r="C768" s="5" t="s">
        <v>2283</v>
      </c>
      <c r="D768" s="52" t="s">
        <v>2284</v>
      </c>
      <c r="E768" s="52"/>
      <c r="F768" s="52"/>
      <c r="G768" s="52"/>
      <c r="H768" s="52"/>
      <c r="I768" s="52"/>
      <c r="J768" s="52"/>
      <c r="K768" s="20">
        <f>ROUND(4,2)</f>
        <v>4</v>
      </c>
      <c r="L768" s="21">
        <f>ROUND(16.88*(1+M2/100),2)</f>
        <v>17.39</v>
      </c>
      <c r="M768" s="21">
        <f>ROUND(K768*L768,2)</f>
        <v>69.56</v>
      </c>
    </row>
    <row r="769" spans="1:13" ht="15.5" customHeight="1" thickBot="1" x14ac:dyDescent="0.35">
      <c r="A769" s="22"/>
      <c r="B769" s="22"/>
      <c r="C769" s="22"/>
      <c r="D769" s="23" t="s">
        <v>2285</v>
      </c>
      <c r="E769" s="24"/>
      <c r="F769" s="24"/>
      <c r="G769" s="24"/>
      <c r="H769" s="24"/>
      <c r="I769" s="24"/>
      <c r="J769" s="24"/>
      <c r="K769" s="24"/>
      <c r="L769" s="25">
        <f>M767+M768</f>
        <v>238.28</v>
      </c>
      <c r="M769" s="25">
        <f>ROUND(L769,2)</f>
        <v>238.28</v>
      </c>
    </row>
    <row r="770" spans="1:13" ht="15.5" customHeight="1" thickBot="1" x14ac:dyDescent="0.35">
      <c r="A770" s="26" t="s">
        <v>2286</v>
      </c>
      <c r="B770" s="26" t="s">
        <v>2287</v>
      </c>
      <c r="C770" s="27"/>
      <c r="D770" s="53" t="s">
        <v>2288</v>
      </c>
      <c r="E770" s="53"/>
      <c r="F770" s="53"/>
      <c r="G770" s="53"/>
      <c r="H770" s="53"/>
      <c r="I770" s="53"/>
      <c r="J770" s="53"/>
      <c r="K770" s="27"/>
      <c r="L770" s="28">
        <f>L772</f>
        <v>123.6</v>
      </c>
      <c r="M770" s="28">
        <f>ROUND(L770,2)</f>
        <v>123.6</v>
      </c>
    </row>
    <row r="771" spans="1:13" ht="15.5" customHeight="1" thickBot="1" x14ac:dyDescent="0.35">
      <c r="A771" s="10" t="s">
        <v>2289</v>
      </c>
      <c r="B771" s="5" t="s">
        <v>2290</v>
      </c>
      <c r="C771" s="5" t="s">
        <v>2291</v>
      </c>
      <c r="D771" s="52" t="s">
        <v>2292</v>
      </c>
      <c r="E771" s="52"/>
      <c r="F771" s="52"/>
      <c r="G771" s="52"/>
      <c r="H771" s="52"/>
      <c r="I771" s="52"/>
      <c r="J771" s="52"/>
      <c r="K771" s="20">
        <f>ROUND(1,2)</f>
        <v>1</v>
      </c>
      <c r="L771" s="21">
        <f>ROUND(120*(1+M2/100),2)</f>
        <v>123.6</v>
      </c>
      <c r="M771" s="21">
        <f>ROUND(K771*L771,2)</f>
        <v>123.6</v>
      </c>
    </row>
    <row r="772" spans="1:13" ht="15.5" customHeight="1" thickBot="1" x14ac:dyDescent="0.35">
      <c r="A772" s="22"/>
      <c r="B772" s="22"/>
      <c r="C772" s="22"/>
      <c r="D772" s="23" t="s">
        <v>2293</v>
      </c>
      <c r="E772" s="24"/>
      <c r="F772" s="24"/>
      <c r="G772" s="24"/>
      <c r="H772" s="24"/>
      <c r="I772" s="24"/>
      <c r="J772" s="24"/>
      <c r="K772" s="24"/>
      <c r="L772" s="25">
        <f>M771</f>
        <v>123.6</v>
      </c>
      <c r="M772" s="25">
        <f>ROUND(L772,2)</f>
        <v>123.6</v>
      </c>
    </row>
    <row r="773" spans="1:13" ht="15.5" customHeight="1" thickBot="1" x14ac:dyDescent="0.35">
      <c r="A773" s="42"/>
      <c r="B773" s="42"/>
      <c r="C773" s="42"/>
      <c r="D773" s="43" t="s">
        <v>2294</v>
      </c>
      <c r="E773" s="44"/>
      <c r="F773" s="44"/>
      <c r="G773" s="44"/>
      <c r="H773" s="44"/>
      <c r="I773" s="44"/>
      <c r="J773" s="44"/>
      <c r="K773" s="44"/>
      <c r="L773" s="45">
        <f>M738+M741+M751+M765+M769+M772</f>
        <v>2406.6999999999998</v>
      </c>
      <c r="M773" s="45">
        <f>ROUND(L773,2)</f>
        <v>2406.6999999999998</v>
      </c>
    </row>
    <row r="774" spans="1:13" ht="15.5" customHeight="1" thickBot="1" x14ac:dyDescent="0.35">
      <c r="A774" s="46" t="s">
        <v>2295</v>
      </c>
      <c r="B774" s="46" t="s">
        <v>2296</v>
      </c>
      <c r="C774" s="47"/>
      <c r="D774" s="54" t="s">
        <v>2297</v>
      </c>
      <c r="E774" s="54"/>
      <c r="F774" s="54"/>
      <c r="G774" s="54"/>
      <c r="H774" s="54"/>
      <c r="I774" s="54"/>
      <c r="J774" s="54"/>
      <c r="K774" s="47"/>
      <c r="L774" s="48">
        <f>L785</f>
        <v>1355.87</v>
      </c>
      <c r="M774" s="48">
        <f>ROUND(L774,2)</f>
        <v>1355.87</v>
      </c>
    </row>
    <row r="775" spans="1:13" ht="15.5" customHeight="1" thickBot="1" x14ac:dyDescent="0.35">
      <c r="A775" s="17" t="s">
        <v>2298</v>
      </c>
      <c r="B775" s="17" t="s">
        <v>2299</v>
      </c>
      <c r="C775" s="18"/>
      <c r="D775" s="55" t="s">
        <v>2300</v>
      </c>
      <c r="E775" s="55"/>
      <c r="F775" s="55"/>
      <c r="G775" s="55"/>
      <c r="H775" s="55"/>
      <c r="I775" s="55"/>
      <c r="J775" s="55"/>
      <c r="K775" s="18"/>
      <c r="L775" s="19">
        <f>L778</f>
        <v>300</v>
      </c>
      <c r="M775" s="19">
        <f>ROUND(L775,2)</f>
        <v>300</v>
      </c>
    </row>
    <row r="776" spans="1:13" ht="15.5" customHeight="1" thickBot="1" x14ac:dyDescent="0.35">
      <c r="A776" s="10" t="s">
        <v>2301</v>
      </c>
      <c r="B776" s="5" t="s">
        <v>2302</v>
      </c>
      <c r="C776" s="5" t="s">
        <v>2303</v>
      </c>
      <c r="D776" s="52" t="s">
        <v>2304</v>
      </c>
      <c r="E776" s="52"/>
      <c r="F776" s="52"/>
      <c r="G776" s="52"/>
      <c r="H776" s="52"/>
      <c r="I776" s="52"/>
      <c r="J776" s="52"/>
      <c r="K776" s="20">
        <f>ROUND(1,2)</f>
        <v>1</v>
      </c>
      <c r="L776" s="21">
        <f>ROUND(97.087*(1+M2/100),2)</f>
        <v>100</v>
      </c>
      <c r="M776" s="21">
        <f>ROUND(K776*L776,2)</f>
        <v>100</v>
      </c>
    </row>
    <row r="777" spans="1:13" ht="15.5" customHeight="1" thickBot="1" x14ac:dyDescent="0.35">
      <c r="A777" s="10" t="s">
        <v>2305</v>
      </c>
      <c r="B777" s="5" t="s">
        <v>2306</v>
      </c>
      <c r="C777" s="5" t="s">
        <v>2307</v>
      </c>
      <c r="D777" s="52" t="s">
        <v>2308</v>
      </c>
      <c r="E777" s="52"/>
      <c r="F777" s="52"/>
      <c r="G777" s="52"/>
      <c r="H777" s="52"/>
      <c r="I777" s="52"/>
      <c r="J777" s="52"/>
      <c r="K777" s="20">
        <f>ROUND(1,2)</f>
        <v>1</v>
      </c>
      <c r="L777" s="21">
        <f>ROUND(194.175*(1+M2/100),2)</f>
        <v>200</v>
      </c>
      <c r="M777" s="21">
        <f>ROUND(K777*L777,2)</f>
        <v>200</v>
      </c>
    </row>
    <row r="778" spans="1:13" ht="15.5" customHeight="1" thickBot="1" x14ac:dyDescent="0.35">
      <c r="A778" s="22"/>
      <c r="B778" s="22"/>
      <c r="C778" s="22"/>
      <c r="D778" s="23" t="s">
        <v>2309</v>
      </c>
      <c r="E778" s="24"/>
      <c r="F778" s="24"/>
      <c r="G778" s="24"/>
      <c r="H778" s="24"/>
      <c r="I778" s="24"/>
      <c r="J778" s="24"/>
      <c r="K778" s="24"/>
      <c r="L778" s="25">
        <f>M776+M777</f>
        <v>300</v>
      </c>
      <c r="M778" s="25">
        <f>ROUND(L778,2)</f>
        <v>300</v>
      </c>
    </row>
    <row r="779" spans="1:13" ht="15.5" customHeight="1" thickBot="1" x14ac:dyDescent="0.35">
      <c r="A779" s="26" t="s">
        <v>2310</v>
      </c>
      <c r="B779" s="26" t="s">
        <v>2311</v>
      </c>
      <c r="C779" s="27"/>
      <c r="D779" s="53" t="s">
        <v>2312</v>
      </c>
      <c r="E779" s="53"/>
      <c r="F779" s="53"/>
      <c r="G779" s="53"/>
      <c r="H779" s="53"/>
      <c r="I779" s="53"/>
      <c r="J779" s="53"/>
      <c r="K779" s="27"/>
      <c r="L779" s="28">
        <f>L781</f>
        <v>262.77</v>
      </c>
      <c r="M779" s="28">
        <f>ROUND(L779,2)</f>
        <v>262.77</v>
      </c>
    </row>
    <row r="780" spans="1:13" ht="15.5" customHeight="1" thickBot="1" x14ac:dyDescent="0.35">
      <c r="A780" s="10" t="s">
        <v>2313</v>
      </c>
      <c r="B780" s="5" t="s">
        <v>2314</v>
      </c>
      <c r="C780" s="5" t="s">
        <v>2315</v>
      </c>
      <c r="D780" s="52" t="s">
        <v>2316</v>
      </c>
      <c r="E780" s="52"/>
      <c r="F780" s="52"/>
      <c r="G780" s="52"/>
      <c r="H780" s="52"/>
      <c r="I780" s="52"/>
      <c r="J780" s="52"/>
      <c r="K780" s="20">
        <f>ROUND(1,2)</f>
        <v>1</v>
      </c>
      <c r="L780" s="21">
        <f>ROUND(255.12*(1+M2/100),2)</f>
        <v>262.77</v>
      </c>
      <c r="M780" s="21">
        <f>ROUND(K780*L780,2)</f>
        <v>262.77</v>
      </c>
    </row>
    <row r="781" spans="1:13" ht="15.5" customHeight="1" thickBot="1" x14ac:dyDescent="0.35">
      <c r="A781" s="22"/>
      <c r="B781" s="22"/>
      <c r="C781" s="22"/>
      <c r="D781" s="23" t="s">
        <v>2317</v>
      </c>
      <c r="E781" s="24"/>
      <c r="F781" s="24"/>
      <c r="G781" s="24"/>
      <c r="H781" s="24"/>
      <c r="I781" s="24"/>
      <c r="J781" s="24"/>
      <c r="K781" s="24"/>
      <c r="L781" s="25">
        <f>M780</f>
        <v>262.77</v>
      </c>
      <c r="M781" s="25">
        <f>ROUND(L781,2)</f>
        <v>262.77</v>
      </c>
    </row>
    <row r="782" spans="1:13" ht="15.5" customHeight="1" thickBot="1" x14ac:dyDescent="0.35">
      <c r="A782" s="26" t="s">
        <v>2318</v>
      </c>
      <c r="B782" s="26" t="s">
        <v>2319</v>
      </c>
      <c r="C782" s="27"/>
      <c r="D782" s="53" t="s">
        <v>2320</v>
      </c>
      <c r="E782" s="53"/>
      <c r="F782" s="53"/>
      <c r="G782" s="53"/>
      <c r="H782" s="53"/>
      <c r="I782" s="53"/>
      <c r="J782" s="53"/>
      <c r="K782" s="27"/>
      <c r="L782" s="28">
        <f>L784</f>
        <v>793.1</v>
      </c>
      <c r="M782" s="28">
        <f>ROUND(L782,2)</f>
        <v>793.1</v>
      </c>
    </row>
    <row r="783" spans="1:13" ht="15.5" customHeight="1" thickBot="1" x14ac:dyDescent="0.35">
      <c r="A783" s="10" t="s">
        <v>2321</v>
      </c>
      <c r="B783" s="5" t="s">
        <v>2322</v>
      </c>
      <c r="C783" s="5" t="s">
        <v>2323</v>
      </c>
      <c r="D783" s="52" t="s">
        <v>2324</v>
      </c>
      <c r="E783" s="52"/>
      <c r="F783" s="52"/>
      <c r="G783" s="52"/>
      <c r="H783" s="52"/>
      <c r="I783" s="52"/>
      <c r="J783" s="52"/>
      <c r="K783" s="20">
        <f>ROUND(1,2)</f>
        <v>1</v>
      </c>
      <c r="L783" s="21">
        <f>ROUND(770*(1+M2/100),2)</f>
        <v>793.1</v>
      </c>
      <c r="M783" s="21">
        <f>ROUND(K783*L783,2)</f>
        <v>793.1</v>
      </c>
    </row>
    <row r="784" spans="1:13" ht="15.5" customHeight="1" thickBot="1" x14ac:dyDescent="0.35">
      <c r="A784" s="22"/>
      <c r="B784" s="22"/>
      <c r="C784" s="22"/>
      <c r="D784" s="23" t="s">
        <v>2325</v>
      </c>
      <c r="E784" s="24"/>
      <c r="F784" s="24"/>
      <c r="G784" s="24"/>
      <c r="H784" s="24"/>
      <c r="I784" s="24"/>
      <c r="J784" s="24"/>
      <c r="K784" s="24"/>
      <c r="L784" s="25">
        <f>M783</f>
        <v>793.1</v>
      </c>
      <c r="M784" s="25">
        <f>ROUND(L784,2)</f>
        <v>793.1</v>
      </c>
    </row>
    <row r="785" spans="1:13" ht="15.5" customHeight="1" thickBot="1" x14ac:dyDescent="0.35">
      <c r="A785" s="42"/>
      <c r="B785" s="42"/>
      <c r="C785" s="42"/>
      <c r="D785" s="43" t="s">
        <v>2326</v>
      </c>
      <c r="E785" s="44"/>
      <c r="F785" s="44"/>
      <c r="G785" s="44"/>
      <c r="H785" s="44"/>
      <c r="I785" s="44"/>
      <c r="J785" s="44"/>
      <c r="K785" s="44"/>
      <c r="L785" s="45">
        <f>M778+M781+M784</f>
        <v>1355.87</v>
      </c>
      <c r="M785" s="45">
        <f>ROUND(L785,2)</f>
        <v>1355.87</v>
      </c>
    </row>
    <row r="786" spans="1:13" ht="15.5" customHeight="1" thickBot="1" x14ac:dyDescent="0.35">
      <c r="A786" s="46" t="s">
        <v>2327</v>
      </c>
      <c r="B786" s="46" t="s">
        <v>2328</v>
      </c>
      <c r="C786" s="47"/>
      <c r="D786" s="54" t="s">
        <v>2329</v>
      </c>
      <c r="E786" s="54"/>
      <c r="F786" s="54"/>
      <c r="G786" s="54"/>
      <c r="H786" s="54"/>
      <c r="I786" s="54"/>
      <c r="J786" s="54"/>
      <c r="K786" s="47"/>
      <c r="L786" s="48">
        <f>L838</f>
        <v>5466.27</v>
      </c>
      <c r="M786" s="48">
        <f>ROUND(L786,2)</f>
        <v>5466.27</v>
      </c>
    </row>
    <row r="787" spans="1:13" ht="15.5" customHeight="1" thickBot="1" x14ac:dyDescent="0.35">
      <c r="A787" s="17" t="s">
        <v>2330</v>
      </c>
      <c r="B787" s="17" t="s">
        <v>2331</v>
      </c>
      <c r="C787" s="18"/>
      <c r="D787" s="55" t="s">
        <v>2332</v>
      </c>
      <c r="E787" s="55"/>
      <c r="F787" s="55"/>
      <c r="G787" s="55"/>
      <c r="H787" s="55"/>
      <c r="I787" s="55"/>
      <c r="J787" s="55"/>
      <c r="K787" s="18"/>
      <c r="L787" s="19">
        <f>L791</f>
        <v>700</v>
      </c>
      <c r="M787" s="19">
        <f>ROUND(L787,2)</f>
        <v>700</v>
      </c>
    </row>
    <row r="788" spans="1:13" ht="15.5" customHeight="1" thickBot="1" x14ac:dyDescent="0.35">
      <c r="A788" s="10" t="s">
        <v>2333</v>
      </c>
      <c r="B788" s="5" t="s">
        <v>2334</v>
      </c>
      <c r="C788" s="5" t="s">
        <v>2335</v>
      </c>
      <c r="D788" s="52" t="s">
        <v>2336</v>
      </c>
      <c r="E788" s="52"/>
      <c r="F788" s="52"/>
      <c r="G788" s="52"/>
      <c r="H788" s="52"/>
      <c r="I788" s="52"/>
      <c r="J788" s="52"/>
      <c r="K788" s="20">
        <f>ROUND(1,2)</f>
        <v>1</v>
      </c>
      <c r="L788" s="21">
        <f>ROUND(242.718*(1+M2/100),2)</f>
        <v>250</v>
      </c>
      <c r="M788" s="21">
        <f>ROUND(K788*L788,2)</f>
        <v>250</v>
      </c>
    </row>
    <row r="789" spans="1:13" ht="15.5" customHeight="1" thickBot="1" x14ac:dyDescent="0.35">
      <c r="A789" s="10" t="s">
        <v>2337</v>
      </c>
      <c r="B789" s="5" t="s">
        <v>2338</v>
      </c>
      <c r="C789" s="5" t="s">
        <v>2339</v>
      </c>
      <c r="D789" s="52" t="s">
        <v>2340</v>
      </c>
      <c r="E789" s="52"/>
      <c r="F789" s="52"/>
      <c r="G789" s="52"/>
      <c r="H789" s="52"/>
      <c r="I789" s="52"/>
      <c r="J789" s="52"/>
      <c r="K789" s="20">
        <f>ROUND(1,2)</f>
        <v>1</v>
      </c>
      <c r="L789" s="21">
        <f>ROUND(242.718*(1+M2/100),2)</f>
        <v>250</v>
      </c>
      <c r="M789" s="21">
        <f>ROUND(K789*L789,2)</f>
        <v>250</v>
      </c>
    </row>
    <row r="790" spans="1:13" ht="15.5" customHeight="1" thickBot="1" x14ac:dyDescent="0.35">
      <c r="A790" s="10" t="s">
        <v>2341</v>
      </c>
      <c r="B790" s="5" t="s">
        <v>2342</v>
      </c>
      <c r="C790" s="5" t="s">
        <v>2343</v>
      </c>
      <c r="D790" s="52" t="s">
        <v>2344</v>
      </c>
      <c r="E790" s="52"/>
      <c r="F790" s="52"/>
      <c r="G790" s="52"/>
      <c r="H790" s="52"/>
      <c r="I790" s="52"/>
      <c r="J790" s="52"/>
      <c r="K790" s="20">
        <f>ROUND(1,2)</f>
        <v>1</v>
      </c>
      <c r="L790" s="21">
        <f>ROUND(194.175*(1+M2/100),2)</f>
        <v>200</v>
      </c>
      <c r="M790" s="21">
        <f>ROUND(K790*L790,2)</f>
        <v>200</v>
      </c>
    </row>
    <row r="791" spans="1:13" ht="15.5" customHeight="1" thickBot="1" x14ac:dyDescent="0.35">
      <c r="A791" s="22"/>
      <c r="B791" s="22"/>
      <c r="C791" s="22"/>
      <c r="D791" s="23" t="s">
        <v>2345</v>
      </c>
      <c r="E791" s="24"/>
      <c r="F791" s="24"/>
      <c r="G791" s="24"/>
      <c r="H791" s="24"/>
      <c r="I791" s="24"/>
      <c r="J791" s="24"/>
      <c r="K791" s="24"/>
      <c r="L791" s="25">
        <f>M788+M789+M790</f>
        <v>700</v>
      </c>
      <c r="M791" s="25">
        <f>ROUND(L791,2)</f>
        <v>700</v>
      </c>
    </row>
    <row r="792" spans="1:13" ht="15.5" customHeight="1" thickBot="1" x14ac:dyDescent="0.35">
      <c r="A792" s="26" t="s">
        <v>2346</v>
      </c>
      <c r="B792" s="26" t="s">
        <v>2347</v>
      </c>
      <c r="C792" s="27"/>
      <c r="D792" s="53" t="s">
        <v>2348</v>
      </c>
      <c r="E792" s="53"/>
      <c r="F792" s="53"/>
      <c r="G792" s="53"/>
      <c r="H792" s="53"/>
      <c r="I792" s="53"/>
      <c r="J792" s="53"/>
      <c r="K792" s="27"/>
      <c r="L792" s="28">
        <f>L794</f>
        <v>778</v>
      </c>
      <c r="M792" s="28">
        <f>ROUND(L792,2)</f>
        <v>778</v>
      </c>
    </row>
    <row r="793" spans="1:13" ht="15.5" customHeight="1" thickBot="1" x14ac:dyDescent="0.35">
      <c r="A793" s="10" t="s">
        <v>2349</v>
      </c>
      <c r="B793" s="5" t="s">
        <v>2350</v>
      </c>
      <c r="C793" s="5" t="s">
        <v>2351</v>
      </c>
      <c r="D793" s="52" t="s">
        <v>2352</v>
      </c>
      <c r="E793" s="52"/>
      <c r="F793" s="52"/>
      <c r="G793" s="52"/>
      <c r="H793" s="52"/>
      <c r="I793" s="52"/>
      <c r="J793" s="52"/>
      <c r="K793" s="20">
        <f>ROUND(1,2)</f>
        <v>1</v>
      </c>
      <c r="L793" s="21">
        <f>ROUND(755.34*(1+M2/100),2)</f>
        <v>778</v>
      </c>
      <c r="M793" s="21">
        <f>ROUND(K793*L793,2)</f>
        <v>778</v>
      </c>
    </row>
    <row r="794" spans="1:13" ht="15.5" customHeight="1" thickBot="1" x14ac:dyDescent="0.35">
      <c r="A794" s="22"/>
      <c r="B794" s="22"/>
      <c r="C794" s="22"/>
      <c r="D794" s="23" t="s">
        <v>2353</v>
      </c>
      <c r="E794" s="24"/>
      <c r="F794" s="24"/>
      <c r="G794" s="24"/>
      <c r="H794" s="24"/>
      <c r="I794" s="24"/>
      <c r="J794" s="24"/>
      <c r="K794" s="24"/>
      <c r="L794" s="25">
        <f>M793</f>
        <v>778</v>
      </c>
      <c r="M794" s="25">
        <f>ROUND(L794,2)</f>
        <v>778</v>
      </c>
    </row>
    <row r="795" spans="1:13" ht="15.5" customHeight="1" thickBot="1" x14ac:dyDescent="0.35">
      <c r="A795" s="26" t="s">
        <v>2354</v>
      </c>
      <c r="B795" s="26" t="s">
        <v>2355</v>
      </c>
      <c r="C795" s="27"/>
      <c r="D795" s="53" t="s">
        <v>2356</v>
      </c>
      <c r="E795" s="53"/>
      <c r="F795" s="53"/>
      <c r="G795" s="53"/>
      <c r="H795" s="53"/>
      <c r="I795" s="53"/>
      <c r="J795" s="53"/>
      <c r="K795" s="27"/>
      <c r="L795" s="28">
        <f>L818</f>
        <v>1636.35</v>
      </c>
      <c r="M795" s="28">
        <f>ROUND(L795,2)</f>
        <v>1636.35</v>
      </c>
    </row>
    <row r="796" spans="1:13" ht="21.65" customHeight="1" thickBot="1" x14ac:dyDescent="0.35">
      <c r="A796" s="10" t="s">
        <v>2357</v>
      </c>
      <c r="B796" s="5" t="s">
        <v>2358</v>
      </c>
      <c r="C796" s="5" t="s">
        <v>2359</v>
      </c>
      <c r="D796" s="52" t="s">
        <v>2360</v>
      </c>
      <c r="E796" s="52"/>
      <c r="F796" s="52"/>
      <c r="G796" s="52"/>
      <c r="H796" s="52"/>
      <c r="I796" s="52"/>
      <c r="J796" s="52"/>
      <c r="K796" s="20">
        <f>ROUND(1,2)</f>
        <v>1</v>
      </c>
      <c r="L796" s="21">
        <f>ROUND(145.631*(1+M2/100),2)</f>
        <v>150</v>
      </c>
      <c r="M796" s="21">
        <f>ROUND(K796*L796,2)</f>
        <v>150</v>
      </c>
    </row>
    <row r="797" spans="1:13" ht="30.9" customHeight="1" thickBot="1" x14ac:dyDescent="0.35">
      <c r="A797" s="10" t="s">
        <v>2361</v>
      </c>
      <c r="B797" s="5" t="s">
        <v>2362</v>
      </c>
      <c r="C797" s="5" t="s">
        <v>2363</v>
      </c>
      <c r="D797" s="52" t="s">
        <v>2364</v>
      </c>
      <c r="E797" s="52"/>
      <c r="F797" s="52"/>
      <c r="G797" s="52"/>
      <c r="H797" s="52"/>
      <c r="I797" s="52"/>
      <c r="J797" s="52"/>
      <c r="K797" s="20">
        <f>SUM(K799:K801)</f>
        <v>85</v>
      </c>
      <c r="L797" s="21">
        <f>ROUND(1.08*(1+M2/100),2)</f>
        <v>1.1100000000000001</v>
      </c>
      <c r="M797" s="21">
        <f>ROUND(K797*L797,2)</f>
        <v>94.35</v>
      </c>
    </row>
    <row r="798" spans="1:13" ht="15.25" customHeight="1" thickBot="1" x14ac:dyDescent="0.35">
      <c r="A798" s="29"/>
      <c r="B798" s="29"/>
      <c r="C798" s="29"/>
      <c r="D798" s="29"/>
      <c r="E798" s="30"/>
      <c r="F798" s="32" t="s">
        <v>2365</v>
      </c>
      <c r="G798" s="32" t="s">
        <v>2366</v>
      </c>
      <c r="H798" s="32" t="s">
        <v>2367</v>
      </c>
      <c r="I798" s="32" t="s">
        <v>2368</v>
      </c>
      <c r="J798" s="32" t="s">
        <v>2369</v>
      </c>
      <c r="K798" s="32" t="s">
        <v>2370</v>
      </c>
      <c r="L798" s="29"/>
      <c r="M798" s="29"/>
    </row>
    <row r="799" spans="1:13" ht="21.65" customHeight="1" thickBot="1" x14ac:dyDescent="0.35">
      <c r="A799" s="29"/>
      <c r="B799" s="29"/>
      <c r="C799" s="29"/>
      <c r="D799" s="33"/>
      <c r="E799" s="34" t="s">
        <v>2371</v>
      </c>
      <c r="F799" s="35">
        <v>1</v>
      </c>
      <c r="G799" s="36">
        <v>50</v>
      </c>
      <c r="H799" s="36"/>
      <c r="I799" s="36"/>
      <c r="J799" s="38">
        <f>ROUND(F799*G799,3)</f>
        <v>50</v>
      </c>
      <c r="K799" s="41"/>
      <c r="L799" s="29"/>
      <c r="M799" s="29"/>
    </row>
    <row r="800" spans="1:13" ht="30.9" customHeight="1" thickBot="1" x14ac:dyDescent="0.35">
      <c r="A800" s="29"/>
      <c r="B800" s="29"/>
      <c r="C800" s="29"/>
      <c r="D800" s="33"/>
      <c r="E800" s="5" t="s">
        <v>2372</v>
      </c>
      <c r="F800" s="3">
        <v>1</v>
      </c>
      <c r="G800" s="20">
        <v>25</v>
      </c>
      <c r="H800" s="20"/>
      <c r="I800" s="20"/>
      <c r="J800" s="37">
        <f>ROUND(F800*G800,3)</f>
        <v>25</v>
      </c>
      <c r="K800" s="29"/>
      <c r="L800" s="29"/>
      <c r="M800" s="29"/>
    </row>
    <row r="801" spans="1:13" ht="15.25" customHeight="1" thickBot="1" x14ac:dyDescent="0.35">
      <c r="A801" s="29"/>
      <c r="B801" s="29"/>
      <c r="C801" s="29"/>
      <c r="D801" s="33"/>
      <c r="E801" s="5" t="s">
        <v>2373</v>
      </c>
      <c r="F801" s="3">
        <v>1</v>
      </c>
      <c r="G801" s="20">
        <v>10</v>
      </c>
      <c r="H801" s="20"/>
      <c r="I801" s="20"/>
      <c r="J801" s="37">
        <f>ROUND(F801*G801,3)</f>
        <v>10</v>
      </c>
      <c r="K801" s="39">
        <f>SUM(J799:J801)</f>
        <v>85</v>
      </c>
      <c r="L801" s="29"/>
      <c r="M801" s="29"/>
    </row>
    <row r="802" spans="1:13" ht="30.9" customHeight="1" thickBot="1" x14ac:dyDescent="0.35">
      <c r="A802" s="10" t="s">
        <v>2374</v>
      </c>
      <c r="B802" s="5" t="s">
        <v>2375</v>
      </c>
      <c r="C802" s="5" t="s">
        <v>2376</v>
      </c>
      <c r="D802" s="52" t="s">
        <v>2377</v>
      </c>
      <c r="E802" s="52"/>
      <c r="F802" s="52"/>
      <c r="G802" s="52"/>
      <c r="H802" s="52"/>
      <c r="I802" s="52"/>
      <c r="J802" s="52"/>
      <c r="K802" s="20">
        <f>SUM(K804:K807)</f>
        <v>438</v>
      </c>
      <c r="L802" s="21">
        <f>ROUND(1.25*(1+M2/100),2)</f>
        <v>1.29</v>
      </c>
      <c r="M802" s="21">
        <f>ROUND(K802*L802,2)</f>
        <v>565.02</v>
      </c>
    </row>
    <row r="803" spans="1:13" ht="15.25" customHeight="1" thickBot="1" x14ac:dyDescent="0.35">
      <c r="A803" s="29"/>
      <c r="B803" s="29"/>
      <c r="C803" s="29"/>
      <c r="D803" s="29"/>
      <c r="E803" s="30"/>
      <c r="F803" s="32" t="s">
        <v>2378</v>
      </c>
      <c r="G803" s="32" t="s">
        <v>2379</v>
      </c>
      <c r="H803" s="32" t="s">
        <v>2380</v>
      </c>
      <c r="I803" s="32" t="s">
        <v>2381</v>
      </c>
      <c r="J803" s="32" t="s">
        <v>2382</v>
      </c>
      <c r="K803" s="32" t="s">
        <v>2383</v>
      </c>
      <c r="L803" s="29"/>
      <c r="M803" s="29"/>
    </row>
    <row r="804" spans="1:13" ht="15.25" customHeight="1" thickBot="1" x14ac:dyDescent="0.35">
      <c r="A804" s="29"/>
      <c r="B804" s="29"/>
      <c r="C804" s="29"/>
      <c r="D804" s="33"/>
      <c r="E804" s="34" t="s">
        <v>2384</v>
      </c>
      <c r="F804" s="35">
        <v>3</v>
      </c>
      <c r="G804" s="36">
        <v>50</v>
      </c>
      <c r="H804" s="36"/>
      <c r="I804" s="36"/>
      <c r="J804" s="38">
        <f>ROUND(F804*G804,3)</f>
        <v>150</v>
      </c>
      <c r="K804" s="41"/>
      <c r="L804" s="29"/>
      <c r="M804" s="29"/>
    </row>
    <row r="805" spans="1:13" ht="15.25" customHeight="1" thickBot="1" x14ac:dyDescent="0.35">
      <c r="A805" s="29"/>
      <c r="B805" s="29"/>
      <c r="C805" s="29"/>
      <c r="D805" s="33"/>
      <c r="E805" s="5" t="s">
        <v>2385</v>
      </c>
      <c r="F805" s="3">
        <v>3</v>
      </c>
      <c r="G805" s="20">
        <v>40</v>
      </c>
      <c r="H805" s="20"/>
      <c r="I805" s="20"/>
      <c r="J805" s="37">
        <f>ROUND(F805*G805,3)</f>
        <v>120</v>
      </c>
      <c r="K805" s="29"/>
      <c r="L805" s="29"/>
      <c r="M805" s="29"/>
    </row>
    <row r="806" spans="1:13" ht="15.25" customHeight="1" thickBot="1" x14ac:dyDescent="0.35">
      <c r="A806" s="29"/>
      <c r="B806" s="29"/>
      <c r="C806" s="29"/>
      <c r="D806" s="33"/>
      <c r="E806" s="5" t="s">
        <v>2386</v>
      </c>
      <c r="F806" s="3">
        <v>3</v>
      </c>
      <c r="G806" s="20">
        <v>26</v>
      </c>
      <c r="H806" s="20"/>
      <c r="I806" s="20"/>
      <c r="J806" s="37">
        <f>ROUND(F806*G806,3)</f>
        <v>78</v>
      </c>
      <c r="K806" s="29"/>
      <c r="L806" s="29"/>
      <c r="M806" s="29"/>
    </row>
    <row r="807" spans="1:13" ht="15.25" customHeight="1" thickBot="1" x14ac:dyDescent="0.35">
      <c r="A807" s="29"/>
      <c r="B807" s="29"/>
      <c r="C807" s="29"/>
      <c r="D807" s="33"/>
      <c r="E807" s="5" t="s">
        <v>2387</v>
      </c>
      <c r="F807" s="3">
        <v>3</v>
      </c>
      <c r="G807" s="20">
        <v>30</v>
      </c>
      <c r="H807" s="20"/>
      <c r="I807" s="20"/>
      <c r="J807" s="37">
        <f>ROUND(F807*G807,3)</f>
        <v>90</v>
      </c>
      <c r="K807" s="39">
        <f>SUM(J804:J807)</f>
        <v>438</v>
      </c>
      <c r="L807" s="29"/>
      <c r="M807" s="29"/>
    </row>
    <row r="808" spans="1:13" ht="15.5" customHeight="1" thickBot="1" x14ac:dyDescent="0.35">
      <c r="A808" s="10" t="s">
        <v>2388</v>
      </c>
      <c r="B808" s="5" t="s">
        <v>2389</v>
      </c>
      <c r="C808" s="5" t="s">
        <v>2390</v>
      </c>
      <c r="D808" s="52" t="s">
        <v>2391</v>
      </c>
      <c r="E808" s="52"/>
      <c r="F808" s="52"/>
      <c r="G808" s="52"/>
      <c r="H808" s="52"/>
      <c r="I808" s="52"/>
      <c r="J808" s="52"/>
      <c r="K808" s="20">
        <f>SUM(K810:K816)</f>
        <v>231</v>
      </c>
      <c r="L808" s="21">
        <f>ROUND(3.48*(1+M2/100),2)</f>
        <v>3.58</v>
      </c>
      <c r="M808" s="21">
        <f>ROUND(K808*L808,2)</f>
        <v>826.98</v>
      </c>
    </row>
    <row r="809" spans="1:13" ht="15.25" customHeight="1" thickBot="1" x14ac:dyDescent="0.35">
      <c r="A809" s="29"/>
      <c r="B809" s="29"/>
      <c r="C809" s="29"/>
      <c r="D809" s="29"/>
      <c r="E809" s="30"/>
      <c r="F809" s="32" t="s">
        <v>2392</v>
      </c>
      <c r="G809" s="32" t="s">
        <v>2393</v>
      </c>
      <c r="H809" s="32" t="s">
        <v>2394</v>
      </c>
      <c r="I809" s="32" t="s">
        <v>2395</v>
      </c>
      <c r="J809" s="32" t="s">
        <v>2396</v>
      </c>
      <c r="K809" s="32" t="s">
        <v>2397</v>
      </c>
      <c r="L809" s="29"/>
      <c r="M809" s="29"/>
    </row>
    <row r="810" spans="1:13" ht="21.65" customHeight="1" thickBot="1" x14ac:dyDescent="0.35">
      <c r="A810" s="29"/>
      <c r="B810" s="29"/>
      <c r="C810" s="29"/>
      <c r="D810" s="33"/>
      <c r="E810" s="34" t="s">
        <v>2398</v>
      </c>
      <c r="F810" s="35">
        <v>1</v>
      </c>
      <c r="G810" s="36">
        <v>50</v>
      </c>
      <c r="H810" s="36"/>
      <c r="I810" s="36"/>
      <c r="J810" s="38">
        <f t="shared" ref="J810:J816" si="3">ROUND(F810*G810,3)</f>
        <v>50</v>
      </c>
      <c r="K810" s="41"/>
      <c r="L810" s="29"/>
      <c r="M810" s="29"/>
    </row>
    <row r="811" spans="1:13" ht="30.9" customHeight="1" thickBot="1" x14ac:dyDescent="0.35">
      <c r="A811" s="29"/>
      <c r="B811" s="29"/>
      <c r="C811" s="29"/>
      <c r="D811" s="33"/>
      <c r="E811" s="5" t="s">
        <v>2399</v>
      </c>
      <c r="F811" s="3">
        <v>1</v>
      </c>
      <c r="G811" s="20">
        <v>25</v>
      </c>
      <c r="H811" s="20"/>
      <c r="I811" s="20"/>
      <c r="J811" s="37">
        <f t="shared" si="3"/>
        <v>25</v>
      </c>
      <c r="K811" s="29"/>
      <c r="L811" s="29"/>
      <c r="M811" s="29"/>
    </row>
    <row r="812" spans="1:13" ht="15.25" customHeight="1" thickBot="1" x14ac:dyDescent="0.35">
      <c r="A812" s="29"/>
      <c r="B812" s="29"/>
      <c r="C812" s="29"/>
      <c r="D812" s="33"/>
      <c r="E812" s="5" t="s">
        <v>2400</v>
      </c>
      <c r="F812" s="3">
        <v>1</v>
      </c>
      <c r="G812" s="20">
        <v>10</v>
      </c>
      <c r="H812" s="20"/>
      <c r="I812" s="20"/>
      <c r="J812" s="37">
        <f t="shared" si="3"/>
        <v>10</v>
      </c>
      <c r="K812" s="29"/>
      <c r="L812" s="29"/>
      <c r="M812" s="29"/>
    </row>
    <row r="813" spans="1:13" ht="15.25" customHeight="1" thickBot="1" x14ac:dyDescent="0.35">
      <c r="A813" s="29"/>
      <c r="B813" s="29"/>
      <c r="C813" s="29"/>
      <c r="D813" s="33"/>
      <c r="E813" s="5" t="s">
        <v>2401</v>
      </c>
      <c r="F813" s="3">
        <v>1</v>
      </c>
      <c r="G813" s="20">
        <v>50</v>
      </c>
      <c r="H813" s="20"/>
      <c r="I813" s="20"/>
      <c r="J813" s="37">
        <f t="shared" si="3"/>
        <v>50</v>
      </c>
      <c r="K813" s="29"/>
      <c r="L813" s="29"/>
      <c r="M813" s="29"/>
    </row>
    <row r="814" spans="1:13" ht="15.25" customHeight="1" thickBot="1" x14ac:dyDescent="0.35">
      <c r="A814" s="29"/>
      <c r="B814" s="29"/>
      <c r="C814" s="29"/>
      <c r="D814" s="33"/>
      <c r="E814" s="5" t="s">
        <v>2402</v>
      </c>
      <c r="F814" s="3">
        <v>1</v>
      </c>
      <c r="G814" s="20">
        <v>40</v>
      </c>
      <c r="H814" s="20"/>
      <c r="I814" s="20"/>
      <c r="J814" s="37">
        <f t="shared" si="3"/>
        <v>40</v>
      </c>
      <c r="K814" s="29"/>
      <c r="L814" s="29"/>
      <c r="M814" s="29"/>
    </row>
    <row r="815" spans="1:13" ht="15.25" customHeight="1" thickBot="1" x14ac:dyDescent="0.35">
      <c r="A815" s="29"/>
      <c r="B815" s="29"/>
      <c r="C815" s="29"/>
      <c r="D815" s="33"/>
      <c r="E815" s="5" t="s">
        <v>2403</v>
      </c>
      <c r="F815" s="3">
        <v>1</v>
      </c>
      <c r="G815" s="20">
        <v>26</v>
      </c>
      <c r="H815" s="20"/>
      <c r="I815" s="20"/>
      <c r="J815" s="37">
        <f t="shared" si="3"/>
        <v>26</v>
      </c>
      <c r="K815" s="29"/>
      <c r="L815" s="29"/>
      <c r="M815" s="29"/>
    </row>
    <row r="816" spans="1:13" ht="15.25" customHeight="1" thickBot="1" x14ac:dyDescent="0.35">
      <c r="A816" s="29"/>
      <c r="B816" s="29"/>
      <c r="C816" s="29"/>
      <c r="D816" s="33"/>
      <c r="E816" s="5" t="s">
        <v>2404</v>
      </c>
      <c r="F816" s="3">
        <v>1</v>
      </c>
      <c r="G816" s="20">
        <v>30</v>
      </c>
      <c r="H816" s="20"/>
      <c r="I816" s="20"/>
      <c r="J816" s="37">
        <f t="shared" si="3"/>
        <v>30</v>
      </c>
      <c r="K816" s="39">
        <f>SUM(J810:J816)</f>
        <v>231</v>
      </c>
      <c r="L816" s="29"/>
      <c r="M816" s="29"/>
    </row>
    <row r="817" spans="1:13" ht="15.5" customHeight="1" thickBot="1" x14ac:dyDescent="0.35">
      <c r="A817" s="10" t="s">
        <v>2405</v>
      </c>
      <c r="B817" s="5" t="s">
        <v>2406</v>
      </c>
      <c r="C817" s="5" t="s">
        <v>2407</v>
      </c>
      <c r="D817" s="52" t="s">
        <v>2408</v>
      </c>
      <c r="E817" s="52"/>
      <c r="F817" s="52"/>
      <c r="G817" s="52"/>
      <c r="H817" s="52"/>
      <c r="I817" s="52"/>
      <c r="J817" s="52"/>
      <c r="K817" s="20">
        <f>ROUND(0,2)</f>
        <v>0</v>
      </c>
      <c r="L817" s="21">
        <f>ROUND(4.05*(1+M2/100),2)</f>
        <v>4.17</v>
      </c>
      <c r="M817" s="21">
        <f>ROUND(K817*L817,2)</f>
        <v>0</v>
      </c>
    </row>
    <row r="818" spans="1:13" ht="15.5" customHeight="1" thickBot="1" x14ac:dyDescent="0.35">
      <c r="A818" s="22"/>
      <c r="B818" s="22"/>
      <c r="C818" s="22"/>
      <c r="D818" s="23" t="s">
        <v>2409</v>
      </c>
      <c r="E818" s="24"/>
      <c r="F818" s="24"/>
      <c r="G818" s="24"/>
      <c r="H818" s="24"/>
      <c r="I818" s="24"/>
      <c r="J818" s="24"/>
      <c r="K818" s="24"/>
      <c r="L818" s="25">
        <f>M796+M797+M802+M808+M817</f>
        <v>1636.35</v>
      </c>
      <c r="M818" s="25">
        <f>ROUND(L818,2)</f>
        <v>1636.35</v>
      </c>
    </row>
    <row r="819" spans="1:13" ht="15.5" customHeight="1" thickBot="1" x14ac:dyDescent="0.35">
      <c r="A819" s="26" t="s">
        <v>2410</v>
      </c>
      <c r="B819" s="26" t="s">
        <v>2411</v>
      </c>
      <c r="C819" s="27"/>
      <c r="D819" s="53" t="s">
        <v>2412</v>
      </c>
      <c r="E819" s="53"/>
      <c r="F819" s="53"/>
      <c r="G819" s="53"/>
      <c r="H819" s="53"/>
      <c r="I819" s="53"/>
      <c r="J819" s="53"/>
      <c r="K819" s="27"/>
      <c r="L819" s="28">
        <f>L827</f>
        <v>1149.6599999999999</v>
      </c>
      <c r="M819" s="28">
        <f>ROUND(L819,2)</f>
        <v>1149.6600000000001</v>
      </c>
    </row>
    <row r="820" spans="1:13" ht="15.5" customHeight="1" thickBot="1" x14ac:dyDescent="0.35">
      <c r="A820" s="10" t="s">
        <v>2413</v>
      </c>
      <c r="B820" s="5" t="s">
        <v>2414</v>
      </c>
      <c r="C820" s="5" t="s">
        <v>2415</v>
      </c>
      <c r="D820" s="52" t="s">
        <v>2416</v>
      </c>
      <c r="E820" s="52"/>
      <c r="F820" s="52"/>
      <c r="G820" s="52"/>
      <c r="H820" s="52"/>
      <c r="I820" s="52"/>
      <c r="J820" s="52"/>
      <c r="K820" s="20">
        <f>ROUND(9,2)</f>
        <v>9</v>
      </c>
      <c r="L820" s="21">
        <f>ROUND(23.62*(1+M2/100),2)</f>
        <v>24.33</v>
      </c>
      <c r="M820" s="21">
        <f t="shared" ref="M820:M826" si="4">ROUND(K820*L820,2)</f>
        <v>218.97</v>
      </c>
    </row>
    <row r="821" spans="1:13" ht="15.5" customHeight="1" thickBot="1" x14ac:dyDescent="0.35">
      <c r="A821" s="10" t="s">
        <v>2417</v>
      </c>
      <c r="B821" s="5" t="s">
        <v>2418</v>
      </c>
      <c r="C821" s="5" t="s">
        <v>2419</v>
      </c>
      <c r="D821" s="52" t="s">
        <v>2420</v>
      </c>
      <c r="E821" s="52"/>
      <c r="F821" s="52"/>
      <c r="G821" s="52"/>
      <c r="H821" s="52"/>
      <c r="I821" s="52"/>
      <c r="J821" s="52"/>
      <c r="K821" s="20">
        <f>ROUND(6,2)</f>
        <v>6</v>
      </c>
      <c r="L821" s="21">
        <f>ROUND(40.83*(1+M2/100),2)</f>
        <v>42.05</v>
      </c>
      <c r="M821" s="21">
        <f t="shared" si="4"/>
        <v>252.3</v>
      </c>
    </row>
    <row r="822" spans="1:13" ht="15.5" customHeight="1" thickBot="1" x14ac:dyDescent="0.35">
      <c r="A822" s="10" t="s">
        <v>2421</v>
      </c>
      <c r="B822" s="5" t="s">
        <v>2422</v>
      </c>
      <c r="C822" s="5" t="s">
        <v>2423</v>
      </c>
      <c r="D822" s="52" t="s">
        <v>2424</v>
      </c>
      <c r="E822" s="52"/>
      <c r="F822" s="52"/>
      <c r="G822" s="52"/>
      <c r="H822" s="52"/>
      <c r="I822" s="52"/>
      <c r="J822" s="52"/>
      <c r="K822" s="20">
        <f>ROUND(1,2)</f>
        <v>1</v>
      </c>
      <c r="L822" s="21">
        <f>ROUND(58.67*(1+M2/100),2)</f>
        <v>60.43</v>
      </c>
      <c r="M822" s="21">
        <f t="shared" si="4"/>
        <v>60.43</v>
      </c>
    </row>
    <row r="823" spans="1:13" ht="15.5" customHeight="1" thickBot="1" x14ac:dyDescent="0.35">
      <c r="A823" s="10" t="s">
        <v>2425</v>
      </c>
      <c r="B823" s="5" t="s">
        <v>2426</v>
      </c>
      <c r="C823" s="5" t="s">
        <v>2427</v>
      </c>
      <c r="D823" s="52" t="s">
        <v>2428</v>
      </c>
      <c r="E823" s="52"/>
      <c r="F823" s="52"/>
      <c r="G823" s="52"/>
      <c r="H823" s="52"/>
      <c r="I823" s="52"/>
      <c r="J823" s="52"/>
      <c r="K823" s="20">
        <f>ROUND(16,2)</f>
        <v>16</v>
      </c>
      <c r="L823" s="21">
        <f>ROUND(19.08*(1+M2/100),2)</f>
        <v>19.649999999999999</v>
      </c>
      <c r="M823" s="21">
        <f t="shared" si="4"/>
        <v>314.39999999999998</v>
      </c>
    </row>
    <row r="824" spans="1:13" ht="15.5" customHeight="1" thickBot="1" x14ac:dyDescent="0.35">
      <c r="A824" s="10" t="s">
        <v>2429</v>
      </c>
      <c r="B824" s="5" t="s">
        <v>2430</v>
      </c>
      <c r="C824" s="5" t="s">
        <v>2431</v>
      </c>
      <c r="D824" s="52" t="s">
        <v>2432</v>
      </c>
      <c r="E824" s="52"/>
      <c r="F824" s="52"/>
      <c r="G824" s="52"/>
      <c r="H824" s="52"/>
      <c r="I824" s="52"/>
      <c r="J824" s="52"/>
      <c r="K824" s="20">
        <f>ROUND(6,2)</f>
        <v>6</v>
      </c>
      <c r="L824" s="21">
        <f>ROUND(22.93*(1+M2/100),2)</f>
        <v>23.62</v>
      </c>
      <c r="M824" s="21">
        <f t="shared" si="4"/>
        <v>141.72</v>
      </c>
    </row>
    <row r="825" spans="1:13" ht="25.15" customHeight="1" thickBot="1" x14ac:dyDescent="0.35">
      <c r="A825" s="10" t="s">
        <v>2433</v>
      </c>
      <c r="B825" s="5" t="s">
        <v>2434</v>
      </c>
      <c r="C825" s="5" t="s">
        <v>2435</v>
      </c>
      <c r="D825" s="52" t="s">
        <v>2436</v>
      </c>
      <c r="E825" s="52"/>
      <c r="F825" s="52"/>
      <c r="G825" s="52"/>
      <c r="H825" s="52"/>
      <c r="I825" s="52"/>
      <c r="J825" s="52"/>
      <c r="K825" s="20">
        <f>ROUND(1,2)</f>
        <v>1</v>
      </c>
      <c r="L825" s="21">
        <f>ROUND(25.69*(1+M2/100),2)</f>
        <v>26.46</v>
      </c>
      <c r="M825" s="21">
        <f t="shared" si="4"/>
        <v>26.46</v>
      </c>
    </row>
    <row r="826" spans="1:13" ht="15.5" customHeight="1" thickBot="1" x14ac:dyDescent="0.35">
      <c r="A826" s="10" t="s">
        <v>2437</v>
      </c>
      <c r="B826" s="5" t="s">
        <v>2438</v>
      </c>
      <c r="C826" s="5" t="s">
        <v>2439</v>
      </c>
      <c r="D826" s="52" t="s">
        <v>2440</v>
      </c>
      <c r="E826" s="52"/>
      <c r="F826" s="52"/>
      <c r="G826" s="52"/>
      <c r="H826" s="52"/>
      <c r="I826" s="52"/>
      <c r="J826" s="52"/>
      <c r="K826" s="20">
        <f>ROUND(7,2)</f>
        <v>7</v>
      </c>
      <c r="L826" s="21">
        <f>ROUND(18.78*(1+M2/100),2)</f>
        <v>19.34</v>
      </c>
      <c r="M826" s="21">
        <f t="shared" si="4"/>
        <v>135.38</v>
      </c>
    </row>
    <row r="827" spans="1:13" ht="15.5" customHeight="1" thickBot="1" x14ac:dyDescent="0.35">
      <c r="A827" s="22"/>
      <c r="B827" s="22"/>
      <c r="C827" s="22"/>
      <c r="D827" s="23" t="s">
        <v>2441</v>
      </c>
      <c r="E827" s="24"/>
      <c r="F827" s="24"/>
      <c r="G827" s="24"/>
      <c r="H827" s="24"/>
      <c r="I827" s="24"/>
      <c r="J827" s="24"/>
      <c r="K827" s="24"/>
      <c r="L827" s="25">
        <f>M820+M821+M822+M823+M824+M825+M826</f>
        <v>1149.6599999999999</v>
      </c>
      <c r="M827" s="25">
        <f>ROUND(L827,2)</f>
        <v>1149.6600000000001</v>
      </c>
    </row>
    <row r="828" spans="1:13" ht="15.5" customHeight="1" thickBot="1" x14ac:dyDescent="0.35">
      <c r="A828" s="26" t="s">
        <v>2442</v>
      </c>
      <c r="B828" s="26" t="s">
        <v>2443</v>
      </c>
      <c r="C828" s="27"/>
      <c r="D828" s="53" t="s">
        <v>2444</v>
      </c>
      <c r="E828" s="53"/>
      <c r="F828" s="53"/>
      <c r="G828" s="53"/>
      <c r="H828" s="53"/>
      <c r="I828" s="53"/>
      <c r="J828" s="53"/>
      <c r="K828" s="27"/>
      <c r="L828" s="28">
        <f>L834</f>
        <v>1078.6599999999999</v>
      </c>
      <c r="M828" s="28">
        <f>ROUND(L828,2)</f>
        <v>1078.6600000000001</v>
      </c>
    </row>
    <row r="829" spans="1:13" ht="15.5" customHeight="1" thickBot="1" x14ac:dyDescent="0.35">
      <c r="A829" s="10" t="s">
        <v>2445</v>
      </c>
      <c r="B829" s="5" t="s">
        <v>2446</v>
      </c>
      <c r="C829" s="5" t="s">
        <v>2447</v>
      </c>
      <c r="D829" s="52" t="s">
        <v>2448</v>
      </c>
      <c r="E829" s="52"/>
      <c r="F829" s="52"/>
      <c r="G829" s="52"/>
      <c r="H829" s="52"/>
      <c r="I829" s="52"/>
      <c r="J829" s="52"/>
      <c r="K829" s="20">
        <f>ROUND(2,2)</f>
        <v>2</v>
      </c>
      <c r="L829" s="21">
        <f>ROUND(44.59*(1+M2/100),2)</f>
        <v>45.93</v>
      </c>
      <c r="M829" s="21">
        <f>ROUND(K829*L829,2)</f>
        <v>91.86</v>
      </c>
    </row>
    <row r="830" spans="1:13" ht="15.5" customHeight="1" thickBot="1" x14ac:dyDescent="0.35">
      <c r="A830" s="10" t="s">
        <v>2449</v>
      </c>
      <c r="B830" s="5" t="s">
        <v>2450</v>
      </c>
      <c r="C830" s="5" t="s">
        <v>2451</v>
      </c>
      <c r="D830" s="52" t="s">
        <v>2452</v>
      </c>
      <c r="E830" s="52"/>
      <c r="F830" s="52"/>
      <c r="G830" s="52"/>
      <c r="H830" s="52"/>
      <c r="I830" s="52"/>
      <c r="J830" s="52"/>
      <c r="K830" s="20">
        <f>ROUND(23,2)</f>
        <v>23</v>
      </c>
      <c r="L830" s="21">
        <f>ROUND(20.48*(1+M2/100),2)</f>
        <v>21.09</v>
      </c>
      <c r="M830" s="21">
        <f>ROUND(K830*L830,2)</f>
        <v>485.07</v>
      </c>
    </row>
    <row r="831" spans="1:13" ht="15.5" customHeight="1" thickBot="1" x14ac:dyDescent="0.35">
      <c r="A831" s="10" t="s">
        <v>2453</v>
      </c>
      <c r="B831" s="5" t="s">
        <v>2454</v>
      </c>
      <c r="C831" s="5" t="s">
        <v>2455</v>
      </c>
      <c r="D831" s="52" t="s">
        <v>2456</v>
      </c>
      <c r="E831" s="52"/>
      <c r="F831" s="52"/>
      <c r="G831" s="52"/>
      <c r="H831" s="52"/>
      <c r="I831" s="52"/>
      <c r="J831" s="52"/>
      <c r="K831" s="20">
        <f>ROUND(2,2)</f>
        <v>2</v>
      </c>
      <c r="L831" s="21">
        <f>ROUND(16.88*(1+M2/100),2)</f>
        <v>17.39</v>
      </c>
      <c r="M831" s="21">
        <f>ROUND(K831*L831,2)</f>
        <v>34.78</v>
      </c>
    </row>
    <row r="832" spans="1:13" ht="15.5" customHeight="1" thickBot="1" x14ac:dyDescent="0.35">
      <c r="A832" s="10" t="s">
        <v>2457</v>
      </c>
      <c r="B832" s="5" t="s">
        <v>2458</v>
      </c>
      <c r="C832" s="5" t="s">
        <v>2459</v>
      </c>
      <c r="D832" s="52" t="s">
        <v>2460</v>
      </c>
      <c r="E832" s="52"/>
      <c r="F832" s="52"/>
      <c r="G832" s="52"/>
      <c r="H832" s="52"/>
      <c r="I832" s="52"/>
      <c r="J832" s="52"/>
      <c r="K832" s="20">
        <f>ROUND(5,2)</f>
        <v>5</v>
      </c>
      <c r="L832" s="21">
        <f>ROUND(81.28*(1+M2/100),2)</f>
        <v>83.72</v>
      </c>
      <c r="M832" s="21">
        <f>ROUND(K832*L832,2)</f>
        <v>418.6</v>
      </c>
    </row>
    <row r="833" spans="1:13" ht="15.5" customHeight="1" thickBot="1" x14ac:dyDescent="0.35">
      <c r="A833" s="10" t="s">
        <v>2461</v>
      </c>
      <c r="B833" s="5" t="s">
        <v>2462</v>
      </c>
      <c r="C833" s="5" t="s">
        <v>2463</v>
      </c>
      <c r="D833" s="52" t="s">
        <v>2464</v>
      </c>
      <c r="E833" s="52"/>
      <c r="F833" s="52"/>
      <c r="G833" s="52"/>
      <c r="H833" s="52"/>
      <c r="I833" s="52"/>
      <c r="J833" s="52"/>
      <c r="K833" s="20">
        <f>ROUND(5,2)</f>
        <v>5</v>
      </c>
      <c r="L833" s="21">
        <f>ROUND(9.39*(1+M2/100),2)</f>
        <v>9.67</v>
      </c>
      <c r="M833" s="21">
        <f>ROUND(K833*L833,2)</f>
        <v>48.35</v>
      </c>
    </row>
    <row r="834" spans="1:13" ht="15.5" customHeight="1" thickBot="1" x14ac:dyDescent="0.35">
      <c r="A834" s="22"/>
      <c r="B834" s="22"/>
      <c r="C834" s="22"/>
      <c r="D834" s="23" t="s">
        <v>2465</v>
      </c>
      <c r="E834" s="24"/>
      <c r="F834" s="24"/>
      <c r="G834" s="24"/>
      <c r="H834" s="24"/>
      <c r="I834" s="24"/>
      <c r="J834" s="24"/>
      <c r="K834" s="24"/>
      <c r="L834" s="25">
        <f>M829+M830+M831+M832+M833</f>
        <v>1078.6599999999999</v>
      </c>
      <c r="M834" s="25">
        <f>ROUND(L834,2)</f>
        <v>1078.6600000000001</v>
      </c>
    </row>
    <row r="835" spans="1:13" ht="15.5" customHeight="1" thickBot="1" x14ac:dyDescent="0.35">
      <c r="A835" s="26" t="s">
        <v>2466</v>
      </c>
      <c r="B835" s="26" t="s">
        <v>2467</v>
      </c>
      <c r="C835" s="27"/>
      <c r="D835" s="53" t="s">
        <v>2468</v>
      </c>
      <c r="E835" s="53"/>
      <c r="F835" s="53"/>
      <c r="G835" s="53"/>
      <c r="H835" s="53"/>
      <c r="I835" s="53"/>
      <c r="J835" s="53"/>
      <c r="K835" s="27"/>
      <c r="L835" s="28">
        <f>L837</f>
        <v>123.6</v>
      </c>
      <c r="M835" s="28">
        <f>ROUND(L835,2)</f>
        <v>123.6</v>
      </c>
    </row>
    <row r="836" spans="1:13" ht="15.5" customHeight="1" thickBot="1" x14ac:dyDescent="0.35">
      <c r="A836" s="10" t="s">
        <v>2469</v>
      </c>
      <c r="B836" s="5" t="s">
        <v>2470</v>
      </c>
      <c r="C836" s="5" t="s">
        <v>2471</v>
      </c>
      <c r="D836" s="52" t="s">
        <v>2472</v>
      </c>
      <c r="E836" s="52"/>
      <c r="F836" s="52"/>
      <c r="G836" s="52"/>
      <c r="H836" s="52"/>
      <c r="I836" s="52"/>
      <c r="J836" s="52"/>
      <c r="K836" s="20">
        <f>ROUND(1,2)</f>
        <v>1</v>
      </c>
      <c r="L836" s="21">
        <f>ROUND(120*(1+M2/100),2)</f>
        <v>123.6</v>
      </c>
      <c r="M836" s="21">
        <f>ROUND(K836*L836,2)</f>
        <v>123.6</v>
      </c>
    </row>
    <row r="837" spans="1:13" ht="15.5" customHeight="1" thickBot="1" x14ac:dyDescent="0.35">
      <c r="A837" s="22"/>
      <c r="B837" s="22"/>
      <c r="C837" s="22"/>
      <c r="D837" s="23" t="s">
        <v>2473</v>
      </c>
      <c r="E837" s="24"/>
      <c r="F837" s="24"/>
      <c r="G837" s="24"/>
      <c r="H837" s="24"/>
      <c r="I837" s="24"/>
      <c r="J837" s="24"/>
      <c r="K837" s="24"/>
      <c r="L837" s="25">
        <f>M836</f>
        <v>123.6</v>
      </c>
      <c r="M837" s="25">
        <f>ROUND(L837,2)</f>
        <v>123.6</v>
      </c>
    </row>
    <row r="838" spans="1:13" ht="15.5" customHeight="1" thickBot="1" x14ac:dyDescent="0.35">
      <c r="A838" s="42"/>
      <c r="B838" s="42"/>
      <c r="C838" s="42"/>
      <c r="D838" s="43" t="s">
        <v>2474</v>
      </c>
      <c r="E838" s="44"/>
      <c r="F838" s="44"/>
      <c r="G838" s="44"/>
      <c r="H838" s="44"/>
      <c r="I838" s="44"/>
      <c r="J838" s="44"/>
      <c r="K838" s="44"/>
      <c r="L838" s="45">
        <f>M791+M794+M818+M827+M834+M837</f>
        <v>5466.27</v>
      </c>
      <c r="M838" s="45">
        <f>ROUND(L838,2)</f>
        <v>5466.27</v>
      </c>
    </row>
    <row r="839" spans="1:13" ht="15.5" customHeight="1" thickBot="1" x14ac:dyDescent="0.35">
      <c r="A839" s="46" t="s">
        <v>2475</v>
      </c>
      <c r="B839" s="46" t="s">
        <v>2476</v>
      </c>
      <c r="C839" s="47"/>
      <c r="D839" s="54" t="s">
        <v>2477</v>
      </c>
      <c r="E839" s="54"/>
      <c r="F839" s="54"/>
      <c r="G839" s="54"/>
      <c r="H839" s="54"/>
      <c r="I839" s="54"/>
      <c r="J839" s="54"/>
      <c r="K839" s="47"/>
      <c r="L839" s="48">
        <f>L888</f>
        <v>7103.1900000000005</v>
      </c>
      <c r="M839" s="48">
        <f>ROUND(L839,2)</f>
        <v>7103.19</v>
      </c>
    </row>
    <row r="840" spans="1:13" ht="15.5" customHeight="1" thickBot="1" x14ac:dyDescent="0.35">
      <c r="A840" s="17" t="s">
        <v>2478</v>
      </c>
      <c r="B840" s="17" t="s">
        <v>2479</v>
      </c>
      <c r="C840" s="18"/>
      <c r="D840" s="55" t="s">
        <v>2480</v>
      </c>
      <c r="E840" s="55"/>
      <c r="F840" s="55"/>
      <c r="G840" s="55"/>
      <c r="H840" s="55"/>
      <c r="I840" s="55"/>
      <c r="J840" s="55"/>
      <c r="K840" s="18"/>
      <c r="L840" s="19">
        <f>L844</f>
        <v>950</v>
      </c>
      <c r="M840" s="19">
        <f>ROUND(L840,2)</f>
        <v>950</v>
      </c>
    </row>
    <row r="841" spans="1:13" ht="15.5" customHeight="1" thickBot="1" x14ac:dyDescent="0.35">
      <c r="A841" s="10" t="s">
        <v>2481</v>
      </c>
      <c r="B841" s="5" t="s">
        <v>2482</v>
      </c>
      <c r="C841" s="5" t="s">
        <v>2483</v>
      </c>
      <c r="D841" s="52" t="s">
        <v>2484</v>
      </c>
      <c r="E841" s="52"/>
      <c r="F841" s="52"/>
      <c r="G841" s="52"/>
      <c r="H841" s="52"/>
      <c r="I841" s="52"/>
      <c r="J841" s="52"/>
      <c r="K841" s="20">
        <f>ROUND(1,2)</f>
        <v>1</v>
      </c>
      <c r="L841" s="21">
        <f>ROUND(242.718*(1+M2/100),2)</f>
        <v>250</v>
      </c>
      <c r="M841" s="21">
        <f>ROUND(K841*L841,2)</f>
        <v>250</v>
      </c>
    </row>
    <row r="842" spans="1:13" ht="15.5" customHeight="1" thickBot="1" x14ac:dyDescent="0.35">
      <c r="A842" s="10" t="s">
        <v>2485</v>
      </c>
      <c r="B842" s="5" t="s">
        <v>2486</v>
      </c>
      <c r="C842" s="5" t="s">
        <v>2487</v>
      </c>
      <c r="D842" s="52" t="s">
        <v>2488</v>
      </c>
      <c r="E842" s="52"/>
      <c r="F842" s="52"/>
      <c r="G842" s="52"/>
      <c r="H842" s="52"/>
      <c r="I842" s="52"/>
      <c r="J842" s="52"/>
      <c r="K842" s="20">
        <f>ROUND(2,2)</f>
        <v>2</v>
      </c>
      <c r="L842" s="21">
        <f>ROUND(242.718*(1+M2/100),2)</f>
        <v>250</v>
      </c>
      <c r="M842" s="21">
        <f>ROUND(K842*L842,2)</f>
        <v>500</v>
      </c>
    </row>
    <row r="843" spans="1:13" ht="15.5" customHeight="1" thickBot="1" x14ac:dyDescent="0.35">
      <c r="A843" s="10" t="s">
        <v>2489</v>
      </c>
      <c r="B843" s="5" t="s">
        <v>2490</v>
      </c>
      <c r="C843" s="5" t="s">
        <v>2491</v>
      </c>
      <c r="D843" s="52" t="s">
        <v>2492</v>
      </c>
      <c r="E843" s="52"/>
      <c r="F843" s="52"/>
      <c r="G843" s="52"/>
      <c r="H843" s="52"/>
      <c r="I843" s="52"/>
      <c r="J843" s="52"/>
      <c r="K843" s="20">
        <f>ROUND(1,2)</f>
        <v>1</v>
      </c>
      <c r="L843" s="21">
        <f>ROUND(194.175*(1+M2/100),2)</f>
        <v>200</v>
      </c>
      <c r="M843" s="21">
        <f>ROUND(K843*L843,2)</f>
        <v>200</v>
      </c>
    </row>
    <row r="844" spans="1:13" ht="15.5" customHeight="1" thickBot="1" x14ac:dyDescent="0.35">
      <c r="A844" s="22"/>
      <c r="B844" s="22"/>
      <c r="C844" s="22"/>
      <c r="D844" s="23" t="s">
        <v>2493</v>
      </c>
      <c r="E844" s="24"/>
      <c r="F844" s="24"/>
      <c r="G844" s="24"/>
      <c r="H844" s="24"/>
      <c r="I844" s="24"/>
      <c r="J844" s="24"/>
      <c r="K844" s="24"/>
      <c r="L844" s="25">
        <f>M841+M842+M843</f>
        <v>950</v>
      </c>
      <c r="M844" s="25">
        <f>ROUND(L844,2)</f>
        <v>950</v>
      </c>
    </row>
    <row r="845" spans="1:13" ht="15.5" customHeight="1" thickBot="1" x14ac:dyDescent="0.35">
      <c r="A845" s="26" t="s">
        <v>2494</v>
      </c>
      <c r="B845" s="26" t="s">
        <v>2495</v>
      </c>
      <c r="C845" s="27"/>
      <c r="D845" s="53" t="s">
        <v>2496</v>
      </c>
      <c r="E845" s="53"/>
      <c r="F845" s="53"/>
      <c r="G845" s="53"/>
      <c r="H845" s="53"/>
      <c r="I845" s="53"/>
      <c r="J845" s="53"/>
      <c r="K845" s="27"/>
      <c r="L845" s="28">
        <f>L847</f>
        <v>1626.46</v>
      </c>
      <c r="M845" s="28">
        <f>ROUND(L845,2)</f>
        <v>1626.46</v>
      </c>
    </row>
    <row r="846" spans="1:13" ht="15.5" customHeight="1" thickBot="1" x14ac:dyDescent="0.35">
      <c r="A846" s="10" t="s">
        <v>2497</v>
      </c>
      <c r="B846" s="5" t="s">
        <v>2498</v>
      </c>
      <c r="C846" s="5" t="s">
        <v>2499</v>
      </c>
      <c r="D846" s="52" t="s">
        <v>2500</v>
      </c>
      <c r="E846" s="52"/>
      <c r="F846" s="52"/>
      <c r="G846" s="52"/>
      <c r="H846" s="52"/>
      <c r="I846" s="52"/>
      <c r="J846" s="52"/>
      <c r="K846" s="20">
        <f>ROUND(1,2)</f>
        <v>1</v>
      </c>
      <c r="L846" s="21">
        <f>ROUND(1579.09*(1+M2/100),2)</f>
        <v>1626.46</v>
      </c>
      <c r="M846" s="21">
        <f>ROUND(K846*L846,2)</f>
        <v>1626.46</v>
      </c>
    </row>
    <row r="847" spans="1:13" ht="15.5" customHeight="1" thickBot="1" x14ac:dyDescent="0.35">
      <c r="A847" s="22"/>
      <c r="B847" s="22"/>
      <c r="C847" s="22"/>
      <c r="D847" s="23" t="s">
        <v>2501</v>
      </c>
      <c r="E847" s="24"/>
      <c r="F847" s="24"/>
      <c r="G847" s="24"/>
      <c r="H847" s="24"/>
      <c r="I847" s="24"/>
      <c r="J847" s="24"/>
      <c r="K847" s="24"/>
      <c r="L847" s="25">
        <f>M846</f>
        <v>1626.46</v>
      </c>
      <c r="M847" s="25">
        <f>ROUND(L847,2)</f>
        <v>1626.46</v>
      </c>
    </row>
    <row r="848" spans="1:13" ht="15.5" customHeight="1" thickBot="1" x14ac:dyDescent="0.35">
      <c r="A848" s="26" t="s">
        <v>2502</v>
      </c>
      <c r="B848" s="26" t="s">
        <v>2503</v>
      </c>
      <c r="C848" s="27"/>
      <c r="D848" s="53" t="s">
        <v>2504</v>
      </c>
      <c r="E848" s="53"/>
      <c r="F848" s="53"/>
      <c r="G848" s="53"/>
      <c r="H848" s="53"/>
      <c r="I848" s="53"/>
      <c r="J848" s="53"/>
      <c r="K848" s="27"/>
      <c r="L848" s="28">
        <f>L862</f>
        <v>1804.5</v>
      </c>
      <c r="M848" s="28">
        <f>ROUND(L848,2)</f>
        <v>1804.5</v>
      </c>
    </row>
    <row r="849" spans="1:13" ht="21.65" customHeight="1" thickBot="1" x14ac:dyDescent="0.35">
      <c r="A849" s="10" t="s">
        <v>2505</v>
      </c>
      <c r="B849" s="5" t="s">
        <v>2506</v>
      </c>
      <c r="C849" s="5" t="s">
        <v>2507</v>
      </c>
      <c r="D849" s="52" t="s">
        <v>2508</v>
      </c>
      <c r="E849" s="52"/>
      <c r="F849" s="52"/>
      <c r="G849" s="52"/>
      <c r="H849" s="52"/>
      <c r="I849" s="52"/>
      <c r="J849" s="52"/>
      <c r="K849" s="20">
        <f>ROUND(1,2)</f>
        <v>1</v>
      </c>
      <c r="L849" s="21">
        <f>ROUND(145.631*(1+M2/100),2)</f>
        <v>150</v>
      </c>
      <c r="M849" s="21">
        <f>ROUND(K849*L849,2)</f>
        <v>150</v>
      </c>
    </row>
    <row r="850" spans="1:13" ht="30.9" customHeight="1" thickBot="1" x14ac:dyDescent="0.35">
      <c r="A850" s="10" t="s">
        <v>2509</v>
      </c>
      <c r="B850" s="5" t="s">
        <v>2510</v>
      </c>
      <c r="C850" s="5" t="s">
        <v>2511</v>
      </c>
      <c r="D850" s="52" t="s">
        <v>2512</v>
      </c>
      <c r="E850" s="52"/>
      <c r="F850" s="52"/>
      <c r="G850" s="52"/>
      <c r="H850" s="52"/>
      <c r="I850" s="52"/>
      <c r="J850" s="52"/>
      <c r="K850" s="20">
        <f>SUM(K852:K856)</f>
        <v>450</v>
      </c>
      <c r="L850" s="21">
        <f>ROUND(1.25*(1+M2/100),2)</f>
        <v>1.29</v>
      </c>
      <c r="M850" s="21">
        <f>ROUND(K850*L850,2)</f>
        <v>580.5</v>
      </c>
    </row>
    <row r="851" spans="1:13" ht="15.25" customHeight="1" thickBot="1" x14ac:dyDescent="0.35">
      <c r="A851" s="29"/>
      <c r="B851" s="29"/>
      <c r="C851" s="29"/>
      <c r="D851" s="29"/>
      <c r="E851" s="30"/>
      <c r="F851" s="32" t="s">
        <v>2513</v>
      </c>
      <c r="G851" s="32" t="s">
        <v>2514</v>
      </c>
      <c r="H851" s="32" t="s">
        <v>2515</v>
      </c>
      <c r="I851" s="32" t="s">
        <v>2516</v>
      </c>
      <c r="J851" s="32" t="s">
        <v>2517</v>
      </c>
      <c r="K851" s="32" t="s">
        <v>2518</v>
      </c>
      <c r="L851" s="29"/>
      <c r="M851" s="29"/>
    </row>
    <row r="852" spans="1:13" ht="21.65" customHeight="1" thickBot="1" x14ac:dyDescent="0.35">
      <c r="A852" s="29"/>
      <c r="B852" s="29"/>
      <c r="C852" s="29"/>
      <c r="D852" s="33"/>
      <c r="E852" s="34" t="s">
        <v>2519</v>
      </c>
      <c r="F852" s="35">
        <v>3</v>
      </c>
      <c r="G852" s="36">
        <v>35</v>
      </c>
      <c r="H852" s="36"/>
      <c r="I852" s="36"/>
      <c r="J852" s="38">
        <f>ROUND(F852*G852,3)</f>
        <v>105</v>
      </c>
      <c r="K852" s="41"/>
      <c r="L852" s="29"/>
      <c r="M852" s="29"/>
    </row>
    <row r="853" spans="1:13" ht="21.65" customHeight="1" thickBot="1" x14ac:dyDescent="0.35">
      <c r="A853" s="29"/>
      <c r="B853" s="29"/>
      <c r="C853" s="29"/>
      <c r="D853" s="33"/>
      <c r="E853" s="5" t="s">
        <v>2520</v>
      </c>
      <c r="F853" s="3">
        <v>3</v>
      </c>
      <c r="G853" s="20">
        <v>35</v>
      </c>
      <c r="H853" s="20"/>
      <c r="I853" s="20"/>
      <c r="J853" s="37">
        <f>ROUND(F853*G853,3)</f>
        <v>105</v>
      </c>
      <c r="K853" s="29"/>
      <c r="L853" s="29"/>
      <c r="M853" s="29"/>
    </row>
    <row r="854" spans="1:13" ht="21.65" customHeight="1" thickBot="1" x14ac:dyDescent="0.35">
      <c r="A854" s="29"/>
      <c r="B854" s="29"/>
      <c r="C854" s="29"/>
      <c r="D854" s="33"/>
      <c r="E854" s="5" t="s">
        <v>2521</v>
      </c>
      <c r="F854" s="3">
        <v>3</v>
      </c>
      <c r="G854" s="20">
        <v>30</v>
      </c>
      <c r="H854" s="20"/>
      <c r="I854" s="20"/>
      <c r="J854" s="37">
        <f>ROUND(F854*G854,3)</f>
        <v>90</v>
      </c>
      <c r="K854" s="29"/>
      <c r="L854" s="29"/>
      <c r="M854" s="29"/>
    </row>
    <row r="855" spans="1:13" ht="21.65" customHeight="1" thickBot="1" x14ac:dyDescent="0.35">
      <c r="A855" s="29"/>
      <c r="B855" s="29"/>
      <c r="C855" s="29"/>
      <c r="D855" s="33"/>
      <c r="E855" s="5" t="s">
        <v>2522</v>
      </c>
      <c r="F855" s="3">
        <v>3</v>
      </c>
      <c r="G855" s="20">
        <v>20</v>
      </c>
      <c r="H855" s="20"/>
      <c r="I855" s="20"/>
      <c r="J855" s="37">
        <f>ROUND(F855*G855,3)</f>
        <v>60</v>
      </c>
      <c r="K855" s="29"/>
      <c r="L855" s="29"/>
      <c r="M855" s="29"/>
    </row>
    <row r="856" spans="1:13" ht="21.65" customHeight="1" thickBot="1" x14ac:dyDescent="0.35">
      <c r="A856" s="29"/>
      <c r="B856" s="29"/>
      <c r="C856" s="29"/>
      <c r="D856" s="33"/>
      <c r="E856" s="5" t="s">
        <v>2523</v>
      </c>
      <c r="F856" s="3">
        <v>3</v>
      </c>
      <c r="G856" s="20">
        <v>30</v>
      </c>
      <c r="H856" s="20"/>
      <c r="I856" s="20"/>
      <c r="J856" s="37">
        <f>ROUND(F856*G856,3)</f>
        <v>90</v>
      </c>
      <c r="K856" s="39">
        <f>SUM(J852:J856)</f>
        <v>450</v>
      </c>
      <c r="L856" s="29"/>
      <c r="M856" s="29"/>
    </row>
    <row r="857" spans="1:13" ht="15.5" customHeight="1" thickBot="1" x14ac:dyDescent="0.35">
      <c r="A857" s="10" t="s">
        <v>2524</v>
      </c>
      <c r="B857" s="5" t="s">
        <v>2525</v>
      </c>
      <c r="C857" s="5" t="s">
        <v>2526</v>
      </c>
      <c r="D857" s="52" t="s">
        <v>2527</v>
      </c>
      <c r="E857" s="52"/>
      <c r="F857" s="52"/>
      <c r="G857" s="52"/>
      <c r="H857" s="52"/>
      <c r="I857" s="52"/>
      <c r="J857" s="52"/>
      <c r="K857" s="20">
        <f>SUM(K859:K861)</f>
        <v>300</v>
      </c>
      <c r="L857" s="21">
        <f>ROUND(3.48*(1+M2/100),2)</f>
        <v>3.58</v>
      </c>
      <c r="M857" s="21">
        <f>ROUND(K857*L857,2)</f>
        <v>1074</v>
      </c>
    </row>
    <row r="858" spans="1:13" ht="15.25" customHeight="1" thickBot="1" x14ac:dyDescent="0.35">
      <c r="A858" s="29"/>
      <c r="B858" s="29"/>
      <c r="C858" s="29"/>
      <c r="D858" s="29"/>
      <c r="E858" s="30"/>
      <c r="F858" s="32" t="s">
        <v>2528</v>
      </c>
      <c r="G858" s="32" t="s">
        <v>2529</v>
      </c>
      <c r="H858" s="32" t="s">
        <v>2530</v>
      </c>
      <c r="I858" s="32" t="s">
        <v>2531</v>
      </c>
      <c r="J858" s="32" t="s">
        <v>2532</v>
      </c>
      <c r="K858" s="32" t="s">
        <v>2533</v>
      </c>
      <c r="L858" s="29"/>
      <c r="M858" s="29"/>
    </row>
    <row r="859" spans="1:13" ht="21.65" customHeight="1" thickBot="1" x14ac:dyDescent="0.35">
      <c r="A859" s="29"/>
      <c r="B859" s="29"/>
      <c r="C859" s="29"/>
      <c r="D859" s="33"/>
      <c r="E859" s="34" t="s">
        <v>2534</v>
      </c>
      <c r="F859" s="35">
        <v>3</v>
      </c>
      <c r="G859" s="36">
        <v>35</v>
      </c>
      <c r="H859" s="36"/>
      <c r="I859" s="36"/>
      <c r="J859" s="38">
        <f>ROUND(F859*G859,3)</f>
        <v>105</v>
      </c>
      <c r="K859" s="41"/>
      <c r="L859" s="29"/>
      <c r="M859" s="29"/>
    </row>
    <row r="860" spans="1:13" ht="21.65" customHeight="1" thickBot="1" x14ac:dyDescent="0.35">
      <c r="A860" s="29"/>
      <c r="B860" s="29"/>
      <c r="C860" s="29"/>
      <c r="D860" s="33"/>
      <c r="E860" s="5" t="s">
        <v>2535</v>
      </c>
      <c r="F860" s="3">
        <v>3</v>
      </c>
      <c r="G860" s="20">
        <v>35</v>
      </c>
      <c r="H860" s="20"/>
      <c r="I860" s="20"/>
      <c r="J860" s="37">
        <f>ROUND(F860*G860,3)</f>
        <v>105</v>
      </c>
      <c r="K860" s="29"/>
      <c r="L860" s="29"/>
      <c r="M860" s="29"/>
    </row>
    <row r="861" spans="1:13" ht="21.65" customHeight="1" thickBot="1" x14ac:dyDescent="0.35">
      <c r="A861" s="29"/>
      <c r="B861" s="29"/>
      <c r="C861" s="29"/>
      <c r="D861" s="33"/>
      <c r="E861" s="5" t="s">
        <v>2536</v>
      </c>
      <c r="F861" s="3">
        <v>3</v>
      </c>
      <c r="G861" s="20">
        <v>30</v>
      </c>
      <c r="H861" s="20"/>
      <c r="I861" s="20"/>
      <c r="J861" s="37">
        <f>ROUND(F861*G861,3)</f>
        <v>90</v>
      </c>
      <c r="K861" s="39">
        <f>SUM(J859:J861)</f>
        <v>300</v>
      </c>
      <c r="L861" s="29"/>
      <c r="M861" s="29"/>
    </row>
    <row r="862" spans="1:13" ht="15.5" customHeight="1" thickBot="1" x14ac:dyDescent="0.35">
      <c r="A862" s="22"/>
      <c r="B862" s="22"/>
      <c r="C862" s="22"/>
      <c r="D862" s="23" t="s">
        <v>2537</v>
      </c>
      <c r="E862" s="24"/>
      <c r="F862" s="24"/>
      <c r="G862" s="24"/>
      <c r="H862" s="24"/>
      <c r="I862" s="24"/>
      <c r="J862" s="24"/>
      <c r="K862" s="24"/>
      <c r="L862" s="25">
        <f>M849+M850+M857</f>
        <v>1804.5</v>
      </c>
      <c r="M862" s="25">
        <f>ROUND(L862,2)</f>
        <v>1804.5</v>
      </c>
    </row>
    <row r="863" spans="1:13" ht="15.5" customHeight="1" thickBot="1" x14ac:dyDescent="0.35">
      <c r="A863" s="26" t="s">
        <v>2538</v>
      </c>
      <c r="B863" s="26" t="s">
        <v>2539</v>
      </c>
      <c r="C863" s="27"/>
      <c r="D863" s="53" t="s">
        <v>2540</v>
      </c>
      <c r="E863" s="53"/>
      <c r="F863" s="53"/>
      <c r="G863" s="53"/>
      <c r="H863" s="53"/>
      <c r="I863" s="53"/>
      <c r="J863" s="53"/>
      <c r="K863" s="27"/>
      <c r="L863" s="28">
        <f>L879</f>
        <v>976.83999999999992</v>
      </c>
      <c r="M863" s="28">
        <f>ROUND(L863,2)</f>
        <v>976.84</v>
      </c>
    </row>
    <row r="864" spans="1:13" ht="15.5" customHeight="1" thickBot="1" x14ac:dyDescent="0.35">
      <c r="A864" s="10" t="s">
        <v>2541</v>
      </c>
      <c r="B864" s="5" t="s">
        <v>2542</v>
      </c>
      <c r="C864" s="5" t="s">
        <v>2543</v>
      </c>
      <c r="D864" s="52" t="s">
        <v>2544</v>
      </c>
      <c r="E864" s="52"/>
      <c r="F864" s="52"/>
      <c r="G864" s="52"/>
      <c r="H864" s="52"/>
      <c r="I864" s="52"/>
      <c r="J864" s="52"/>
      <c r="K864" s="20">
        <f>SUM(K866:K869)</f>
        <v>9</v>
      </c>
      <c r="L864" s="21">
        <f>ROUND(23.62*(1+M2/100),2)</f>
        <v>24.33</v>
      </c>
      <c r="M864" s="21">
        <f>ROUND(K864*L864,2)</f>
        <v>218.97</v>
      </c>
    </row>
    <row r="865" spans="1:13" ht="15.25" customHeight="1" thickBot="1" x14ac:dyDescent="0.35">
      <c r="A865" s="29"/>
      <c r="B865" s="29"/>
      <c r="C865" s="29"/>
      <c r="D865" s="29"/>
      <c r="E865" s="30"/>
      <c r="F865" s="32" t="s">
        <v>2545</v>
      </c>
      <c r="G865" s="32" t="s">
        <v>2546</v>
      </c>
      <c r="H865" s="32" t="s">
        <v>2547</v>
      </c>
      <c r="I865" s="32" t="s">
        <v>2548</v>
      </c>
      <c r="J865" s="32" t="s">
        <v>2549</v>
      </c>
      <c r="K865" s="32" t="s">
        <v>2550</v>
      </c>
      <c r="L865" s="29"/>
      <c r="M865" s="29"/>
    </row>
    <row r="866" spans="1:13" ht="15.25" customHeight="1" thickBot="1" x14ac:dyDescent="0.35">
      <c r="A866" s="29"/>
      <c r="B866" s="29"/>
      <c r="C866" s="29"/>
      <c r="D866" s="33"/>
      <c r="E866" s="34" t="s">
        <v>2551</v>
      </c>
      <c r="F866" s="35">
        <v>2</v>
      </c>
      <c r="G866" s="36"/>
      <c r="H866" s="36"/>
      <c r="I866" s="36"/>
      <c r="J866" s="38">
        <f>ROUND(F866,3)</f>
        <v>2</v>
      </c>
      <c r="K866" s="41"/>
      <c r="L866" s="29"/>
      <c r="M866" s="29"/>
    </row>
    <row r="867" spans="1:13" ht="15.25" customHeight="1" thickBot="1" x14ac:dyDescent="0.35">
      <c r="A867" s="29"/>
      <c r="B867" s="29"/>
      <c r="C867" s="29"/>
      <c r="D867" s="33"/>
      <c r="E867" s="5" t="s">
        <v>2552</v>
      </c>
      <c r="F867" s="3">
        <v>4</v>
      </c>
      <c r="G867" s="20"/>
      <c r="H867" s="20"/>
      <c r="I867" s="20"/>
      <c r="J867" s="37">
        <f>ROUND(F867,3)</f>
        <v>4</v>
      </c>
      <c r="K867" s="29"/>
      <c r="L867" s="29"/>
      <c r="M867" s="29"/>
    </row>
    <row r="868" spans="1:13" ht="15.25" customHeight="1" thickBot="1" x14ac:dyDescent="0.35">
      <c r="A868" s="29"/>
      <c r="B868" s="29"/>
      <c r="C868" s="29"/>
      <c r="D868" s="33"/>
      <c r="E868" s="5" t="s">
        <v>2553</v>
      </c>
      <c r="F868" s="3">
        <v>2</v>
      </c>
      <c r="G868" s="20"/>
      <c r="H868" s="20"/>
      <c r="I868" s="20"/>
      <c r="J868" s="37">
        <f>ROUND(F868,3)</f>
        <v>2</v>
      </c>
      <c r="K868" s="29"/>
      <c r="L868" s="29"/>
      <c r="M868" s="29"/>
    </row>
    <row r="869" spans="1:13" ht="15.25" customHeight="1" thickBot="1" x14ac:dyDescent="0.35">
      <c r="A869" s="29"/>
      <c r="B869" s="29"/>
      <c r="C869" s="29"/>
      <c r="D869" s="33"/>
      <c r="E869" s="5" t="s">
        <v>2554</v>
      </c>
      <c r="F869" s="3">
        <v>1</v>
      </c>
      <c r="G869" s="20"/>
      <c r="H869" s="20"/>
      <c r="I869" s="20"/>
      <c r="J869" s="37">
        <f>ROUND(F869,3)</f>
        <v>1</v>
      </c>
      <c r="K869" s="39">
        <f>SUM(J866:J869)</f>
        <v>9</v>
      </c>
      <c r="L869" s="29"/>
      <c r="M869" s="29"/>
    </row>
    <row r="870" spans="1:13" ht="15.5" customHeight="1" thickBot="1" x14ac:dyDescent="0.35">
      <c r="A870" s="10" t="s">
        <v>2555</v>
      </c>
      <c r="B870" s="5" t="s">
        <v>2556</v>
      </c>
      <c r="C870" s="5" t="s">
        <v>2557</v>
      </c>
      <c r="D870" s="52" t="s">
        <v>2558</v>
      </c>
      <c r="E870" s="52"/>
      <c r="F870" s="52"/>
      <c r="G870" s="52"/>
      <c r="H870" s="52"/>
      <c r="I870" s="52"/>
      <c r="J870" s="52"/>
      <c r="K870" s="20">
        <f>SUM(K872:K873)</f>
        <v>4</v>
      </c>
      <c r="L870" s="21">
        <f>ROUND(40.83*(1+M2/100),2)</f>
        <v>42.05</v>
      </c>
      <c r="M870" s="21">
        <f>ROUND(K870*L870,2)</f>
        <v>168.2</v>
      </c>
    </row>
    <row r="871" spans="1:13" ht="15.25" customHeight="1" thickBot="1" x14ac:dyDescent="0.35">
      <c r="A871" s="29"/>
      <c r="B871" s="29"/>
      <c r="C871" s="29"/>
      <c r="D871" s="29"/>
      <c r="E871" s="30"/>
      <c r="F871" s="32" t="s">
        <v>2559</v>
      </c>
      <c r="G871" s="32" t="s">
        <v>2560</v>
      </c>
      <c r="H871" s="32" t="s">
        <v>2561</v>
      </c>
      <c r="I871" s="32" t="s">
        <v>2562</v>
      </c>
      <c r="J871" s="32" t="s">
        <v>2563</v>
      </c>
      <c r="K871" s="32" t="s">
        <v>2564</v>
      </c>
      <c r="L871" s="29"/>
      <c r="M871" s="29"/>
    </row>
    <row r="872" spans="1:13" ht="15.25" customHeight="1" thickBot="1" x14ac:dyDescent="0.35">
      <c r="A872" s="29"/>
      <c r="B872" s="29"/>
      <c r="C872" s="29"/>
      <c r="D872" s="33"/>
      <c r="E872" s="34" t="s">
        <v>2565</v>
      </c>
      <c r="F872" s="35">
        <v>2</v>
      </c>
      <c r="G872" s="36"/>
      <c r="H872" s="36"/>
      <c r="I872" s="36"/>
      <c r="J872" s="38">
        <f>ROUND(F872,3)</f>
        <v>2</v>
      </c>
      <c r="K872" s="41"/>
      <c r="L872" s="29"/>
      <c r="M872" s="29"/>
    </row>
    <row r="873" spans="1:13" ht="15.25" customHeight="1" thickBot="1" x14ac:dyDescent="0.35">
      <c r="A873" s="29"/>
      <c r="B873" s="29"/>
      <c r="C873" s="29"/>
      <c r="D873" s="33"/>
      <c r="E873" s="5" t="s">
        <v>2566</v>
      </c>
      <c r="F873" s="3">
        <v>2</v>
      </c>
      <c r="G873" s="20"/>
      <c r="H873" s="20"/>
      <c r="I873" s="20"/>
      <c r="J873" s="37">
        <f>ROUND(F873,3)</f>
        <v>2</v>
      </c>
      <c r="K873" s="39">
        <f>SUM(J872:J873)</f>
        <v>4</v>
      </c>
      <c r="L873" s="29"/>
      <c r="M873" s="29"/>
    </row>
    <row r="874" spans="1:13" ht="15.5" customHeight="1" thickBot="1" x14ac:dyDescent="0.35">
      <c r="A874" s="10" t="s">
        <v>2567</v>
      </c>
      <c r="B874" s="5" t="s">
        <v>2568</v>
      </c>
      <c r="C874" s="5" t="s">
        <v>2569</v>
      </c>
      <c r="D874" s="52" t="s">
        <v>2570</v>
      </c>
      <c r="E874" s="52"/>
      <c r="F874" s="52"/>
      <c r="G874" s="52"/>
      <c r="H874" s="52"/>
      <c r="I874" s="52"/>
      <c r="J874" s="52"/>
      <c r="K874" s="20">
        <f>SUM(K876:K876)</f>
        <v>2</v>
      </c>
      <c r="L874" s="21">
        <f>ROUND(58.67*(1+M2/100),2)</f>
        <v>60.43</v>
      </c>
      <c r="M874" s="21">
        <f>ROUND(K874*L874,2)</f>
        <v>120.86</v>
      </c>
    </row>
    <row r="875" spans="1:13" ht="15.25" customHeight="1" thickBot="1" x14ac:dyDescent="0.35">
      <c r="A875" s="29"/>
      <c r="B875" s="29"/>
      <c r="C875" s="29"/>
      <c r="D875" s="29"/>
      <c r="E875" s="30"/>
      <c r="F875" s="32" t="s">
        <v>2571</v>
      </c>
      <c r="G875" s="32" t="s">
        <v>2572</v>
      </c>
      <c r="H875" s="32" t="s">
        <v>2573</v>
      </c>
      <c r="I875" s="32" t="s">
        <v>2574</v>
      </c>
      <c r="J875" s="32" t="s">
        <v>2575</v>
      </c>
      <c r="K875" s="32" t="s">
        <v>2576</v>
      </c>
      <c r="L875" s="29"/>
      <c r="M875" s="29"/>
    </row>
    <row r="876" spans="1:13" ht="15.25" customHeight="1" thickBot="1" x14ac:dyDescent="0.35">
      <c r="A876" s="29"/>
      <c r="B876" s="29"/>
      <c r="C876" s="29"/>
      <c r="D876" s="33"/>
      <c r="E876" s="34" t="s">
        <v>2577</v>
      </c>
      <c r="F876" s="35">
        <v>2</v>
      </c>
      <c r="G876" s="36"/>
      <c r="H876" s="36"/>
      <c r="I876" s="36"/>
      <c r="J876" s="38">
        <f>ROUND(F876,3)</f>
        <v>2</v>
      </c>
      <c r="K876" s="40">
        <f>SUM(J876:J876)</f>
        <v>2</v>
      </c>
      <c r="L876" s="29"/>
      <c r="M876" s="29"/>
    </row>
    <row r="877" spans="1:13" ht="15.5" customHeight="1" thickBot="1" x14ac:dyDescent="0.35">
      <c r="A877" s="10" t="s">
        <v>2578</v>
      </c>
      <c r="B877" s="5" t="s">
        <v>2579</v>
      </c>
      <c r="C877" s="5" t="s">
        <v>2580</v>
      </c>
      <c r="D877" s="52" t="s">
        <v>2581</v>
      </c>
      <c r="E877" s="52"/>
      <c r="F877" s="52"/>
      <c r="G877" s="52"/>
      <c r="H877" s="52"/>
      <c r="I877" s="52"/>
      <c r="J877" s="52"/>
      <c r="K877" s="20">
        <f>ROUND(15,2)</f>
        <v>15</v>
      </c>
      <c r="L877" s="21">
        <f>ROUND(19.08*(1+M2/100),2)</f>
        <v>19.649999999999999</v>
      </c>
      <c r="M877" s="21">
        <f>ROUND(K877*L877,2)</f>
        <v>294.75</v>
      </c>
    </row>
    <row r="878" spans="1:13" ht="15.5" customHeight="1" thickBot="1" x14ac:dyDescent="0.35">
      <c r="A878" s="10" t="s">
        <v>2582</v>
      </c>
      <c r="B878" s="5" t="s">
        <v>2583</v>
      </c>
      <c r="C878" s="5" t="s">
        <v>2584</v>
      </c>
      <c r="D878" s="52" t="s">
        <v>2585</v>
      </c>
      <c r="E878" s="52"/>
      <c r="F878" s="52"/>
      <c r="G878" s="52"/>
      <c r="H878" s="52"/>
      <c r="I878" s="52"/>
      <c r="J878" s="52"/>
      <c r="K878" s="20">
        <f>ROUND(9,2)</f>
        <v>9</v>
      </c>
      <c r="L878" s="21">
        <f>ROUND(18.78*(1+M2/100),2)</f>
        <v>19.34</v>
      </c>
      <c r="M878" s="21">
        <f>ROUND(K878*L878,2)</f>
        <v>174.06</v>
      </c>
    </row>
    <row r="879" spans="1:13" ht="15.5" customHeight="1" thickBot="1" x14ac:dyDescent="0.35">
      <c r="A879" s="22"/>
      <c r="B879" s="22"/>
      <c r="C879" s="22"/>
      <c r="D879" s="23" t="s">
        <v>2586</v>
      </c>
      <c r="E879" s="24"/>
      <c r="F879" s="24"/>
      <c r="G879" s="24"/>
      <c r="H879" s="24"/>
      <c r="I879" s="24"/>
      <c r="J879" s="24"/>
      <c r="K879" s="24"/>
      <c r="L879" s="25">
        <f>M864+M870+M874+M877+M878</f>
        <v>976.83999999999992</v>
      </c>
      <c r="M879" s="25">
        <f>ROUND(L879,2)</f>
        <v>976.84</v>
      </c>
    </row>
    <row r="880" spans="1:13" ht="15.5" customHeight="1" thickBot="1" x14ac:dyDescent="0.35">
      <c r="A880" s="26" t="s">
        <v>2587</v>
      </c>
      <c r="B880" s="26" t="s">
        <v>2588</v>
      </c>
      <c r="C880" s="27"/>
      <c r="D880" s="53" t="s">
        <v>2589</v>
      </c>
      <c r="E880" s="53"/>
      <c r="F880" s="53"/>
      <c r="G880" s="53"/>
      <c r="H880" s="53"/>
      <c r="I880" s="53"/>
      <c r="J880" s="53"/>
      <c r="K880" s="27"/>
      <c r="L880" s="28">
        <f>L884</f>
        <v>1621.79</v>
      </c>
      <c r="M880" s="28">
        <f>ROUND(L880,2)</f>
        <v>1621.79</v>
      </c>
    </row>
    <row r="881" spans="1:13" ht="15.5" customHeight="1" thickBot="1" x14ac:dyDescent="0.35">
      <c r="A881" s="10" t="s">
        <v>2590</v>
      </c>
      <c r="B881" s="5" t="s">
        <v>2591</v>
      </c>
      <c r="C881" s="5" t="s">
        <v>2592</v>
      </c>
      <c r="D881" s="52" t="s">
        <v>2593</v>
      </c>
      <c r="E881" s="52"/>
      <c r="F881" s="52"/>
      <c r="G881" s="52"/>
      <c r="H881" s="52"/>
      <c r="I881" s="52"/>
      <c r="J881" s="52"/>
      <c r="K881" s="20">
        <f>ROUND(9,2)</f>
        <v>9</v>
      </c>
      <c r="L881" s="21">
        <f>ROUND(44.59*(1+M2/100),2)</f>
        <v>45.93</v>
      </c>
      <c r="M881" s="21">
        <f>ROUND(K881*L881,2)</f>
        <v>413.37</v>
      </c>
    </row>
    <row r="882" spans="1:13" ht="15.5" customHeight="1" thickBot="1" x14ac:dyDescent="0.35">
      <c r="A882" s="10" t="s">
        <v>2594</v>
      </c>
      <c r="B882" s="5" t="s">
        <v>2595</v>
      </c>
      <c r="C882" s="5" t="s">
        <v>2596</v>
      </c>
      <c r="D882" s="52" t="s">
        <v>2597</v>
      </c>
      <c r="E882" s="52"/>
      <c r="F882" s="52"/>
      <c r="G882" s="52"/>
      <c r="H882" s="52"/>
      <c r="I882" s="52"/>
      <c r="J882" s="52"/>
      <c r="K882" s="20">
        <f>ROUND(54,2)</f>
        <v>54</v>
      </c>
      <c r="L882" s="21">
        <f>ROUND(20.48*(1+M2/100),2)</f>
        <v>21.09</v>
      </c>
      <c r="M882" s="21">
        <f>ROUND(K882*L882,2)</f>
        <v>1138.8599999999999</v>
      </c>
    </row>
    <row r="883" spans="1:13" ht="15.5" customHeight="1" thickBot="1" x14ac:dyDescent="0.35">
      <c r="A883" s="10" t="s">
        <v>2598</v>
      </c>
      <c r="B883" s="5" t="s">
        <v>2599</v>
      </c>
      <c r="C883" s="5" t="s">
        <v>2600</v>
      </c>
      <c r="D883" s="52" t="s">
        <v>2601</v>
      </c>
      <c r="E883" s="52"/>
      <c r="F883" s="52"/>
      <c r="G883" s="52"/>
      <c r="H883" s="52"/>
      <c r="I883" s="52"/>
      <c r="J883" s="52"/>
      <c r="K883" s="20">
        <f>ROUND(4,2)</f>
        <v>4</v>
      </c>
      <c r="L883" s="21">
        <f>ROUND(16.88*(1+M2/100),2)</f>
        <v>17.39</v>
      </c>
      <c r="M883" s="21">
        <f>ROUND(K883*L883,2)</f>
        <v>69.56</v>
      </c>
    </row>
    <row r="884" spans="1:13" ht="15.5" customHeight="1" thickBot="1" x14ac:dyDescent="0.35">
      <c r="A884" s="22"/>
      <c r="B884" s="22"/>
      <c r="C884" s="22"/>
      <c r="D884" s="23" t="s">
        <v>2602</v>
      </c>
      <c r="E884" s="24"/>
      <c r="F884" s="24"/>
      <c r="G884" s="24"/>
      <c r="H884" s="24"/>
      <c r="I884" s="24"/>
      <c r="J884" s="24"/>
      <c r="K884" s="24"/>
      <c r="L884" s="25">
        <f>M881+M882+M883</f>
        <v>1621.79</v>
      </c>
      <c r="M884" s="25">
        <f>ROUND(L884,2)</f>
        <v>1621.79</v>
      </c>
    </row>
    <row r="885" spans="1:13" ht="15.5" customHeight="1" thickBot="1" x14ac:dyDescent="0.35">
      <c r="A885" s="26" t="s">
        <v>2603</v>
      </c>
      <c r="B885" s="26" t="s">
        <v>2604</v>
      </c>
      <c r="C885" s="27"/>
      <c r="D885" s="53" t="s">
        <v>2605</v>
      </c>
      <c r="E885" s="53"/>
      <c r="F885" s="53"/>
      <c r="G885" s="53"/>
      <c r="H885" s="53"/>
      <c r="I885" s="53"/>
      <c r="J885" s="53"/>
      <c r="K885" s="27"/>
      <c r="L885" s="28">
        <f>L887</f>
        <v>123.6</v>
      </c>
      <c r="M885" s="28">
        <f>ROUND(L885,2)</f>
        <v>123.6</v>
      </c>
    </row>
    <row r="886" spans="1:13" ht="15.5" customHeight="1" thickBot="1" x14ac:dyDescent="0.35">
      <c r="A886" s="10" t="s">
        <v>2606</v>
      </c>
      <c r="B886" s="5" t="s">
        <v>2607</v>
      </c>
      <c r="C886" s="5" t="s">
        <v>2608</v>
      </c>
      <c r="D886" s="52" t="s">
        <v>2609</v>
      </c>
      <c r="E886" s="52"/>
      <c r="F886" s="52"/>
      <c r="G886" s="52"/>
      <c r="H886" s="52"/>
      <c r="I886" s="52"/>
      <c r="J886" s="52"/>
      <c r="K886" s="20">
        <f>ROUND(1,2)</f>
        <v>1</v>
      </c>
      <c r="L886" s="21">
        <f>ROUND(120*(1+M2/100),2)</f>
        <v>123.6</v>
      </c>
      <c r="M886" s="21">
        <f>ROUND(K886*L886,2)</f>
        <v>123.6</v>
      </c>
    </row>
    <row r="887" spans="1:13" ht="15.5" customHeight="1" thickBot="1" x14ac:dyDescent="0.35">
      <c r="A887" s="22"/>
      <c r="B887" s="22"/>
      <c r="C887" s="22"/>
      <c r="D887" s="23" t="s">
        <v>2610</v>
      </c>
      <c r="E887" s="24"/>
      <c r="F887" s="24"/>
      <c r="G887" s="24"/>
      <c r="H887" s="24"/>
      <c r="I887" s="24"/>
      <c r="J887" s="24"/>
      <c r="K887" s="24"/>
      <c r="L887" s="25">
        <f>M886</f>
        <v>123.6</v>
      </c>
      <c r="M887" s="25">
        <f>ROUND(L887,2)</f>
        <v>123.6</v>
      </c>
    </row>
    <row r="888" spans="1:13" ht="15.5" customHeight="1" thickBot="1" x14ac:dyDescent="0.35">
      <c r="A888" s="42"/>
      <c r="B888" s="42"/>
      <c r="C888" s="42"/>
      <c r="D888" s="43" t="s">
        <v>2611</v>
      </c>
      <c r="E888" s="44"/>
      <c r="F888" s="44"/>
      <c r="G888" s="44"/>
      <c r="H888" s="44"/>
      <c r="I888" s="44"/>
      <c r="J888" s="44"/>
      <c r="K888" s="44"/>
      <c r="L888" s="45">
        <f>M844+M847+M862+M879+M884+M887</f>
        <v>7103.1900000000005</v>
      </c>
      <c r="M888" s="45">
        <f>ROUND(L888,2)</f>
        <v>7103.19</v>
      </c>
    </row>
    <row r="889" spans="1:13" ht="15.5" customHeight="1" thickBot="1" x14ac:dyDescent="0.35">
      <c r="A889" s="42"/>
      <c r="B889" s="42"/>
      <c r="C889" s="42"/>
      <c r="D889" s="49" t="s">
        <v>2612</v>
      </c>
      <c r="E889" s="50"/>
      <c r="F889" s="50"/>
      <c r="G889" s="50"/>
      <c r="H889" s="50"/>
      <c r="I889" s="50"/>
      <c r="J889" s="50"/>
      <c r="K889" s="50"/>
      <c r="L889" s="51">
        <f>M49+M84+M117+M163+M196+M220+M248+M280+M323+M364+M416+M445+M477+M526+M573+M628+M673+M698+M732+M773+M785+M838+M888</f>
        <v>74235.23</v>
      </c>
      <c r="M889" s="51">
        <f>ROUND(L889,2)</f>
        <v>74235.23</v>
      </c>
    </row>
  </sheetData>
  <mergeCells count="489">
    <mergeCell ref="B1:M1"/>
    <mergeCell ref="A2:C2"/>
    <mergeCell ref="D4:J4"/>
    <mergeCell ref="D5:J5"/>
    <mergeCell ref="D6:J6"/>
    <mergeCell ref="D7:J7"/>
    <mergeCell ref="D8:J8"/>
    <mergeCell ref="D9:J9"/>
    <mergeCell ref="D11:J11"/>
    <mergeCell ref="D12:J12"/>
    <mergeCell ref="D13:J13"/>
    <mergeCell ref="D15:J15"/>
    <mergeCell ref="D16:J16"/>
    <mergeCell ref="D17:J17"/>
    <mergeCell ref="D20:J20"/>
    <mergeCell ref="D26:J26"/>
    <mergeCell ref="D30:J30"/>
    <mergeCell ref="D32:J32"/>
    <mergeCell ref="D33:J33"/>
    <mergeCell ref="D37:J37"/>
    <mergeCell ref="D42:J42"/>
    <mergeCell ref="D43:J43"/>
    <mergeCell ref="D44:J44"/>
    <mergeCell ref="D46:J46"/>
    <mergeCell ref="D47:J47"/>
    <mergeCell ref="D50:J50"/>
    <mergeCell ref="D51:J51"/>
    <mergeCell ref="D52:J52"/>
    <mergeCell ref="D53:J53"/>
    <mergeCell ref="D54:J54"/>
    <mergeCell ref="D56:J56"/>
    <mergeCell ref="D57:J57"/>
    <mergeCell ref="D59:J59"/>
    <mergeCell ref="D60:J60"/>
    <mergeCell ref="D64:J64"/>
    <mergeCell ref="D65:J65"/>
    <mergeCell ref="D67:J67"/>
    <mergeCell ref="D68:J68"/>
    <mergeCell ref="D72:J72"/>
    <mergeCell ref="D75:J75"/>
    <mergeCell ref="D77:J77"/>
    <mergeCell ref="D78:J78"/>
    <mergeCell ref="D79:J79"/>
    <mergeCell ref="D81:J81"/>
    <mergeCell ref="D82:J82"/>
    <mergeCell ref="D85:J85"/>
    <mergeCell ref="D86:J86"/>
    <mergeCell ref="D87:J87"/>
    <mergeCell ref="D88:J88"/>
    <mergeCell ref="D89:J89"/>
    <mergeCell ref="D91:J91"/>
    <mergeCell ref="D92:J92"/>
    <mergeCell ref="D94:J94"/>
    <mergeCell ref="D95:J95"/>
    <mergeCell ref="D96:J96"/>
    <mergeCell ref="D99:J99"/>
    <mergeCell ref="D101:J101"/>
    <mergeCell ref="D102:J102"/>
    <mergeCell ref="D106:J106"/>
    <mergeCell ref="D109:J109"/>
    <mergeCell ref="D111:J111"/>
    <mergeCell ref="D112:J112"/>
    <mergeCell ref="D114:J114"/>
    <mergeCell ref="D115:J115"/>
    <mergeCell ref="D118:J118"/>
    <mergeCell ref="D119:J119"/>
    <mergeCell ref="D120:J120"/>
    <mergeCell ref="D121:J121"/>
    <mergeCell ref="D122:J122"/>
    <mergeCell ref="D124:J124"/>
    <mergeCell ref="D125:J125"/>
    <mergeCell ref="D127:J127"/>
    <mergeCell ref="D128:J128"/>
    <mergeCell ref="D129:J129"/>
    <mergeCell ref="D134:J134"/>
    <mergeCell ref="D138:J138"/>
    <mergeCell ref="D143:J143"/>
    <mergeCell ref="D144:J144"/>
    <mergeCell ref="D147:J147"/>
    <mergeCell ref="D152:J152"/>
    <mergeCell ref="D154:J154"/>
    <mergeCell ref="D155:J155"/>
    <mergeCell ref="D156:J156"/>
    <mergeCell ref="D157:J157"/>
    <mergeCell ref="D158:J158"/>
    <mergeCell ref="D160:J160"/>
    <mergeCell ref="D161:J161"/>
    <mergeCell ref="D164:J164"/>
    <mergeCell ref="D165:J165"/>
    <mergeCell ref="D166:J166"/>
    <mergeCell ref="D167:J167"/>
    <mergeCell ref="D168:J168"/>
    <mergeCell ref="D170:J170"/>
    <mergeCell ref="D171:J171"/>
    <mergeCell ref="D173:J173"/>
    <mergeCell ref="D174:J174"/>
    <mergeCell ref="D177:J177"/>
    <mergeCell ref="D180:J180"/>
    <mergeCell ref="D185:J185"/>
    <mergeCell ref="D186:J186"/>
    <mergeCell ref="D187:J187"/>
    <mergeCell ref="D189:J189"/>
    <mergeCell ref="D190:J190"/>
    <mergeCell ref="D191:J191"/>
    <mergeCell ref="D193:J193"/>
    <mergeCell ref="D194:J194"/>
    <mergeCell ref="D197:J197"/>
    <mergeCell ref="D198:J198"/>
    <mergeCell ref="D199:J199"/>
    <mergeCell ref="D200:J200"/>
    <mergeCell ref="D202:J202"/>
    <mergeCell ref="D203:J203"/>
    <mergeCell ref="D204:J204"/>
    <mergeCell ref="D205:J205"/>
    <mergeCell ref="D206:J206"/>
    <mergeCell ref="D208:J208"/>
    <mergeCell ref="D209:J209"/>
    <mergeCell ref="D211:J211"/>
    <mergeCell ref="D212:J212"/>
    <mergeCell ref="D213:J213"/>
    <mergeCell ref="D214:J214"/>
    <mergeCell ref="D215:J215"/>
    <mergeCell ref="D217:J217"/>
    <mergeCell ref="D218:J218"/>
    <mergeCell ref="D221:J221"/>
    <mergeCell ref="D222:J222"/>
    <mergeCell ref="D223:J223"/>
    <mergeCell ref="D224:J224"/>
    <mergeCell ref="D226:J226"/>
    <mergeCell ref="D227:J227"/>
    <mergeCell ref="D229:J229"/>
    <mergeCell ref="D230:J230"/>
    <mergeCell ref="D231:J231"/>
    <mergeCell ref="D233:J233"/>
    <mergeCell ref="D234:J234"/>
    <mergeCell ref="D235:J235"/>
    <mergeCell ref="D236:J236"/>
    <mergeCell ref="D237:J237"/>
    <mergeCell ref="D238:J238"/>
    <mergeCell ref="D239:J239"/>
    <mergeCell ref="D241:J241"/>
    <mergeCell ref="D242:J242"/>
    <mergeCell ref="D243:J243"/>
    <mergeCell ref="D245:J245"/>
    <mergeCell ref="D246:J246"/>
    <mergeCell ref="D249:J249"/>
    <mergeCell ref="D250:J250"/>
    <mergeCell ref="D251:J251"/>
    <mergeCell ref="D252:J252"/>
    <mergeCell ref="D254:J254"/>
    <mergeCell ref="D255:J255"/>
    <mergeCell ref="D256:J256"/>
    <mergeCell ref="D258:J258"/>
    <mergeCell ref="D259:J259"/>
    <mergeCell ref="D262:J262"/>
    <mergeCell ref="D265:J265"/>
    <mergeCell ref="D266:J266"/>
    <mergeCell ref="D268:J268"/>
    <mergeCell ref="D269:J269"/>
    <mergeCell ref="D270:J270"/>
    <mergeCell ref="D272:J272"/>
    <mergeCell ref="D273:J273"/>
    <mergeCell ref="D274:J274"/>
    <mergeCell ref="D275:J275"/>
    <mergeCell ref="D277:J277"/>
    <mergeCell ref="D278:J278"/>
    <mergeCell ref="D281:J281"/>
    <mergeCell ref="D282:J282"/>
    <mergeCell ref="D283:J283"/>
    <mergeCell ref="D284:J284"/>
    <mergeCell ref="D285:J285"/>
    <mergeCell ref="D287:J287"/>
    <mergeCell ref="D288:J288"/>
    <mergeCell ref="D290:J290"/>
    <mergeCell ref="D291:J291"/>
    <mergeCell ref="D292:J292"/>
    <mergeCell ref="D295:J295"/>
    <mergeCell ref="D298:J298"/>
    <mergeCell ref="D302:J302"/>
    <mergeCell ref="D304:J304"/>
    <mergeCell ref="D305:J305"/>
    <mergeCell ref="D306:J306"/>
    <mergeCell ref="D307:J307"/>
    <mergeCell ref="D308:J308"/>
    <mergeCell ref="D309:J309"/>
    <mergeCell ref="D310:J310"/>
    <mergeCell ref="D311:J311"/>
    <mergeCell ref="D312:J312"/>
    <mergeCell ref="D314:J314"/>
    <mergeCell ref="D315:J315"/>
    <mergeCell ref="D316:J316"/>
    <mergeCell ref="D317:J317"/>
    <mergeCell ref="D318:J318"/>
    <mergeCell ref="D320:J320"/>
    <mergeCell ref="D321:J321"/>
    <mergeCell ref="D324:J324"/>
    <mergeCell ref="D325:J325"/>
    <mergeCell ref="D326:J326"/>
    <mergeCell ref="D327:J327"/>
    <mergeCell ref="D328:J328"/>
    <mergeCell ref="D330:J330"/>
    <mergeCell ref="D331:J331"/>
    <mergeCell ref="D333:J333"/>
    <mergeCell ref="D334:J334"/>
    <mergeCell ref="D335:J335"/>
    <mergeCell ref="D338:J338"/>
    <mergeCell ref="D341:J341"/>
    <mergeCell ref="D346:J346"/>
    <mergeCell ref="D347:J347"/>
    <mergeCell ref="D348:J348"/>
    <mergeCell ref="D349:J349"/>
    <mergeCell ref="D350:J350"/>
    <mergeCell ref="D351:J351"/>
    <mergeCell ref="D353:J353"/>
    <mergeCell ref="D354:J354"/>
    <mergeCell ref="D358:J358"/>
    <mergeCell ref="D359:J359"/>
    <mergeCell ref="D361:J361"/>
    <mergeCell ref="D362:J362"/>
    <mergeCell ref="D365:J365"/>
    <mergeCell ref="D366:J366"/>
    <mergeCell ref="D367:J367"/>
    <mergeCell ref="D368:J368"/>
    <mergeCell ref="D369:J369"/>
    <mergeCell ref="D371:J371"/>
    <mergeCell ref="D372:J372"/>
    <mergeCell ref="D373:J373"/>
    <mergeCell ref="D374:J374"/>
    <mergeCell ref="D375:J375"/>
    <mergeCell ref="D376:J376"/>
    <mergeCell ref="D378:J378"/>
    <mergeCell ref="D379:J379"/>
    <mergeCell ref="D382:J382"/>
    <mergeCell ref="D383:J383"/>
    <mergeCell ref="D387:J387"/>
    <mergeCell ref="D390:J390"/>
    <mergeCell ref="D391:J391"/>
    <mergeCell ref="D393:J393"/>
    <mergeCell ref="D394:J394"/>
    <mergeCell ref="D397:J397"/>
    <mergeCell ref="D399:J399"/>
    <mergeCell ref="D400:J400"/>
    <mergeCell ref="D403:J403"/>
    <mergeCell ref="D409:J409"/>
    <mergeCell ref="D413:J413"/>
    <mergeCell ref="D414:J414"/>
    <mergeCell ref="D417:J417"/>
    <mergeCell ref="D418:J418"/>
    <mergeCell ref="D419:J419"/>
    <mergeCell ref="D420:J420"/>
    <mergeCell ref="D422:J422"/>
    <mergeCell ref="D423:J423"/>
    <mergeCell ref="D425:J425"/>
    <mergeCell ref="D426:J426"/>
    <mergeCell ref="D429:J429"/>
    <mergeCell ref="D431:J431"/>
    <mergeCell ref="D432:J432"/>
    <mergeCell ref="D435:J435"/>
    <mergeCell ref="D437:J437"/>
    <mergeCell ref="D438:J438"/>
    <mergeCell ref="D439:J439"/>
    <mergeCell ref="D440:J440"/>
    <mergeCell ref="D442:J442"/>
    <mergeCell ref="D443:J443"/>
    <mergeCell ref="D446:J446"/>
    <mergeCell ref="D447:J447"/>
    <mergeCell ref="D448:J448"/>
    <mergeCell ref="D449:J449"/>
    <mergeCell ref="D451:J451"/>
    <mergeCell ref="D452:J452"/>
    <mergeCell ref="D453:J453"/>
    <mergeCell ref="D455:J455"/>
    <mergeCell ref="D456:J456"/>
    <mergeCell ref="D459:J459"/>
    <mergeCell ref="D462:J462"/>
    <mergeCell ref="D463:J463"/>
    <mergeCell ref="D466:J466"/>
    <mergeCell ref="D469:J469"/>
    <mergeCell ref="D471:J471"/>
    <mergeCell ref="D472:J472"/>
    <mergeCell ref="D474:J474"/>
    <mergeCell ref="D475:J475"/>
    <mergeCell ref="D478:J478"/>
    <mergeCell ref="D479:J479"/>
    <mergeCell ref="D480:J480"/>
    <mergeCell ref="D481:J481"/>
    <mergeCell ref="D482:J482"/>
    <mergeCell ref="D484:J484"/>
    <mergeCell ref="D485:J485"/>
    <mergeCell ref="D487:J487"/>
    <mergeCell ref="D488:J488"/>
    <mergeCell ref="D491:J491"/>
    <mergeCell ref="D495:J495"/>
    <mergeCell ref="D502:J502"/>
    <mergeCell ref="D503:J503"/>
    <mergeCell ref="D507:J507"/>
    <mergeCell ref="D510:J510"/>
    <mergeCell ref="D517:J517"/>
    <mergeCell ref="D519:J519"/>
    <mergeCell ref="D520:J520"/>
    <mergeCell ref="D521:J521"/>
    <mergeCell ref="D523:J523"/>
    <mergeCell ref="D524:J524"/>
    <mergeCell ref="D527:J527"/>
    <mergeCell ref="D528:J528"/>
    <mergeCell ref="D529:J529"/>
    <mergeCell ref="D530:J530"/>
    <mergeCell ref="D531:J531"/>
    <mergeCell ref="D533:J533"/>
    <mergeCell ref="D534:J534"/>
    <mergeCell ref="D536:J536"/>
    <mergeCell ref="D537:J537"/>
    <mergeCell ref="D542:J542"/>
    <mergeCell ref="D548:J548"/>
    <mergeCell ref="D549:J549"/>
    <mergeCell ref="D553:J553"/>
    <mergeCell ref="D556:J556"/>
    <mergeCell ref="D560:J560"/>
    <mergeCell ref="D561:J561"/>
    <mergeCell ref="D564:J564"/>
    <mergeCell ref="D566:J566"/>
    <mergeCell ref="D567:J567"/>
    <mergeCell ref="D568:J568"/>
    <mergeCell ref="D570:J570"/>
    <mergeCell ref="D571:J571"/>
    <mergeCell ref="D574:J574"/>
    <mergeCell ref="D575:J575"/>
    <mergeCell ref="D576:J576"/>
    <mergeCell ref="D577:J577"/>
    <mergeCell ref="D578:J578"/>
    <mergeCell ref="D580:J580"/>
    <mergeCell ref="D581:J581"/>
    <mergeCell ref="D582:J582"/>
    <mergeCell ref="D584:J584"/>
    <mergeCell ref="D585:J585"/>
    <mergeCell ref="D588:J588"/>
    <mergeCell ref="D591:J591"/>
    <mergeCell ref="D596:J596"/>
    <mergeCell ref="D597:J597"/>
    <mergeCell ref="D601:J601"/>
    <mergeCell ref="D605:J605"/>
    <mergeCell ref="D607:J607"/>
    <mergeCell ref="D608:J608"/>
    <mergeCell ref="D609:J609"/>
    <mergeCell ref="D610:J610"/>
    <mergeCell ref="D618:J618"/>
    <mergeCell ref="D619:J619"/>
    <mergeCell ref="D623:J623"/>
    <mergeCell ref="D625:J625"/>
    <mergeCell ref="D626:J626"/>
    <mergeCell ref="D629:J629"/>
    <mergeCell ref="D630:J630"/>
    <mergeCell ref="D631:J631"/>
    <mergeCell ref="D632:J632"/>
    <mergeCell ref="D634:J634"/>
    <mergeCell ref="D635:J635"/>
    <mergeCell ref="D636:J636"/>
    <mergeCell ref="D638:J638"/>
    <mergeCell ref="D639:J639"/>
    <mergeCell ref="D644:J644"/>
    <mergeCell ref="D647:J647"/>
    <mergeCell ref="D652:J652"/>
    <mergeCell ref="D654:J654"/>
    <mergeCell ref="D655:J655"/>
    <mergeCell ref="D659:J659"/>
    <mergeCell ref="D663:J663"/>
    <mergeCell ref="D665:J665"/>
    <mergeCell ref="D666:J666"/>
    <mergeCell ref="D667:J667"/>
    <mergeCell ref="D668:J668"/>
    <mergeCell ref="D670:J670"/>
    <mergeCell ref="D671:J671"/>
    <mergeCell ref="D674:J674"/>
    <mergeCell ref="D675:J675"/>
    <mergeCell ref="D676:J676"/>
    <mergeCell ref="D677:J677"/>
    <mergeCell ref="D678:J678"/>
    <mergeCell ref="D680:J680"/>
    <mergeCell ref="D681:J681"/>
    <mergeCell ref="D682:J682"/>
    <mergeCell ref="D684:J684"/>
    <mergeCell ref="D685:J685"/>
    <mergeCell ref="D686:J686"/>
    <mergeCell ref="D689:J689"/>
    <mergeCell ref="D691:J691"/>
    <mergeCell ref="D692:J692"/>
    <mergeCell ref="D693:J693"/>
    <mergeCell ref="D695:J695"/>
    <mergeCell ref="D696:J696"/>
    <mergeCell ref="D699:J699"/>
    <mergeCell ref="D700:J700"/>
    <mergeCell ref="D701:J701"/>
    <mergeCell ref="D702:J702"/>
    <mergeCell ref="D704:J704"/>
    <mergeCell ref="D705:J705"/>
    <mergeCell ref="D707:J707"/>
    <mergeCell ref="D708:J708"/>
    <mergeCell ref="D711:J711"/>
    <mergeCell ref="D716:J716"/>
    <mergeCell ref="D717:J717"/>
    <mergeCell ref="D720:J720"/>
    <mergeCell ref="D721:J721"/>
    <mergeCell ref="D723:J723"/>
    <mergeCell ref="D724:J724"/>
    <mergeCell ref="D725:J725"/>
    <mergeCell ref="D726:J726"/>
    <mergeCell ref="D727:J727"/>
    <mergeCell ref="D729:J729"/>
    <mergeCell ref="D730:J730"/>
    <mergeCell ref="D733:J733"/>
    <mergeCell ref="D734:J734"/>
    <mergeCell ref="D735:J735"/>
    <mergeCell ref="D736:J736"/>
    <mergeCell ref="D737:J737"/>
    <mergeCell ref="D739:J739"/>
    <mergeCell ref="D740:J740"/>
    <mergeCell ref="D742:J742"/>
    <mergeCell ref="D743:J743"/>
    <mergeCell ref="D747:J747"/>
    <mergeCell ref="D752:J752"/>
    <mergeCell ref="D753:J753"/>
    <mergeCell ref="D757:J757"/>
    <mergeCell ref="D761:J761"/>
    <mergeCell ref="D764:J764"/>
    <mergeCell ref="D766:J766"/>
    <mergeCell ref="D767:J767"/>
    <mergeCell ref="D768:J768"/>
    <mergeCell ref="D770:J770"/>
    <mergeCell ref="D771:J771"/>
    <mergeCell ref="D774:J774"/>
    <mergeCell ref="D775:J775"/>
    <mergeCell ref="D776:J776"/>
    <mergeCell ref="D777:J777"/>
    <mergeCell ref="D779:J779"/>
    <mergeCell ref="D780:J780"/>
    <mergeCell ref="D782:J782"/>
    <mergeCell ref="D783:J783"/>
    <mergeCell ref="D786:J786"/>
    <mergeCell ref="D787:J787"/>
    <mergeCell ref="D788:J788"/>
    <mergeCell ref="D789:J789"/>
    <mergeCell ref="D790:J790"/>
    <mergeCell ref="D792:J792"/>
    <mergeCell ref="D793:J793"/>
    <mergeCell ref="D795:J795"/>
    <mergeCell ref="D796:J796"/>
    <mergeCell ref="D797:J797"/>
    <mergeCell ref="D802:J802"/>
    <mergeCell ref="D808:J808"/>
    <mergeCell ref="D817:J817"/>
    <mergeCell ref="D819:J819"/>
    <mergeCell ref="D820:J820"/>
    <mergeCell ref="D821:J821"/>
    <mergeCell ref="D822:J822"/>
    <mergeCell ref="D823:J823"/>
    <mergeCell ref="D824:J824"/>
    <mergeCell ref="D825:J825"/>
    <mergeCell ref="D826:J826"/>
    <mergeCell ref="D828:J828"/>
    <mergeCell ref="D829:J829"/>
    <mergeCell ref="D830:J830"/>
    <mergeCell ref="D831:J831"/>
    <mergeCell ref="D832:J832"/>
    <mergeCell ref="D833:J833"/>
    <mergeCell ref="D835:J835"/>
    <mergeCell ref="D836:J836"/>
    <mergeCell ref="D839:J839"/>
    <mergeCell ref="D840:J840"/>
    <mergeCell ref="D841:J841"/>
    <mergeCell ref="D842:J842"/>
    <mergeCell ref="D843:J843"/>
    <mergeCell ref="D845:J845"/>
    <mergeCell ref="D846:J846"/>
    <mergeCell ref="D848:J848"/>
    <mergeCell ref="D849:J849"/>
    <mergeCell ref="D850:J850"/>
    <mergeCell ref="D857:J857"/>
    <mergeCell ref="D883:J883"/>
    <mergeCell ref="D885:J885"/>
    <mergeCell ref="D886:J886"/>
    <mergeCell ref="D863:J863"/>
    <mergeCell ref="D864:J864"/>
    <mergeCell ref="D870:J870"/>
    <mergeCell ref="D874:J874"/>
    <mergeCell ref="D877:J877"/>
    <mergeCell ref="D878:J878"/>
    <mergeCell ref="D880:J880"/>
    <mergeCell ref="D881:J881"/>
    <mergeCell ref="D882:J882"/>
  </mergeCells>
  <pageMargins left="0.62007900000000005" right="0.472441" top="0.472441" bottom="0.472441" header="0" footer="0"/>
  <pageSetup paperSize="9" orientation="landscape" r:id="rId1"/>
  <rowBreaks count="2" manualBreakCount="2">
    <brk max="16383" man="1"/>
    <brk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Carulla Doménech, Jordi</dc:creator>
  <cp:lastModifiedBy>Ajuntament de Barcelona</cp:lastModifiedBy>
  <dcterms:created xsi:type="dcterms:W3CDTF">2024-10-21T16:10:37Z</dcterms:created>
  <dcterms:modified xsi:type="dcterms:W3CDTF">2024-10-21T16:10:38Z</dcterms:modified>
</cp:coreProperties>
</file>